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vel\Desktop\fve_projekt\"/>
    </mc:Choice>
  </mc:AlternateContent>
  <xr:revisionPtr revIDLastSave="0" documentId="13_ncr:1_{1D8B2155-90F7-4DA8-8B13-A0D8AF560BE8}" xr6:coauthVersionLast="47" xr6:coauthVersionMax="47" xr10:uidLastSave="{00000000-0000-0000-0000-000000000000}"/>
  <bookViews>
    <workbookView xWindow="-108" yWindow="-108" windowWidth="23256" windowHeight="12456" firstSheet="1" activeTab="1" xr2:uid="{13B09435-84AD-4BA5-8D73-B2D3314A71B2}"/>
  </bookViews>
  <sheets>
    <sheet name="Výpočty " sheetId="15" r:id="rId1"/>
    <sheet name="Leden" sheetId="1" r:id="rId2"/>
    <sheet name="Leden data" sheetId="12" r:id="rId3"/>
    <sheet name="Leden vík" sheetId="6" r:id="rId4"/>
    <sheet name="Leden vík data" sheetId="16" r:id="rId5"/>
    <sheet name="Leden grafy" sheetId="22" r:id="rId6"/>
    <sheet name="Leden kontig" sheetId="39" r:id="rId7"/>
    <sheet name="Červenec" sheetId="2" r:id="rId8"/>
    <sheet name="Červenec data" sheetId="17" r:id="rId9"/>
    <sheet name="Červenec vík" sheetId="7" r:id="rId10"/>
    <sheet name="Červenec vík data" sheetId="18" r:id="rId11"/>
    <sheet name="Červenec kontig" sheetId="48" r:id="rId12"/>
    <sheet name="Červenec grafy" sheetId="31" r:id="rId13"/>
    <sheet name="Říjen" sheetId="9" r:id="rId14"/>
    <sheet name="Říjen data" sheetId="19" r:id="rId15"/>
    <sheet name="Říjen vík" sheetId="8" r:id="rId16"/>
    <sheet name="Říjen vík data" sheetId="21" r:id="rId17"/>
    <sheet name="Říjen kotig" sheetId="49" r:id="rId18"/>
    <sheet name="Říjen grafy" sheetId="35" r:id="rId19"/>
    <sheet name="List1" sheetId="50" r:id="rId20"/>
  </sheets>
  <definedNames>
    <definedName name="BMS">'Výpočty '!$F$5</definedName>
    <definedName name="CAPEX">'Výpočty '!$D$1</definedName>
    <definedName name="Datalogger">'Výpočty '!$F$3</definedName>
    <definedName name="Degradace">'Výpočty '!$D$6</definedName>
    <definedName name="Diskontní_sazba">'Výpočty '!$D$4</definedName>
    <definedName name="DOD">'Výpočty '!$B$2</definedName>
    <definedName name="Hybridní_střídač">'Výpočty '!$F$4</definedName>
    <definedName name="Kapacita_baterie">'Výpočty '!$B$1</definedName>
    <definedName name="LCOE">'Výpočty '!$C$11</definedName>
    <definedName name="OPEX">'Výpočty '!$D$2</definedName>
    <definedName name="Roční_výroba">'Výpočty '!$D$5</definedName>
    <definedName name="Smart_meter">'Výpočty '!$F$2</definedName>
    <definedName name="Soc_Kriticke">'Výpočty '!$B$7</definedName>
    <definedName name="Soc_Max">'Výpočty '!$B$3</definedName>
    <definedName name="Soc_Min">'Výpočty '!$B$4</definedName>
    <definedName name="Stridac_limit">'Výpočty '!$B$5</definedName>
    <definedName name="Účinnost_cyklu">'Výpočty '!$B$6</definedName>
    <definedName name="Vlastní_Spotřeba_kWh">'Výpočty '!$F$6</definedName>
    <definedName name="Životnost">'Výpočty '!$D$3</definedName>
  </definedNames>
  <calcPr calcId="191029"/>
  <pivotCaches>
    <pivotCache cacheId="0" r:id="rId21"/>
    <pivotCache cacheId="1" r:id="rId22"/>
    <pivotCache cacheId="2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8" l="1"/>
  <c r="J3" i="8"/>
  <c r="J4" i="9"/>
  <c r="J3" i="9"/>
  <c r="J4" i="7"/>
  <c r="J3" i="7"/>
  <c r="J4" i="2"/>
  <c r="J3" i="2"/>
  <c r="J3" i="6"/>
  <c r="J3" i="1"/>
  <c r="O3" i="1"/>
  <c r="N3" i="1"/>
  <c r="E125" i="1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08" i="8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08" i="9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08" i="7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08" i="2"/>
  <c r="V3" i="21"/>
  <c r="V4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94" i="21"/>
  <c r="V95" i="21"/>
  <c r="V96" i="21"/>
  <c r="V97" i="21"/>
  <c r="V98" i="21"/>
  <c r="V99" i="21"/>
  <c r="V100" i="21"/>
  <c r="V101" i="21"/>
  <c r="V102" i="21"/>
  <c r="V103" i="21"/>
  <c r="V104" i="21"/>
  <c r="V105" i="21"/>
  <c r="V106" i="21"/>
  <c r="V107" i="21"/>
  <c r="V108" i="21"/>
  <c r="V109" i="21"/>
  <c r="V110" i="21"/>
  <c r="V111" i="21"/>
  <c r="V112" i="21"/>
  <c r="V113" i="21"/>
  <c r="V114" i="21"/>
  <c r="V115" i="21"/>
  <c r="V116" i="21"/>
  <c r="V117" i="21"/>
  <c r="V118" i="21"/>
  <c r="V119" i="21"/>
  <c r="V120" i="21"/>
  <c r="V121" i="21"/>
  <c r="V122" i="21"/>
  <c r="V123" i="21"/>
  <c r="V124" i="21"/>
  <c r="V125" i="21"/>
  <c r="V126" i="21"/>
  <c r="V2" i="21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2" i="19"/>
  <c r="V3" i="17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2" i="17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2" i="1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08" i="6"/>
  <c r="E112" i="1"/>
  <c r="E108" i="1"/>
  <c r="E111" i="1"/>
  <c r="E118" i="1"/>
  <c r="E117" i="1"/>
  <c r="E121" i="1"/>
  <c r="E119" i="1"/>
  <c r="E115" i="1"/>
  <c r="E110" i="1"/>
  <c r="E124" i="1"/>
  <c r="E123" i="1"/>
  <c r="E120" i="1"/>
  <c r="E114" i="1"/>
  <c r="E113" i="1"/>
  <c r="E109" i="1"/>
  <c r="E122" i="1"/>
  <c r="E116" i="1"/>
  <c r="V3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2" i="12"/>
  <c r="D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C98" i="12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4" i="9"/>
  <c r="A3" i="9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4" i="8"/>
  <c r="A3" i="8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4" i="7"/>
  <c r="A3" i="7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4" i="2"/>
  <c r="A3" i="2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4" i="6"/>
  <c r="A3" i="6"/>
  <c r="E4" i="8" l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3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B3" i="8"/>
  <c r="B4" i="8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3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B4" i="9"/>
  <c r="B5" i="9" s="1"/>
  <c r="P3" i="9"/>
  <c r="B3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3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B3" i="7"/>
  <c r="B4" i="7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3" i="2"/>
  <c r="E8" i="1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B4" i="2"/>
  <c r="P3" i="2"/>
  <c r="B3" i="2"/>
  <c r="B5" i="8" l="1"/>
  <c r="P99" i="8"/>
  <c r="B6" i="9"/>
  <c r="P99" i="9"/>
  <c r="B5" i="7"/>
  <c r="P99" i="7"/>
  <c r="E99" i="2"/>
  <c r="B5" i="2"/>
  <c r="P99" i="2"/>
  <c r="B6" i="8" l="1"/>
  <c r="B7" i="9"/>
  <c r="B6" i="7"/>
  <c r="B6" i="2"/>
  <c r="B7" i="8" l="1"/>
  <c r="B8" i="9"/>
  <c r="B7" i="7"/>
  <c r="B7" i="2"/>
  <c r="B8" i="8" l="1"/>
  <c r="B9" i="9"/>
  <c r="B8" i="7"/>
  <c r="B8" i="2"/>
  <c r="B9" i="8" l="1"/>
  <c r="B10" i="9"/>
  <c r="B9" i="7"/>
  <c r="B9" i="2"/>
  <c r="B10" i="8" l="1"/>
  <c r="B11" i="9"/>
  <c r="B10" i="7"/>
  <c r="B10" i="2"/>
  <c r="B11" i="8" l="1"/>
  <c r="B12" i="9"/>
  <c r="B11" i="7"/>
  <c r="B11" i="2"/>
  <c r="B12" i="8" l="1"/>
  <c r="B13" i="9"/>
  <c r="B12" i="7"/>
  <c r="B12" i="2"/>
  <c r="B13" i="8" l="1"/>
  <c r="B14" i="9"/>
  <c r="B13" i="7"/>
  <c r="B13" i="2"/>
  <c r="B14" i="8" l="1"/>
  <c r="B15" i="9"/>
  <c r="B14" i="7"/>
  <c r="B14" i="2"/>
  <c r="B15" i="8" l="1"/>
  <c r="B16" i="9"/>
  <c r="B15" i="7"/>
  <c r="B15" i="2"/>
  <c r="B16" i="8" l="1"/>
  <c r="B17" i="9"/>
  <c r="B16" i="7"/>
  <c r="B16" i="2"/>
  <c r="B17" i="8" l="1"/>
  <c r="B18" i="9"/>
  <c r="B17" i="7"/>
  <c r="B17" i="2"/>
  <c r="B18" i="8" l="1"/>
  <c r="B19" i="9"/>
  <c r="B18" i="7"/>
  <c r="B18" i="2"/>
  <c r="B19" i="8" l="1"/>
  <c r="B20" i="9"/>
  <c r="B19" i="7"/>
  <c r="B19" i="2"/>
  <c r="B20" i="8" l="1"/>
  <c r="B21" i="9"/>
  <c r="B20" i="7"/>
  <c r="B20" i="2"/>
  <c r="B21" i="8" l="1"/>
  <c r="B22" i="9"/>
  <c r="B21" i="7"/>
  <c r="B21" i="2"/>
  <c r="B22" i="8" l="1"/>
  <c r="B23" i="9"/>
  <c r="B22" i="7"/>
  <c r="B22" i="2"/>
  <c r="B23" i="8" l="1"/>
  <c r="B24" i="9"/>
  <c r="B23" i="7"/>
  <c r="B23" i="2"/>
  <c r="B24" i="8" l="1"/>
  <c r="B25" i="9"/>
  <c r="B24" i="7"/>
  <c r="B24" i="2"/>
  <c r="B25" i="8" l="1"/>
  <c r="B26" i="9"/>
  <c r="B25" i="7"/>
  <c r="B25" i="2"/>
  <c r="B26" i="8" l="1"/>
  <c r="B27" i="9"/>
  <c r="B26" i="7"/>
  <c r="B26" i="2"/>
  <c r="B27" i="8" l="1"/>
  <c r="B28" i="9"/>
  <c r="B27" i="7"/>
  <c r="B27" i="2"/>
  <c r="B28" i="8" l="1"/>
  <c r="B29" i="9"/>
  <c r="B28" i="7"/>
  <c r="B28" i="2"/>
  <c r="B29" i="8" l="1"/>
  <c r="B30" i="9"/>
  <c r="B29" i="7"/>
  <c r="B29" i="2"/>
  <c r="B30" i="8" l="1"/>
  <c r="B31" i="9"/>
  <c r="B30" i="7"/>
  <c r="B30" i="2"/>
  <c r="B31" i="8" l="1"/>
  <c r="B32" i="9"/>
  <c r="B31" i="7"/>
  <c r="B31" i="2"/>
  <c r="B32" i="8" l="1"/>
  <c r="B33" i="9"/>
  <c r="B32" i="7"/>
  <c r="B32" i="2"/>
  <c r="B33" i="8" l="1"/>
  <c r="B34" i="9"/>
  <c r="B33" i="7"/>
  <c r="B33" i="2"/>
  <c r="B34" i="8" l="1"/>
  <c r="B35" i="9"/>
  <c r="B34" i="7"/>
  <c r="B34" i="2"/>
  <c r="B35" i="8" l="1"/>
  <c r="B36" i="9"/>
  <c r="B35" i="7"/>
  <c r="B35" i="2"/>
  <c r="B36" i="8" l="1"/>
  <c r="B37" i="9"/>
  <c r="B36" i="7"/>
  <c r="B36" i="2"/>
  <c r="B37" i="8" l="1"/>
  <c r="B38" i="9"/>
  <c r="B37" i="7"/>
  <c r="B37" i="2"/>
  <c r="B38" i="8" l="1"/>
  <c r="B39" i="9"/>
  <c r="B38" i="7"/>
  <c r="B38" i="2"/>
  <c r="B39" i="8" l="1"/>
  <c r="B40" i="9"/>
  <c r="B39" i="7"/>
  <c r="B39" i="2"/>
  <c r="B40" i="8" l="1"/>
  <c r="B41" i="9"/>
  <c r="B40" i="7"/>
  <c r="B40" i="2"/>
  <c r="B41" i="8" l="1"/>
  <c r="B42" i="9"/>
  <c r="B41" i="7"/>
  <c r="B41" i="2"/>
  <c r="B42" i="8" l="1"/>
  <c r="B43" i="9"/>
  <c r="B42" i="7"/>
  <c r="B42" i="2"/>
  <c r="B43" i="8" l="1"/>
  <c r="B44" i="9"/>
  <c r="B43" i="7"/>
  <c r="B43" i="2"/>
  <c r="B44" i="8" l="1"/>
  <c r="B45" i="9"/>
  <c r="B44" i="7"/>
  <c r="B44" i="2"/>
  <c r="B45" i="8" l="1"/>
  <c r="B46" i="9"/>
  <c r="B45" i="7"/>
  <c r="B45" i="2"/>
  <c r="B46" i="8" l="1"/>
  <c r="B47" i="9"/>
  <c r="B46" i="7"/>
  <c r="B46" i="2"/>
  <c r="B47" i="8" l="1"/>
  <c r="B48" i="9"/>
  <c r="B47" i="7"/>
  <c r="B47" i="2"/>
  <c r="B48" i="8" l="1"/>
  <c r="B49" i="9"/>
  <c r="B48" i="7"/>
  <c r="B48" i="2"/>
  <c r="B49" i="8" l="1"/>
  <c r="B50" i="9"/>
  <c r="B49" i="7"/>
  <c r="B49" i="2"/>
  <c r="B50" i="8" l="1"/>
  <c r="B51" i="9"/>
  <c r="B50" i="7"/>
  <c r="B50" i="2"/>
  <c r="B51" i="8" l="1"/>
  <c r="B52" i="9"/>
  <c r="B51" i="7"/>
  <c r="B51" i="2"/>
  <c r="B52" i="8" l="1"/>
  <c r="B53" i="9"/>
  <c r="B52" i="7"/>
  <c r="B52" i="2"/>
  <c r="B53" i="8" l="1"/>
  <c r="B54" i="9"/>
  <c r="B53" i="7"/>
  <c r="B53" i="2"/>
  <c r="B54" i="8" l="1"/>
  <c r="B55" i="9"/>
  <c r="B54" i="7"/>
  <c r="B54" i="2"/>
  <c r="B55" i="8" l="1"/>
  <c r="B56" i="9"/>
  <c r="B55" i="7"/>
  <c r="B55" i="2"/>
  <c r="B56" i="8" l="1"/>
  <c r="B57" i="9"/>
  <c r="B56" i="7"/>
  <c r="B56" i="2"/>
  <c r="B57" i="8" l="1"/>
  <c r="B58" i="9"/>
  <c r="B57" i="7"/>
  <c r="B57" i="2"/>
  <c r="B58" i="8" l="1"/>
  <c r="B59" i="9"/>
  <c r="B58" i="7"/>
  <c r="B58" i="2"/>
  <c r="B59" i="8" l="1"/>
  <c r="B60" i="9"/>
  <c r="B59" i="7"/>
  <c r="B59" i="2"/>
  <c r="B60" i="8" l="1"/>
  <c r="B61" i="9"/>
  <c r="B60" i="7"/>
  <c r="B60" i="2"/>
  <c r="B61" i="8" l="1"/>
  <c r="B62" i="9"/>
  <c r="B61" i="7"/>
  <c r="B61" i="2"/>
  <c r="B62" i="8" l="1"/>
  <c r="B63" i="9"/>
  <c r="B62" i="7"/>
  <c r="B62" i="2"/>
  <c r="B63" i="8" l="1"/>
  <c r="B64" i="9"/>
  <c r="B63" i="7"/>
  <c r="B63" i="2"/>
  <c r="B64" i="8" l="1"/>
  <c r="B65" i="9"/>
  <c r="B64" i="7"/>
  <c r="B64" i="2"/>
  <c r="B65" i="8" l="1"/>
  <c r="B66" i="9"/>
  <c r="B65" i="7"/>
  <c r="B65" i="2"/>
  <c r="B66" i="8" l="1"/>
  <c r="B67" i="9"/>
  <c r="B66" i="7"/>
  <c r="B66" i="2"/>
  <c r="B67" i="8" l="1"/>
  <c r="B68" i="9"/>
  <c r="B67" i="7"/>
  <c r="B67" i="2"/>
  <c r="B68" i="8" l="1"/>
  <c r="B69" i="9"/>
  <c r="B68" i="7"/>
  <c r="B68" i="2"/>
  <c r="B69" i="8" l="1"/>
  <c r="B70" i="9"/>
  <c r="B69" i="7"/>
  <c r="B69" i="2"/>
  <c r="B70" i="8" l="1"/>
  <c r="B71" i="9"/>
  <c r="B70" i="7"/>
  <c r="B70" i="2"/>
  <c r="B71" i="8" l="1"/>
  <c r="B72" i="9"/>
  <c r="B71" i="7"/>
  <c r="B71" i="2"/>
  <c r="B72" i="8" l="1"/>
  <c r="B73" i="9"/>
  <c r="B72" i="7"/>
  <c r="B72" i="2"/>
  <c r="B73" i="8" l="1"/>
  <c r="B74" i="9"/>
  <c r="B73" i="7"/>
  <c r="B73" i="2"/>
  <c r="B74" i="8" l="1"/>
  <c r="B75" i="9"/>
  <c r="B74" i="7"/>
  <c r="B74" i="2"/>
  <c r="B75" i="8" l="1"/>
  <c r="B76" i="9"/>
  <c r="B75" i="7"/>
  <c r="B75" i="2"/>
  <c r="B76" i="8" l="1"/>
  <c r="B77" i="9"/>
  <c r="B76" i="7"/>
  <c r="B76" i="2"/>
  <c r="B77" i="8" l="1"/>
  <c r="B78" i="9"/>
  <c r="B77" i="7"/>
  <c r="B77" i="2"/>
  <c r="B78" i="8" l="1"/>
  <c r="B79" i="9"/>
  <c r="B78" i="7"/>
  <c r="B78" i="2"/>
  <c r="B79" i="8" l="1"/>
  <c r="B80" i="9"/>
  <c r="B79" i="7"/>
  <c r="B79" i="2"/>
  <c r="B80" i="8" l="1"/>
  <c r="B81" i="9"/>
  <c r="B80" i="7"/>
  <c r="B80" i="2"/>
  <c r="B81" i="8" l="1"/>
  <c r="B82" i="9"/>
  <c r="B81" i="7"/>
  <c r="B81" i="2"/>
  <c r="B82" i="8" l="1"/>
  <c r="B83" i="9"/>
  <c r="B82" i="7"/>
  <c r="B82" i="2"/>
  <c r="B83" i="8" l="1"/>
  <c r="B84" i="9"/>
  <c r="B83" i="7"/>
  <c r="B83" i="2"/>
  <c r="B84" i="8" l="1"/>
  <c r="B85" i="9"/>
  <c r="B84" i="7"/>
  <c r="B84" i="2"/>
  <c r="B85" i="8" l="1"/>
  <c r="B86" i="9"/>
  <c r="B85" i="7"/>
  <c r="B85" i="2"/>
  <c r="B86" i="8" l="1"/>
  <c r="B87" i="9"/>
  <c r="B86" i="7"/>
  <c r="B86" i="2"/>
  <c r="B87" i="8" l="1"/>
  <c r="B88" i="9"/>
  <c r="B87" i="7"/>
  <c r="B87" i="2"/>
  <c r="B88" i="8" l="1"/>
  <c r="B89" i="9"/>
  <c r="B88" i="7"/>
  <c r="B88" i="2"/>
  <c r="B89" i="8" l="1"/>
  <c r="B90" i="9"/>
  <c r="B89" i="7"/>
  <c r="B89" i="2"/>
  <c r="B90" i="8" l="1"/>
  <c r="B91" i="9"/>
  <c r="B90" i="7"/>
  <c r="B90" i="2"/>
  <c r="B91" i="8" l="1"/>
  <c r="B92" i="9"/>
  <c r="B91" i="7"/>
  <c r="B91" i="2"/>
  <c r="B92" i="8" l="1"/>
  <c r="B93" i="9"/>
  <c r="B92" i="7"/>
  <c r="B92" i="2"/>
  <c r="B93" i="8" l="1"/>
  <c r="B94" i="9"/>
  <c r="B93" i="7"/>
  <c r="B93" i="2"/>
  <c r="B94" i="8" l="1"/>
  <c r="B95" i="9"/>
  <c r="B94" i="7"/>
  <c r="B94" i="2"/>
  <c r="B95" i="8" l="1"/>
  <c r="B96" i="9"/>
  <c r="B95" i="7"/>
  <c r="B95" i="2"/>
  <c r="B96" i="8" l="1"/>
  <c r="B97" i="9"/>
  <c r="B96" i="7"/>
  <c r="B96" i="2"/>
  <c r="B97" i="8" l="1"/>
  <c r="B98" i="9"/>
  <c r="B97" i="7"/>
  <c r="B97" i="2"/>
  <c r="B98" i="8" l="1"/>
  <c r="E99" i="9"/>
  <c r="B98" i="7"/>
  <c r="B98" i="2"/>
  <c r="E99" i="8" l="1"/>
  <c r="E99" i="7"/>
  <c r="E4" i="6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3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B4" i="6"/>
  <c r="B5" i="6" s="1"/>
  <c r="P3" i="6"/>
  <c r="B3" i="6"/>
  <c r="B6" i="6" l="1"/>
  <c r="P99" i="6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3" i="1"/>
  <c r="A4" i="1"/>
  <c r="A3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3" i="18"/>
  <c r="V3" i="18" s="1"/>
  <c r="C4" i="7" s="1"/>
  <c r="C4" i="18"/>
  <c r="V4" i="18" s="1"/>
  <c r="C5" i="7" s="1"/>
  <c r="C5" i="18"/>
  <c r="V5" i="18" s="1"/>
  <c r="C6" i="7" s="1"/>
  <c r="C6" i="18"/>
  <c r="V6" i="18" s="1"/>
  <c r="C7" i="7" s="1"/>
  <c r="C7" i="18"/>
  <c r="V7" i="18" s="1"/>
  <c r="C8" i="7" s="1"/>
  <c r="C8" i="18"/>
  <c r="V8" i="18" s="1"/>
  <c r="C9" i="7" s="1"/>
  <c r="C9" i="18"/>
  <c r="V9" i="18" s="1"/>
  <c r="C10" i="7" s="1"/>
  <c r="C10" i="18"/>
  <c r="V10" i="18" s="1"/>
  <c r="C11" i="7" s="1"/>
  <c r="C11" i="18"/>
  <c r="V11" i="18" s="1"/>
  <c r="C12" i="7" s="1"/>
  <c r="C12" i="18"/>
  <c r="V12" i="18" s="1"/>
  <c r="C13" i="7" s="1"/>
  <c r="C13" i="18"/>
  <c r="V13" i="18" s="1"/>
  <c r="C14" i="7" s="1"/>
  <c r="C14" i="18"/>
  <c r="V14" i="18" s="1"/>
  <c r="C15" i="7" s="1"/>
  <c r="C15" i="18"/>
  <c r="V15" i="18" s="1"/>
  <c r="C16" i="7" s="1"/>
  <c r="C16" i="18"/>
  <c r="V16" i="18" s="1"/>
  <c r="C17" i="7" s="1"/>
  <c r="C17" i="18"/>
  <c r="V17" i="18" s="1"/>
  <c r="C18" i="7" s="1"/>
  <c r="C18" i="18"/>
  <c r="V18" i="18" s="1"/>
  <c r="C19" i="7" s="1"/>
  <c r="C19" i="18"/>
  <c r="V19" i="18" s="1"/>
  <c r="C20" i="7" s="1"/>
  <c r="C20" i="18"/>
  <c r="V20" i="18" s="1"/>
  <c r="C21" i="7" s="1"/>
  <c r="C21" i="18"/>
  <c r="V21" i="18" s="1"/>
  <c r="C22" i="7" s="1"/>
  <c r="C22" i="18"/>
  <c r="V22" i="18" s="1"/>
  <c r="C23" i="7" s="1"/>
  <c r="C23" i="18"/>
  <c r="V23" i="18" s="1"/>
  <c r="C24" i="7" s="1"/>
  <c r="C24" i="18"/>
  <c r="V24" i="18" s="1"/>
  <c r="C25" i="7" s="1"/>
  <c r="C25" i="18"/>
  <c r="V25" i="18" s="1"/>
  <c r="C26" i="7" s="1"/>
  <c r="C26" i="18"/>
  <c r="V26" i="18" s="1"/>
  <c r="C27" i="7" s="1"/>
  <c r="C27" i="18"/>
  <c r="V27" i="18" s="1"/>
  <c r="C28" i="7" s="1"/>
  <c r="C28" i="18"/>
  <c r="V28" i="18" s="1"/>
  <c r="C29" i="7" s="1"/>
  <c r="C29" i="18"/>
  <c r="V29" i="18" s="1"/>
  <c r="C30" i="7" s="1"/>
  <c r="C30" i="18"/>
  <c r="V30" i="18" s="1"/>
  <c r="C31" i="7" s="1"/>
  <c r="C31" i="18"/>
  <c r="V31" i="18" s="1"/>
  <c r="C32" i="7" s="1"/>
  <c r="C32" i="18"/>
  <c r="V32" i="18" s="1"/>
  <c r="C33" i="7" s="1"/>
  <c r="C33" i="18"/>
  <c r="V33" i="18" s="1"/>
  <c r="C34" i="7" s="1"/>
  <c r="C34" i="18"/>
  <c r="V34" i="18" s="1"/>
  <c r="C35" i="7" s="1"/>
  <c r="C35" i="18"/>
  <c r="V35" i="18" s="1"/>
  <c r="C36" i="7" s="1"/>
  <c r="C36" i="18"/>
  <c r="V36" i="18" s="1"/>
  <c r="C37" i="7" s="1"/>
  <c r="C37" i="18"/>
  <c r="V37" i="18" s="1"/>
  <c r="C38" i="7" s="1"/>
  <c r="C38" i="18"/>
  <c r="V38" i="18" s="1"/>
  <c r="C39" i="7" s="1"/>
  <c r="C39" i="18"/>
  <c r="V39" i="18" s="1"/>
  <c r="C40" i="7" s="1"/>
  <c r="C40" i="18"/>
  <c r="V40" i="18" s="1"/>
  <c r="C41" i="7" s="1"/>
  <c r="C41" i="18"/>
  <c r="V41" i="18" s="1"/>
  <c r="C42" i="7" s="1"/>
  <c r="C42" i="18"/>
  <c r="V42" i="18" s="1"/>
  <c r="C43" i="7" s="1"/>
  <c r="C43" i="18"/>
  <c r="V43" i="18" s="1"/>
  <c r="C44" i="7" s="1"/>
  <c r="C44" i="18"/>
  <c r="V44" i="18" s="1"/>
  <c r="C45" i="7" s="1"/>
  <c r="C45" i="18"/>
  <c r="V45" i="18" s="1"/>
  <c r="C46" i="7" s="1"/>
  <c r="C46" i="18"/>
  <c r="V46" i="18" s="1"/>
  <c r="C47" i="7" s="1"/>
  <c r="C47" i="18"/>
  <c r="V47" i="18" s="1"/>
  <c r="C48" i="7" s="1"/>
  <c r="C48" i="18"/>
  <c r="V48" i="18" s="1"/>
  <c r="C49" i="7" s="1"/>
  <c r="C49" i="18"/>
  <c r="V49" i="18" s="1"/>
  <c r="C50" i="7" s="1"/>
  <c r="C50" i="18"/>
  <c r="V50" i="18" s="1"/>
  <c r="C51" i="7" s="1"/>
  <c r="C51" i="18"/>
  <c r="V51" i="18" s="1"/>
  <c r="C52" i="7" s="1"/>
  <c r="C52" i="18"/>
  <c r="V52" i="18" s="1"/>
  <c r="C53" i="7" s="1"/>
  <c r="C53" i="18"/>
  <c r="V53" i="18" s="1"/>
  <c r="C54" i="7" s="1"/>
  <c r="C54" i="18"/>
  <c r="V54" i="18" s="1"/>
  <c r="C55" i="7" s="1"/>
  <c r="C55" i="18"/>
  <c r="V55" i="18" s="1"/>
  <c r="C56" i="7" s="1"/>
  <c r="C56" i="18"/>
  <c r="V56" i="18" s="1"/>
  <c r="C57" i="7" s="1"/>
  <c r="C57" i="18"/>
  <c r="V57" i="18" s="1"/>
  <c r="C58" i="7" s="1"/>
  <c r="C58" i="18"/>
  <c r="V58" i="18" s="1"/>
  <c r="C59" i="7" s="1"/>
  <c r="C59" i="18"/>
  <c r="V59" i="18" s="1"/>
  <c r="C60" i="7" s="1"/>
  <c r="C60" i="18"/>
  <c r="V60" i="18" s="1"/>
  <c r="C61" i="7" s="1"/>
  <c r="C61" i="18"/>
  <c r="V61" i="18" s="1"/>
  <c r="C62" i="7" s="1"/>
  <c r="C62" i="18"/>
  <c r="V62" i="18" s="1"/>
  <c r="C63" i="7" s="1"/>
  <c r="C63" i="18"/>
  <c r="V63" i="18" s="1"/>
  <c r="C64" i="7" s="1"/>
  <c r="C64" i="18"/>
  <c r="V64" i="18" s="1"/>
  <c r="C65" i="7" s="1"/>
  <c r="C65" i="18"/>
  <c r="V65" i="18" s="1"/>
  <c r="C66" i="7" s="1"/>
  <c r="C66" i="18"/>
  <c r="V66" i="18" s="1"/>
  <c r="C67" i="7" s="1"/>
  <c r="C67" i="18"/>
  <c r="V67" i="18" s="1"/>
  <c r="C68" i="7" s="1"/>
  <c r="C68" i="18"/>
  <c r="V68" i="18" s="1"/>
  <c r="C69" i="7" s="1"/>
  <c r="C69" i="18"/>
  <c r="V69" i="18" s="1"/>
  <c r="C70" i="7" s="1"/>
  <c r="C70" i="18"/>
  <c r="V70" i="18" s="1"/>
  <c r="C71" i="7" s="1"/>
  <c r="C71" i="18"/>
  <c r="V71" i="18" s="1"/>
  <c r="C72" i="7" s="1"/>
  <c r="C72" i="18"/>
  <c r="V72" i="18" s="1"/>
  <c r="C73" i="7" s="1"/>
  <c r="C73" i="18"/>
  <c r="V73" i="18" s="1"/>
  <c r="C74" i="7" s="1"/>
  <c r="C74" i="18"/>
  <c r="V74" i="18" s="1"/>
  <c r="C75" i="7" s="1"/>
  <c r="C75" i="18"/>
  <c r="V75" i="18" s="1"/>
  <c r="C76" i="7" s="1"/>
  <c r="C76" i="18"/>
  <c r="V76" i="18" s="1"/>
  <c r="C77" i="7" s="1"/>
  <c r="C77" i="18"/>
  <c r="V77" i="18" s="1"/>
  <c r="C78" i="7" s="1"/>
  <c r="C78" i="18"/>
  <c r="V78" i="18" s="1"/>
  <c r="C79" i="7" s="1"/>
  <c r="C79" i="18"/>
  <c r="V79" i="18" s="1"/>
  <c r="C80" i="7" s="1"/>
  <c r="C80" i="18"/>
  <c r="V80" i="18" s="1"/>
  <c r="C81" i="7" s="1"/>
  <c r="C81" i="18"/>
  <c r="V81" i="18" s="1"/>
  <c r="C82" i="7" s="1"/>
  <c r="C82" i="18"/>
  <c r="V82" i="18" s="1"/>
  <c r="C83" i="7" s="1"/>
  <c r="C83" i="18"/>
  <c r="V83" i="18" s="1"/>
  <c r="C84" i="7" s="1"/>
  <c r="C84" i="18"/>
  <c r="V84" i="18" s="1"/>
  <c r="C85" i="7" s="1"/>
  <c r="C85" i="18"/>
  <c r="V85" i="18" s="1"/>
  <c r="C86" i="7" s="1"/>
  <c r="C86" i="18"/>
  <c r="V86" i="18" s="1"/>
  <c r="C87" i="7" s="1"/>
  <c r="C87" i="18"/>
  <c r="V87" i="18" s="1"/>
  <c r="C88" i="7" s="1"/>
  <c r="C88" i="18"/>
  <c r="V88" i="18" s="1"/>
  <c r="C89" i="7" s="1"/>
  <c r="C89" i="18"/>
  <c r="V89" i="18" s="1"/>
  <c r="C90" i="7" s="1"/>
  <c r="C90" i="18"/>
  <c r="V90" i="18" s="1"/>
  <c r="C91" i="7" s="1"/>
  <c r="C91" i="18"/>
  <c r="V91" i="18" s="1"/>
  <c r="C92" i="7" s="1"/>
  <c r="C92" i="18"/>
  <c r="V92" i="18" s="1"/>
  <c r="C93" i="7" s="1"/>
  <c r="C93" i="18"/>
  <c r="V93" i="18" s="1"/>
  <c r="C94" i="7" s="1"/>
  <c r="C94" i="18"/>
  <c r="V94" i="18" s="1"/>
  <c r="C95" i="7" s="1"/>
  <c r="C95" i="18"/>
  <c r="V95" i="18" s="1"/>
  <c r="C96" i="7" s="1"/>
  <c r="C96" i="18"/>
  <c r="V96" i="18" s="1"/>
  <c r="C97" i="7" s="1"/>
  <c r="C97" i="18"/>
  <c r="V97" i="18" s="1"/>
  <c r="C98" i="7" s="1"/>
  <c r="C2" i="18"/>
  <c r="V2" i="18" s="1"/>
  <c r="C3" i="7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I3" i="8" l="1"/>
  <c r="D3" i="8"/>
  <c r="C99" i="8"/>
  <c r="D4" i="8"/>
  <c r="I4" i="8"/>
  <c r="I5" i="8"/>
  <c r="D5" i="8"/>
  <c r="D6" i="8"/>
  <c r="I6" i="8"/>
  <c r="D7" i="8"/>
  <c r="I7" i="8"/>
  <c r="D8" i="8"/>
  <c r="I8" i="8"/>
  <c r="D9" i="8"/>
  <c r="I9" i="8"/>
  <c r="I10" i="8"/>
  <c r="D10" i="8"/>
  <c r="D11" i="8"/>
  <c r="I11" i="8"/>
  <c r="D12" i="8"/>
  <c r="I12" i="8"/>
  <c r="D13" i="8"/>
  <c r="I13" i="8"/>
  <c r="D14" i="8"/>
  <c r="I14" i="8"/>
  <c r="I15" i="8"/>
  <c r="D15" i="8"/>
  <c r="D16" i="8"/>
  <c r="I16" i="8"/>
  <c r="D17" i="8"/>
  <c r="I17" i="8"/>
  <c r="D18" i="8"/>
  <c r="I18" i="8"/>
  <c r="D19" i="8"/>
  <c r="I19" i="8"/>
  <c r="D20" i="8"/>
  <c r="I20" i="8"/>
  <c r="D21" i="8"/>
  <c r="I21" i="8"/>
  <c r="D22" i="8"/>
  <c r="I22" i="8"/>
  <c r="D23" i="8"/>
  <c r="I23" i="8"/>
  <c r="D24" i="8"/>
  <c r="I24" i="8"/>
  <c r="D25" i="8"/>
  <c r="I25" i="8"/>
  <c r="D26" i="8"/>
  <c r="I26" i="8"/>
  <c r="D27" i="8"/>
  <c r="I27" i="8"/>
  <c r="D28" i="8"/>
  <c r="I28" i="8"/>
  <c r="D29" i="8"/>
  <c r="I29" i="8"/>
  <c r="D30" i="8"/>
  <c r="I30" i="8"/>
  <c r="I31" i="8"/>
  <c r="D31" i="8"/>
  <c r="D32" i="8"/>
  <c r="I32" i="8"/>
  <c r="D33" i="8"/>
  <c r="I33" i="8"/>
  <c r="I34" i="8"/>
  <c r="D34" i="8"/>
  <c r="D35" i="8"/>
  <c r="I35" i="8"/>
  <c r="D36" i="8"/>
  <c r="I36" i="8"/>
  <c r="D37" i="8"/>
  <c r="I37" i="8"/>
  <c r="D38" i="8"/>
  <c r="I38" i="8"/>
  <c r="I39" i="8"/>
  <c r="D39" i="8"/>
  <c r="D40" i="8"/>
  <c r="I40" i="8"/>
  <c r="D41" i="8"/>
  <c r="I41" i="8"/>
  <c r="D42" i="8"/>
  <c r="I42" i="8"/>
  <c r="I43" i="8"/>
  <c r="D43" i="8"/>
  <c r="I44" i="8"/>
  <c r="D44" i="8"/>
  <c r="D45" i="8"/>
  <c r="I45" i="8"/>
  <c r="D46" i="8"/>
  <c r="I46" i="8"/>
  <c r="I47" i="8"/>
  <c r="D47" i="8"/>
  <c r="D48" i="8"/>
  <c r="I48" i="8"/>
  <c r="D49" i="8"/>
  <c r="I49" i="8"/>
  <c r="I50" i="8"/>
  <c r="D50" i="8"/>
  <c r="D51" i="8"/>
  <c r="I51" i="8"/>
  <c r="D52" i="8"/>
  <c r="I52" i="8"/>
  <c r="D53" i="8"/>
  <c r="I53" i="8"/>
  <c r="D54" i="8"/>
  <c r="I54" i="8"/>
  <c r="I55" i="8"/>
  <c r="D55" i="8"/>
  <c r="D56" i="8"/>
  <c r="I56" i="8"/>
  <c r="D57" i="8"/>
  <c r="I57" i="8"/>
  <c r="D58" i="8"/>
  <c r="I58" i="8"/>
  <c r="D59" i="8"/>
  <c r="I59" i="8"/>
  <c r="D60" i="8"/>
  <c r="I60" i="8"/>
  <c r="D61" i="8"/>
  <c r="I61" i="8"/>
  <c r="D62" i="8"/>
  <c r="I62" i="8"/>
  <c r="D63" i="8"/>
  <c r="I63" i="8"/>
  <c r="D64" i="8"/>
  <c r="I64" i="8"/>
  <c r="D65" i="8"/>
  <c r="I65" i="8"/>
  <c r="D66" i="8"/>
  <c r="I66" i="8"/>
  <c r="D67" i="8"/>
  <c r="I67" i="8"/>
  <c r="D68" i="8"/>
  <c r="I68" i="8"/>
  <c r="D69" i="8"/>
  <c r="I69" i="8"/>
  <c r="I70" i="8"/>
  <c r="D70" i="8"/>
  <c r="D71" i="8"/>
  <c r="I71" i="8"/>
  <c r="I72" i="8"/>
  <c r="D72" i="8"/>
  <c r="D73" i="8"/>
  <c r="I73" i="8"/>
  <c r="I74" i="8"/>
  <c r="D74" i="8"/>
  <c r="D75" i="8"/>
  <c r="I75" i="8"/>
  <c r="I76" i="8"/>
  <c r="D76" i="8"/>
  <c r="D77" i="8"/>
  <c r="I77" i="8"/>
  <c r="D78" i="8"/>
  <c r="I78" i="8"/>
  <c r="D79" i="8"/>
  <c r="I79" i="8"/>
  <c r="D80" i="8"/>
  <c r="I80" i="8"/>
  <c r="D81" i="8"/>
  <c r="I81" i="8"/>
  <c r="D82" i="8"/>
  <c r="I82" i="8"/>
  <c r="D83" i="8"/>
  <c r="I83" i="8"/>
  <c r="D84" i="8"/>
  <c r="I84" i="8"/>
  <c r="D85" i="8"/>
  <c r="I85" i="8"/>
  <c r="D86" i="8"/>
  <c r="I86" i="8"/>
  <c r="D87" i="8"/>
  <c r="I87" i="8"/>
  <c r="D88" i="8"/>
  <c r="I88" i="8"/>
  <c r="D89" i="8"/>
  <c r="I89" i="8"/>
  <c r="D90" i="8"/>
  <c r="I90" i="8"/>
  <c r="I91" i="8"/>
  <c r="D91" i="8"/>
  <c r="I92" i="8"/>
  <c r="D92" i="8"/>
  <c r="D93" i="8"/>
  <c r="I93" i="8"/>
  <c r="D94" i="8"/>
  <c r="I94" i="8"/>
  <c r="I95" i="8"/>
  <c r="D95" i="8"/>
  <c r="D96" i="8"/>
  <c r="I96" i="8"/>
  <c r="D97" i="8"/>
  <c r="I97" i="8"/>
  <c r="D98" i="8"/>
  <c r="I98" i="8"/>
  <c r="C99" i="9"/>
  <c r="I3" i="9"/>
  <c r="M3" i="9" s="1"/>
  <c r="D3" i="9"/>
  <c r="D4" i="9"/>
  <c r="I4" i="9"/>
  <c r="I5" i="9"/>
  <c r="D5" i="9"/>
  <c r="D6" i="9"/>
  <c r="I6" i="9"/>
  <c r="D7" i="9"/>
  <c r="I7" i="9"/>
  <c r="D8" i="9"/>
  <c r="I8" i="9"/>
  <c r="D9" i="9"/>
  <c r="I9" i="9"/>
  <c r="D10" i="9"/>
  <c r="I10" i="9"/>
  <c r="D11" i="9"/>
  <c r="I11" i="9"/>
  <c r="I12" i="9"/>
  <c r="D12" i="9"/>
  <c r="D13" i="9"/>
  <c r="I13" i="9"/>
  <c r="D14" i="9"/>
  <c r="I14" i="9"/>
  <c r="D15" i="9"/>
  <c r="I15" i="9"/>
  <c r="D16" i="9"/>
  <c r="I16" i="9"/>
  <c r="I17" i="9"/>
  <c r="D17" i="9"/>
  <c r="D18" i="9"/>
  <c r="I18" i="9"/>
  <c r="D19" i="9"/>
  <c r="I19" i="9"/>
  <c r="I20" i="9"/>
  <c r="D20" i="9"/>
  <c r="D21" i="9"/>
  <c r="I21" i="9"/>
  <c r="D22" i="9"/>
  <c r="I22" i="9"/>
  <c r="I23" i="9"/>
  <c r="D23" i="9"/>
  <c r="D24" i="9"/>
  <c r="I24" i="9"/>
  <c r="D25" i="9"/>
  <c r="I25" i="9"/>
  <c r="D26" i="9"/>
  <c r="I26" i="9"/>
  <c r="D27" i="9"/>
  <c r="I27" i="9"/>
  <c r="I28" i="9"/>
  <c r="D28" i="9"/>
  <c r="I29" i="9"/>
  <c r="D29" i="9"/>
  <c r="D30" i="9"/>
  <c r="I30" i="9"/>
  <c r="D31" i="9"/>
  <c r="I31" i="9"/>
  <c r="D32" i="9"/>
  <c r="I32" i="9"/>
  <c r="D33" i="9"/>
  <c r="I33" i="9"/>
  <c r="D34" i="9"/>
  <c r="I34" i="9"/>
  <c r="D35" i="9"/>
  <c r="I35" i="9"/>
  <c r="D36" i="9"/>
  <c r="I36" i="9"/>
  <c r="D37" i="9"/>
  <c r="I37" i="9"/>
  <c r="I38" i="9"/>
  <c r="D38" i="9"/>
  <c r="D39" i="9"/>
  <c r="I39" i="9"/>
  <c r="D40" i="9"/>
  <c r="I40" i="9"/>
  <c r="I41" i="9"/>
  <c r="D41" i="9"/>
  <c r="D42" i="9"/>
  <c r="I42" i="9"/>
  <c r="D43" i="9"/>
  <c r="I43" i="9"/>
  <c r="D44" i="9"/>
  <c r="I44" i="9"/>
  <c r="D45" i="9"/>
  <c r="I45" i="9"/>
  <c r="D46" i="9"/>
  <c r="I46" i="9"/>
  <c r="D47" i="9"/>
  <c r="I47" i="9"/>
  <c r="I48" i="9"/>
  <c r="D48" i="9"/>
  <c r="D49" i="9"/>
  <c r="I49" i="9"/>
  <c r="D50" i="9"/>
  <c r="I50" i="9"/>
  <c r="D51" i="9"/>
  <c r="I51" i="9"/>
  <c r="D52" i="9"/>
  <c r="I52" i="9"/>
  <c r="D53" i="9"/>
  <c r="I53" i="9"/>
  <c r="D54" i="9"/>
  <c r="I54" i="9"/>
  <c r="D55" i="9"/>
  <c r="I55" i="9"/>
  <c r="I56" i="9"/>
  <c r="D56" i="9"/>
  <c r="D57" i="9"/>
  <c r="I57" i="9"/>
  <c r="D58" i="9"/>
  <c r="I58" i="9"/>
  <c r="I59" i="9"/>
  <c r="D59" i="9"/>
  <c r="I60" i="9"/>
  <c r="D60" i="9"/>
  <c r="D61" i="9"/>
  <c r="I61" i="9"/>
  <c r="I62" i="9"/>
  <c r="D62" i="9"/>
  <c r="D63" i="9"/>
  <c r="I63" i="9"/>
  <c r="D64" i="9"/>
  <c r="I64" i="9"/>
  <c r="D65" i="9"/>
  <c r="I65" i="9"/>
  <c r="I66" i="9"/>
  <c r="D66" i="9"/>
  <c r="D67" i="9"/>
  <c r="I67" i="9"/>
  <c r="D68" i="9"/>
  <c r="I68" i="9"/>
  <c r="D69" i="9"/>
  <c r="I69" i="9"/>
  <c r="D70" i="9"/>
  <c r="I70" i="9"/>
  <c r="D71" i="9"/>
  <c r="I71" i="9"/>
  <c r="D72" i="9"/>
  <c r="I72" i="9"/>
  <c r="D73" i="9"/>
  <c r="I73" i="9"/>
  <c r="D74" i="9"/>
  <c r="I74" i="9"/>
  <c r="I75" i="9"/>
  <c r="D75" i="9"/>
  <c r="D76" i="9"/>
  <c r="I76" i="9"/>
  <c r="I77" i="9"/>
  <c r="D77" i="9"/>
  <c r="D78" i="9"/>
  <c r="I78" i="9"/>
  <c r="D79" i="9"/>
  <c r="I79" i="9"/>
  <c r="D80" i="9"/>
  <c r="I80" i="9"/>
  <c r="D81" i="9"/>
  <c r="I81" i="9"/>
  <c r="D82" i="9"/>
  <c r="I82" i="9"/>
  <c r="I83" i="9"/>
  <c r="D83" i="9"/>
  <c r="D84" i="9"/>
  <c r="I84" i="9"/>
  <c r="D85" i="9"/>
  <c r="I85" i="9"/>
  <c r="I86" i="9"/>
  <c r="D86" i="9"/>
  <c r="D87" i="9"/>
  <c r="I87" i="9"/>
  <c r="D88" i="9"/>
  <c r="I88" i="9"/>
  <c r="D89" i="9"/>
  <c r="I89" i="9"/>
  <c r="I90" i="9"/>
  <c r="D90" i="9"/>
  <c r="D91" i="9"/>
  <c r="I91" i="9"/>
  <c r="D92" i="9"/>
  <c r="I92" i="9"/>
  <c r="D93" i="9"/>
  <c r="I93" i="9"/>
  <c r="D94" i="9"/>
  <c r="I94" i="9"/>
  <c r="D95" i="9"/>
  <c r="I95" i="9"/>
  <c r="D96" i="9"/>
  <c r="I96" i="9"/>
  <c r="D97" i="9"/>
  <c r="I97" i="9"/>
  <c r="D98" i="9"/>
  <c r="I98" i="9"/>
  <c r="I4" i="7"/>
  <c r="D4" i="7"/>
  <c r="D5" i="7"/>
  <c r="I5" i="7"/>
  <c r="D6" i="7"/>
  <c r="I6" i="7"/>
  <c r="I7" i="7"/>
  <c r="D7" i="7"/>
  <c r="D8" i="7"/>
  <c r="I8" i="7"/>
  <c r="D9" i="7"/>
  <c r="I9" i="7"/>
  <c r="D13" i="7"/>
  <c r="I13" i="7"/>
  <c r="D14" i="7"/>
  <c r="I14" i="7"/>
  <c r="D15" i="7"/>
  <c r="I15" i="7"/>
  <c r="D16" i="7"/>
  <c r="I16" i="7"/>
  <c r="D17" i="7"/>
  <c r="I17" i="7"/>
  <c r="I18" i="7"/>
  <c r="D18" i="7"/>
  <c r="D19" i="7"/>
  <c r="I19" i="7"/>
  <c r="D20" i="7"/>
  <c r="I20" i="7"/>
  <c r="I21" i="7"/>
  <c r="D21" i="7"/>
  <c r="D25" i="7"/>
  <c r="I25" i="7"/>
  <c r="D26" i="7"/>
  <c r="I26" i="7"/>
  <c r="I27" i="7"/>
  <c r="D27" i="7"/>
  <c r="D28" i="7"/>
  <c r="I28" i="7"/>
  <c r="I29" i="7"/>
  <c r="D29" i="7"/>
  <c r="D30" i="7"/>
  <c r="I30" i="7"/>
  <c r="D31" i="7"/>
  <c r="I31" i="7"/>
  <c r="D32" i="7"/>
  <c r="I32" i="7"/>
  <c r="D33" i="7"/>
  <c r="I33" i="7"/>
  <c r="D38" i="7"/>
  <c r="I38" i="7"/>
  <c r="D39" i="7"/>
  <c r="I39" i="7"/>
  <c r="D40" i="7"/>
  <c r="I40" i="7"/>
  <c r="D42" i="7"/>
  <c r="I42" i="7"/>
  <c r="D43" i="7"/>
  <c r="I43" i="7"/>
  <c r="D44" i="7"/>
  <c r="I44" i="7"/>
  <c r="D45" i="7"/>
  <c r="I45" i="7"/>
  <c r="I49" i="7"/>
  <c r="D49" i="7"/>
  <c r="D50" i="7"/>
  <c r="I50" i="7"/>
  <c r="D51" i="7"/>
  <c r="I51" i="7"/>
  <c r="D52" i="7"/>
  <c r="I52" i="7"/>
  <c r="I54" i="7"/>
  <c r="D54" i="7"/>
  <c r="D55" i="7"/>
  <c r="I55" i="7"/>
  <c r="D56" i="7"/>
  <c r="I56" i="7"/>
  <c r="D57" i="7"/>
  <c r="I57" i="7"/>
  <c r="D62" i="7"/>
  <c r="I62" i="7"/>
  <c r="D63" i="7"/>
  <c r="I63" i="7"/>
  <c r="D64" i="7"/>
  <c r="I64" i="7"/>
  <c r="D65" i="7"/>
  <c r="I65" i="7"/>
  <c r="D66" i="7"/>
  <c r="I66" i="7"/>
  <c r="D67" i="7"/>
  <c r="I67" i="7"/>
  <c r="D68" i="7"/>
  <c r="I68" i="7"/>
  <c r="I69" i="7"/>
  <c r="D69" i="7"/>
  <c r="D73" i="7"/>
  <c r="I73" i="7"/>
  <c r="D74" i="7"/>
  <c r="I74" i="7"/>
  <c r="D75" i="7"/>
  <c r="I75" i="7"/>
  <c r="D76" i="7"/>
  <c r="I76" i="7"/>
  <c r="D78" i="7"/>
  <c r="I78" i="7"/>
  <c r="D79" i="7"/>
  <c r="I79" i="7"/>
  <c r="I80" i="7"/>
  <c r="D80" i="7"/>
  <c r="D81" i="7"/>
  <c r="I81" i="7"/>
  <c r="D85" i="7"/>
  <c r="I85" i="7"/>
  <c r="D86" i="7"/>
  <c r="I86" i="7"/>
  <c r="D87" i="7"/>
  <c r="I87" i="7"/>
  <c r="I88" i="7"/>
  <c r="D88" i="7"/>
  <c r="D89" i="7"/>
  <c r="I89" i="7"/>
  <c r="D90" i="7"/>
  <c r="I90" i="7"/>
  <c r="D91" i="7"/>
  <c r="I91" i="7"/>
  <c r="D92" i="7"/>
  <c r="I92" i="7"/>
  <c r="D93" i="7"/>
  <c r="I93" i="7"/>
  <c r="D97" i="7"/>
  <c r="I97" i="7"/>
  <c r="D98" i="7"/>
  <c r="I98" i="7"/>
  <c r="D3" i="7"/>
  <c r="I3" i="7"/>
  <c r="C99" i="7"/>
  <c r="D10" i="7"/>
  <c r="I10" i="7"/>
  <c r="I11" i="7"/>
  <c r="D11" i="7"/>
  <c r="D12" i="7"/>
  <c r="I12" i="7"/>
  <c r="D22" i="7"/>
  <c r="I22" i="7"/>
  <c r="D23" i="7"/>
  <c r="I23" i="7"/>
  <c r="D24" i="7"/>
  <c r="I24" i="7"/>
  <c r="D34" i="7"/>
  <c r="I34" i="7"/>
  <c r="D35" i="7"/>
  <c r="I35" i="7"/>
  <c r="D36" i="7"/>
  <c r="I36" i="7"/>
  <c r="D37" i="7"/>
  <c r="I37" i="7"/>
  <c r="D41" i="7"/>
  <c r="I41" i="7"/>
  <c r="I46" i="7"/>
  <c r="D46" i="7"/>
  <c r="D47" i="7"/>
  <c r="I47" i="7"/>
  <c r="D48" i="7"/>
  <c r="I48" i="7"/>
  <c r="D53" i="7"/>
  <c r="I53" i="7"/>
  <c r="D58" i="7"/>
  <c r="I58" i="7"/>
  <c r="D59" i="7"/>
  <c r="I59" i="7"/>
  <c r="I60" i="7"/>
  <c r="D60" i="7"/>
  <c r="I61" i="7"/>
  <c r="D61" i="7"/>
  <c r="D70" i="7"/>
  <c r="I70" i="7"/>
  <c r="I71" i="7"/>
  <c r="D71" i="7"/>
  <c r="D72" i="7"/>
  <c r="I72" i="7"/>
  <c r="D77" i="7"/>
  <c r="I77" i="7"/>
  <c r="D82" i="7"/>
  <c r="I82" i="7"/>
  <c r="I83" i="7"/>
  <c r="D83" i="7"/>
  <c r="D84" i="7"/>
  <c r="I84" i="7"/>
  <c r="I94" i="7"/>
  <c r="D94" i="7"/>
  <c r="D95" i="7"/>
  <c r="I95" i="7"/>
  <c r="D96" i="7"/>
  <c r="I96" i="7"/>
  <c r="D3" i="2"/>
  <c r="I3" i="2"/>
  <c r="M3" i="2" s="1"/>
  <c r="C99" i="2"/>
  <c r="D4" i="2"/>
  <c r="I4" i="2"/>
  <c r="D5" i="2"/>
  <c r="I5" i="2"/>
  <c r="D6" i="2"/>
  <c r="I6" i="2"/>
  <c r="I7" i="2"/>
  <c r="D7" i="2"/>
  <c r="D8" i="2"/>
  <c r="I8" i="2"/>
  <c r="D9" i="2"/>
  <c r="I9" i="2"/>
  <c r="I10" i="2"/>
  <c r="D10" i="2"/>
  <c r="D11" i="2"/>
  <c r="I11" i="2"/>
  <c r="D12" i="2"/>
  <c r="I12" i="2"/>
  <c r="I13" i="2"/>
  <c r="D13" i="2"/>
  <c r="D14" i="2"/>
  <c r="I14" i="2"/>
  <c r="D15" i="2"/>
  <c r="I15" i="2"/>
  <c r="D16" i="2"/>
  <c r="I16" i="2"/>
  <c r="D17" i="2"/>
  <c r="I17" i="2"/>
  <c r="I18" i="2"/>
  <c r="D18" i="2"/>
  <c r="D19" i="2"/>
  <c r="I19" i="2"/>
  <c r="D20" i="2"/>
  <c r="I20" i="2"/>
  <c r="D21" i="2"/>
  <c r="I21" i="2"/>
  <c r="D22" i="2"/>
  <c r="I22" i="2"/>
  <c r="D23" i="2"/>
  <c r="I23" i="2"/>
  <c r="D24" i="2"/>
  <c r="I24" i="2"/>
  <c r="D25" i="2"/>
  <c r="I25" i="2"/>
  <c r="D26" i="2"/>
  <c r="I26" i="2"/>
  <c r="D27" i="2"/>
  <c r="I27" i="2"/>
  <c r="I28" i="2"/>
  <c r="D28" i="2"/>
  <c r="D29" i="2"/>
  <c r="I29" i="2"/>
  <c r="I30" i="2"/>
  <c r="D30" i="2"/>
  <c r="D31" i="2"/>
  <c r="I31" i="2"/>
  <c r="D32" i="2"/>
  <c r="I32" i="2"/>
  <c r="D33" i="2"/>
  <c r="I33" i="2"/>
  <c r="D34" i="2"/>
  <c r="I34" i="2"/>
  <c r="D35" i="2"/>
  <c r="I35" i="2"/>
  <c r="D36" i="2"/>
  <c r="I36" i="2"/>
  <c r="D37" i="2"/>
  <c r="I37" i="2"/>
  <c r="I38" i="2"/>
  <c r="D38" i="2"/>
  <c r="D39" i="2"/>
  <c r="I39" i="2"/>
  <c r="D40" i="2"/>
  <c r="I40" i="2"/>
  <c r="I41" i="2"/>
  <c r="D41" i="2"/>
  <c r="D42" i="2"/>
  <c r="I42" i="2"/>
  <c r="D43" i="2"/>
  <c r="I43" i="2"/>
  <c r="D44" i="2"/>
  <c r="I44" i="2"/>
  <c r="D45" i="2"/>
  <c r="I45" i="2"/>
  <c r="D46" i="2"/>
  <c r="I46" i="2"/>
  <c r="D47" i="2"/>
  <c r="I47" i="2"/>
  <c r="D48" i="2"/>
  <c r="I48" i="2"/>
  <c r="D49" i="2"/>
  <c r="I49" i="2"/>
  <c r="I50" i="2"/>
  <c r="D50" i="2"/>
  <c r="D51" i="2"/>
  <c r="I51" i="2"/>
  <c r="D52" i="2"/>
  <c r="I52" i="2"/>
  <c r="D53" i="2"/>
  <c r="I53" i="2"/>
  <c r="D54" i="2"/>
  <c r="I54" i="2"/>
  <c r="D55" i="2"/>
  <c r="I55" i="2"/>
  <c r="I56" i="2"/>
  <c r="D56" i="2"/>
  <c r="I57" i="2"/>
  <c r="D57" i="2"/>
  <c r="D58" i="2"/>
  <c r="I58" i="2"/>
  <c r="D59" i="2"/>
  <c r="I59" i="2"/>
  <c r="D60" i="2"/>
  <c r="I60" i="2"/>
  <c r="D61" i="2"/>
  <c r="I61" i="2"/>
  <c r="D62" i="2"/>
  <c r="I62" i="2"/>
  <c r="D63" i="2"/>
  <c r="I63" i="2"/>
  <c r="D64" i="2"/>
  <c r="I64" i="2"/>
  <c r="I65" i="2"/>
  <c r="D65" i="2"/>
  <c r="I66" i="2"/>
  <c r="D66" i="2"/>
  <c r="D67" i="2"/>
  <c r="I67" i="2"/>
  <c r="I68" i="2"/>
  <c r="D68" i="2"/>
  <c r="D69" i="2"/>
  <c r="I69" i="2"/>
  <c r="D70" i="2"/>
  <c r="I70" i="2"/>
  <c r="D71" i="2"/>
  <c r="I71" i="2"/>
  <c r="D72" i="2"/>
  <c r="I72" i="2"/>
  <c r="D73" i="2"/>
  <c r="I73" i="2"/>
  <c r="D74" i="2"/>
  <c r="I74" i="2"/>
  <c r="D75" i="2"/>
  <c r="I75" i="2"/>
  <c r="I76" i="2"/>
  <c r="D76" i="2"/>
  <c r="D77" i="2"/>
  <c r="I77" i="2"/>
  <c r="D78" i="2"/>
  <c r="I78" i="2"/>
  <c r="D79" i="2"/>
  <c r="I79" i="2"/>
  <c r="D80" i="2"/>
  <c r="I80" i="2"/>
  <c r="D81" i="2"/>
  <c r="I81" i="2"/>
  <c r="D82" i="2"/>
  <c r="I82" i="2"/>
  <c r="D83" i="2"/>
  <c r="I83" i="2"/>
  <c r="D84" i="2"/>
  <c r="I84" i="2"/>
  <c r="D85" i="2"/>
  <c r="I85" i="2"/>
  <c r="I86" i="2"/>
  <c r="D86" i="2"/>
  <c r="D87" i="2"/>
  <c r="I87" i="2"/>
  <c r="D88" i="2"/>
  <c r="I88" i="2"/>
  <c r="D89" i="2"/>
  <c r="I89" i="2"/>
  <c r="D90" i="2"/>
  <c r="I90" i="2"/>
  <c r="D91" i="2"/>
  <c r="I91" i="2"/>
  <c r="D92" i="2"/>
  <c r="I92" i="2"/>
  <c r="I93" i="2"/>
  <c r="D93" i="2"/>
  <c r="D94" i="2"/>
  <c r="I94" i="2"/>
  <c r="D95" i="2"/>
  <c r="I95" i="2"/>
  <c r="I96" i="2"/>
  <c r="D96" i="2"/>
  <c r="D97" i="2"/>
  <c r="I97" i="2"/>
  <c r="D98" i="2"/>
  <c r="I98" i="2"/>
  <c r="D3" i="6"/>
  <c r="I3" i="6"/>
  <c r="M3" i="6" s="1"/>
  <c r="C99" i="6"/>
  <c r="I4" i="6"/>
  <c r="D4" i="6"/>
  <c r="I5" i="6"/>
  <c r="B7" i="6"/>
  <c r="D5" i="6"/>
  <c r="V98" i="16"/>
  <c r="V98" i="19"/>
  <c r="V98" i="18"/>
  <c r="V98" i="17"/>
  <c r="I99" i="8" l="1"/>
  <c r="M3" i="8"/>
  <c r="G3" i="8" s="1"/>
  <c r="D99" i="8"/>
  <c r="N3" i="8"/>
  <c r="H3" i="8" s="1"/>
  <c r="L3" i="9"/>
  <c r="G3" i="9"/>
  <c r="I99" i="9"/>
  <c r="D99" i="9"/>
  <c r="N3" i="9"/>
  <c r="I99" i="7"/>
  <c r="M3" i="7"/>
  <c r="D99" i="7"/>
  <c r="N3" i="7"/>
  <c r="H3" i="7" s="1"/>
  <c r="D99" i="2"/>
  <c r="G3" i="2"/>
  <c r="N3" i="2"/>
  <c r="L3" i="2"/>
  <c r="I99" i="2"/>
  <c r="N3" i="6"/>
  <c r="L3" i="6"/>
  <c r="B8" i="6"/>
  <c r="G3" i="6"/>
  <c r="I6" i="6"/>
  <c r="D6" i="6"/>
  <c r="F6" i="15"/>
  <c r="H4" i="15"/>
  <c r="H5" i="15"/>
  <c r="I4" i="15" s="1"/>
  <c r="H6" i="15"/>
  <c r="I5" i="15" s="1"/>
  <c r="H7" i="15"/>
  <c r="I6" i="15" s="1"/>
  <c r="H8" i="15"/>
  <c r="I7" i="15" s="1"/>
  <c r="H9" i="15"/>
  <c r="I8" i="15" s="1"/>
  <c r="H10" i="15"/>
  <c r="I9" i="15" s="1"/>
  <c r="H11" i="15"/>
  <c r="I10" i="15" s="1"/>
  <c r="H12" i="15"/>
  <c r="I11" i="15" s="1"/>
  <c r="H13" i="15"/>
  <c r="I12" i="15" s="1"/>
  <c r="H14" i="15"/>
  <c r="I13" i="15" s="1"/>
  <c r="H15" i="15"/>
  <c r="I14" i="15" s="1"/>
  <c r="H16" i="15"/>
  <c r="I15" i="15" s="1"/>
  <c r="H17" i="15"/>
  <c r="I16" i="15" s="1"/>
  <c r="H18" i="15"/>
  <c r="I17" i="15" s="1"/>
  <c r="H19" i="15"/>
  <c r="I18" i="15" s="1"/>
  <c r="H20" i="15"/>
  <c r="I19" i="15" s="1"/>
  <c r="H21" i="15"/>
  <c r="I20" i="15" s="1"/>
  <c r="H22" i="15"/>
  <c r="I21" i="15" s="1"/>
  <c r="H23" i="15"/>
  <c r="I22" i="15" s="1"/>
  <c r="H24" i="15"/>
  <c r="I23" i="15" s="1"/>
  <c r="H25" i="15"/>
  <c r="I24" i="15" s="1"/>
  <c r="H26" i="15"/>
  <c r="I25" i="15" s="1"/>
  <c r="H27" i="15"/>
  <c r="I26" i="15" s="1"/>
  <c r="H28" i="15"/>
  <c r="I27" i="15" s="1"/>
  <c r="H29" i="15"/>
  <c r="I28" i="15" s="1"/>
  <c r="H30" i="15"/>
  <c r="I29" i="15" s="1"/>
  <c r="H31" i="15"/>
  <c r="I30" i="15" s="1"/>
  <c r="H32" i="15"/>
  <c r="I31" i="15" s="1"/>
  <c r="H33" i="15"/>
  <c r="I32" i="15" s="1"/>
  <c r="H34" i="15"/>
  <c r="I33" i="15" s="1"/>
  <c r="H35" i="15"/>
  <c r="I34" i="15" s="1"/>
  <c r="H36" i="15"/>
  <c r="I35" i="15" s="1"/>
  <c r="H37" i="15"/>
  <c r="I36" i="15" s="1"/>
  <c r="H38" i="15"/>
  <c r="I37" i="15" s="1"/>
  <c r="H39" i="15"/>
  <c r="I38" i="15" s="1"/>
  <c r="H40" i="15"/>
  <c r="I39" i="15" s="1"/>
  <c r="H41" i="15"/>
  <c r="I40" i="15" s="1"/>
  <c r="H42" i="15"/>
  <c r="I41" i="15" s="1"/>
  <c r="H43" i="15"/>
  <c r="I42" i="15" s="1"/>
  <c r="H44" i="15"/>
  <c r="I43" i="15" s="1"/>
  <c r="H45" i="15"/>
  <c r="I44" i="15" s="1"/>
  <c r="H46" i="15"/>
  <c r="I45" i="15" s="1"/>
  <c r="H47" i="15"/>
  <c r="I46" i="15" s="1"/>
  <c r="H48" i="15"/>
  <c r="I47" i="15" s="1"/>
  <c r="H49" i="15"/>
  <c r="I48" i="15" s="1"/>
  <c r="H50" i="15"/>
  <c r="I49" i="15" s="1"/>
  <c r="H51" i="15"/>
  <c r="I50" i="15" s="1"/>
  <c r="H52" i="15"/>
  <c r="I51" i="15" s="1"/>
  <c r="H53" i="15"/>
  <c r="I52" i="15" s="1"/>
  <c r="H54" i="15"/>
  <c r="I53" i="15" s="1"/>
  <c r="H55" i="15"/>
  <c r="I54" i="15" s="1"/>
  <c r="H56" i="15"/>
  <c r="I55" i="15" s="1"/>
  <c r="H57" i="15"/>
  <c r="I56" i="15" s="1"/>
  <c r="H58" i="15"/>
  <c r="I57" i="15" s="1"/>
  <c r="H59" i="15"/>
  <c r="I58" i="15" s="1"/>
  <c r="H60" i="15"/>
  <c r="I59" i="15" s="1"/>
  <c r="H61" i="15"/>
  <c r="I60" i="15" s="1"/>
  <c r="H62" i="15"/>
  <c r="I61" i="15" s="1"/>
  <c r="H63" i="15"/>
  <c r="H64" i="15"/>
  <c r="I63" i="15" s="1"/>
  <c r="H65" i="15"/>
  <c r="I64" i="15" s="1"/>
  <c r="H66" i="15"/>
  <c r="I65" i="15" s="1"/>
  <c r="H67" i="15"/>
  <c r="I66" i="15" s="1"/>
  <c r="H68" i="15"/>
  <c r="I67" i="15" s="1"/>
  <c r="H69" i="15"/>
  <c r="I68" i="15" s="1"/>
  <c r="H70" i="15"/>
  <c r="I69" i="15" s="1"/>
  <c r="H71" i="15"/>
  <c r="I70" i="15" s="1"/>
  <c r="H72" i="15"/>
  <c r="I71" i="15" s="1"/>
  <c r="H73" i="15"/>
  <c r="I72" i="15" s="1"/>
  <c r="H74" i="15"/>
  <c r="I73" i="15" s="1"/>
  <c r="H75" i="15"/>
  <c r="I74" i="15" s="1"/>
  <c r="H76" i="15"/>
  <c r="I75" i="15" s="1"/>
  <c r="H77" i="15"/>
  <c r="I76" i="15" s="1"/>
  <c r="H78" i="15"/>
  <c r="I77" i="15" s="1"/>
  <c r="H79" i="15"/>
  <c r="I78" i="15" s="1"/>
  <c r="H80" i="15"/>
  <c r="I79" i="15" s="1"/>
  <c r="H81" i="15"/>
  <c r="I80" i="15" s="1"/>
  <c r="H82" i="15"/>
  <c r="I81" i="15" s="1"/>
  <c r="H83" i="15"/>
  <c r="I82" i="15" s="1"/>
  <c r="H84" i="15"/>
  <c r="I83" i="15" s="1"/>
  <c r="H85" i="15"/>
  <c r="I84" i="15" s="1"/>
  <c r="H86" i="15"/>
  <c r="I85" i="15" s="1"/>
  <c r="H87" i="15"/>
  <c r="I86" i="15" s="1"/>
  <c r="H88" i="15"/>
  <c r="I87" i="15" s="1"/>
  <c r="H89" i="15"/>
  <c r="I88" i="15" s="1"/>
  <c r="H90" i="15"/>
  <c r="I89" i="15" s="1"/>
  <c r="H91" i="15"/>
  <c r="I90" i="15" s="1"/>
  <c r="H92" i="15"/>
  <c r="I91" i="15" s="1"/>
  <c r="H93" i="15"/>
  <c r="I92" i="15" s="1"/>
  <c r="H94" i="15"/>
  <c r="I93" i="15" s="1"/>
  <c r="H95" i="15"/>
  <c r="I94" i="15" s="1"/>
  <c r="H96" i="15"/>
  <c r="I95" i="15" s="1"/>
  <c r="H97" i="15"/>
  <c r="I96" i="15" s="1"/>
  <c r="H98" i="15"/>
  <c r="I97" i="15" s="1"/>
  <c r="H99" i="15"/>
  <c r="I98" i="15" s="1"/>
  <c r="H3" i="15"/>
  <c r="I2" i="15" s="1"/>
  <c r="F1" i="15"/>
  <c r="B2" i="15"/>
  <c r="J2" i="15"/>
  <c r="K2" i="15"/>
  <c r="J3" i="15"/>
  <c r="K3" i="15"/>
  <c r="J4" i="15"/>
  <c r="K4" i="15"/>
  <c r="J5" i="15"/>
  <c r="K5" i="15"/>
  <c r="J6" i="15"/>
  <c r="K6" i="15"/>
  <c r="J7" i="15"/>
  <c r="K7" i="15"/>
  <c r="J8" i="15"/>
  <c r="K8" i="15"/>
  <c r="J9" i="15"/>
  <c r="K9" i="15"/>
  <c r="J10" i="15"/>
  <c r="K10" i="15"/>
  <c r="C11" i="15"/>
  <c r="C12" i="15" s="1"/>
  <c r="J11" i="15"/>
  <c r="K11" i="15"/>
  <c r="J12" i="15"/>
  <c r="K12" i="15"/>
  <c r="J13" i="15"/>
  <c r="K13" i="15"/>
  <c r="J14" i="15"/>
  <c r="K14" i="15"/>
  <c r="J15" i="15"/>
  <c r="K15" i="15"/>
  <c r="J16" i="15"/>
  <c r="K16" i="15"/>
  <c r="J17" i="15"/>
  <c r="K17" i="15"/>
  <c r="J18" i="15"/>
  <c r="K18" i="15"/>
  <c r="J19" i="15"/>
  <c r="K19" i="15"/>
  <c r="J20" i="15"/>
  <c r="K20" i="15"/>
  <c r="J21" i="15"/>
  <c r="K21" i="15"/>
  <c r="J22" i="15"/>
  <c r="K22" i="15"/>
  <c r="J23" i="15"/>
  <c r="K23" i="15"/>
  <c r="J24" i="15"/>
  <c r="K24" i="15"/>
  <c r="J25" i="15"/>
  <c r="K25" i="15"/>
  <c r="J26" i="15"/>
  <c r="K26" i="15"/>
  <c r="J27" i="15"/>
  <c r="K27" i="15"/>
  <c r="J28" i="15"/>
  <c r="K28" i="15"/>
  <c r="J29" i="15"/>
  <c r="K29" i="15"/>
  <c r="J30" i="15"/>
  <c r="K30" i="15"/>
  <c r="J31" i="15"/>
  <c r="K31" i="15"/>
  <c r="J32" i="15"/>
  <c r="K32" i="15"/>
  <c r="J33" i="15"/>
  <c r="K33" i="15"/>
  <c r="J34" i="15"/>
  <c r="K34" i="15"/>
  <c r="J35" i="15"/>
  <c r="K35" i="15"/>
  <c r="J36" i="15"/>
  <c r="K36" i="15"/>
  <c r="J37" i="15"/>
  <c r="K37" i="15"/>
  <c r="J38" i="15"/>
  <c r="K38" i="15"/>
  <c r="J39" i="15"/>
  <c r="K39" i="15"/>
  <c r="J40" i="15"/>
  <c r="K40" i="15"/>
  <c r="J41" i="15"/>
  <c r="K41" i="15"/>
  <c r="J42" i="15"/>
  <c r="K42" i="15"/>
  <c r="J43" i="15"/>
  <c r="K43" i="15"/>
  <c r="J44" i="15"/>
  <c r="K44" i="15"/>
  <c r="J45" i="15"/>
  <c r="K45" i="15"/>
  <c r="J46" i="15"/>
  <c r="K46" i="15"/>
  <c r="J47" i="15"/>
  <c r="K47" i="15"/>
  <c r="J48" i="15"/>
  <c r="K48" i="15"/>
  <c r="J49" i="15"/>
  <c r="K49" i="15"/>
  <c r="J50" i="15"/>
  <c r="K50" i="15"/>
  <c r="J51" i="15"/>
  <c r="K51" i="15"/>
  <c r="J52" i="15"/>
  <c r="K52" i="15"/>
  <c r="J53" i="15"/>
  <c r="K53" i="15"/>
  <c r="J54" i="15"/>
  <c r="K54" i="15"/>
  <c r="J55" i="15"/>
  <c r="K55" i="15"/>
  <c r="J56" i="15"/>
  <c r="K56" i="15"/>
  <c r="J57" i="15"/>
  <c r="K57" i="15"/>
  <c r="J58" i="15"/>
  <c r="K58" i="15"/>
  <c r="J59" i="15"/>
  <c r="K59" i="15"/>
  <c r="J60" i="15"/>
  <c r="K60" i="15"/>
  <c r="J61" i="15"/>
  <c r="K61" i="15"/>
  <c r="I62" i="15"/>
  <c r="J62" i="15"/>
  <c r="K62" i="15"/>
  <c r="J63" i="15"/>
  <c r="K63" i="15"/>
  <c r="J64" i="15"/>
  <c r="K64" i="15"/>
  <c r="J65" i="15"/>
  <c r="K65" i="15"/>
  <c r="J66" i="15"/>
  <c r="K66" i="15"/>
  <c r="J67" i="15"/>
  <c r="K67" i="15"/>
  <c r="J68" i="15"/>
  <c r="K68" i="15"/>
  <c r="J69" i="15"/>
  <c r="K69" i="15"/>
  <c r="J70" i="15"/>
  <c r="K70" i="15"/>
  <c r="J71" i="15"/>
  <c r="K71" i="15"/>
  <c r="J72" i="15"/>
  <c r="K72" i="15"/>
  <c r="J73" i="15"/>
  <c r="K73" i="15"/>
  <c r="J74" i="15"/>
  <c r="K74" i="15"/>
  <c r="J75" i="15"/>
  <c r="K75" i="15"/>
  <c r="J76" i="15"/>
  <c r="K76" i="15"/>
  <c r="J77" i="15"/>
  <c r="K77" i="15"/>
  <c r="J78" i="15"/>
  <c r="K78" i="15"/>
  <c r="J79" i="15"/>
  <c r="K79" i="15"/>
  <c r="J80" i="15"/>
  <c r="K80" i="15"/>
  <c r="J81" i="15"/>
  <c r="K81" i="15"/>
  <c r="J82" i="15"/>
  <c r="K82" i="15"/>
  <c r="J83" i="15"/>
  <c r="K83" i="15"/>
  <c r="J84" i="15"/>
  <c r="K84" i="15"/>
  <c r="J85" i="15"/>
  <c r="K85" i="15"/>
  <c r="J86" i="15"/>
  <c r="K86" i="15"/>
  <c r="J87" i="15"/>
  <c r="K87" i="15"/>
  <c r="J88" i="15"/>
  <c r="K88" i="15"/>
  <c r="J89" i="15"/>
  <c r="K89" i="15"/>
  <c r="J90" i="15"/>
  <c r="K90" i="15"/>
  <c r="J91" i="15"/>
  <c r="K91" i="15"/>
  <c r="J92" i="15"/>
  <c r="K92" i="15"/>
  <c r="J93" i="15"/>
  <c r="K93" i="15"/>
  <c r="J94" i="15"/>
  <c r="K94" i="15"/>
  <c r="J95" i="15"/>
  <c r="K95" i="15"/>
  <c r="J96" i="15"/>
  <c r="K96" i="15"/>
  <c r="J97" i="15"/>
  <c r="K97" i="15"/>
  <c r="J98" i="15"/>
  <c r="K98" i="15"/>
  <c r="I99" i="15"/>
  <c r="J99" i="15"/>
  <c r="K99" i="15"/>
  <c r="O3" i="6" l="1"/>
  <c r="H3" i="6"/>
  <c r="F3" i="6" s="1"/>
  <c r="L3" i="8"/>
  <c r="O3" i="8"/>
  <c r="F3" i="8"/>
  <c r="H3" i="9"/>
  <c r="O3" i="9"/>
  <c r="L3" i="7"/>
  <c r="G3" i="7"/>
  <c r="O3" i="7"/>
  <c r="F3" i="7"/>
  <c r="O3" i="2"/>
  <c r="H3" i="2"/>
  <c r="K3" i="6"/>
  <c r="I7" i="6"/>
  <c r="D7" i="6"/>
  <c r="B9" i="6"/>
  <c r="M4" i="6"/>
  <c r="N4" i="6"/>
  <c r="P15" i="1"/>
  <c r="P27" i="1"/>
  <c r="P39" i="1"/>
  <c r="P51" i="1"/>
  <c r="P63" i="1"/>
  <c r="P75" i="1"/>
  <c r="P87" i="1"/>
  <c r="P3" i="1"/>
  <c r="P16" i="1"/>
  <c r="P40" i="1"/>
  <c r="P88" i="1"/>
  <c r="P4" i="1"/>
  <c r="P5" i="1"/>
  <c r="P17" i="1"/>
  <c r="P29" i="1"/>
  <c r="P41" i="1"/>
  <c r="P53" i="1"/>
  <c r="P65" i="1"/>
  <c r="P77" i="1"/>
  <c r="P89" i="1"/>
  <c r="P6" i="1"/>
  <c r="P18" i="1"/>
  <c r="P30" i="1"/>
  <c r="P42" i="1"/>
  <c r="P54" i="1"/>
  <c r="P66" i="1"/>
  <c r="P78" i="1"/>
  <c r="P90" i="1"/>
  <c r="P76" i="1"/>
  <c r="P7" i="1"/>
  <c r="P19" i="1"/>
  <c r="P31" i="1"/>
  <c r="P43" i="1"/>
  <c r="P55" i="1"/>
  <c r="P67" i="1"/>
  <c r="P79" i="1"/>
  <c r="P91" i="1"/>
  <c r="P8" i="1"/>
  <c r="P20" i="1"/>
  <c r="P32" i="1"/>
  <c r="P44" i="1"/>
  <c r="P56" i="1"/>
  <c r="P68" i="1"/>
  <c r="P80" i="1"/>
  <c r="P92" i="1"/>
  <c r="P64" i="1"/>
  <c r="P9" i="1"/>
  <c r="P21" i="1"/>
  <c r="P33" i="1"/>
  <c r="P45" i="1"/>
  <c r="P57" i="1"/>
  <c r="P69" i="1"/>
  <c r="P81" i="1"/>
  <c r="P93" i="1"/>
  <c r="P52" i="1"/>
  <c r="P10" i="1"/>
  <c r="P22" i="1"/>
  <c r="P34" i="1"/>
  <c r="P46" i="1"/>
  <c r="P58" i="1"/>
  <c r="P70" i="1"/>
  <c r="P82" i="1"/>
  <c r="P94" i="1"/>
  <c r="P11" i="1"/>
  <c r="P23" i="1"/>
  <c r="P35" i="1"/>
  <c r="P47" i="1"/>
  <c r="P59" i="1"/>
  <c r="P71" i="1"/>
  <c r="P83" i="1"/>
  <c r="P95" i="1"/>
  <c r="P12" i="1"/>
  <c r="P24" i="1"/>
  <c r="P36" i="1"/>
  <c r="P48" i="1"/>
  <c r="P60" i="1"/>
  <c r="P72" i="1"/>
  <c r="P84" i="1"/>
  <c r="P96" i="1"/>
  <c r="P13" i="1"/>
  <c r="P25" i="1"/>
  <c r="P37" i="1"/>
  <c r="P49" i="1"/>
  <c r="P61" i="1"/>
  <c r="P73" i="1"/>
  <c r="P85" i="1"/>
  <c r="P97" i="1"/>
  <c r="P14" i="1"/>
  <c r="P26" i="1"/>
  <c r="P38" i="1"/>
  <c r="P50" i="1"/>
  <c r="P62" i="1"/>
  <c r="P74" i="1"/>
  <c r="P86" i="1"/>
  <c r="P98" i="1"/>
  <c r="P28" i="1"/>
  <c r="F7" i="15"/>
  <c r="I3" i="15"/>
  <c r="M4" i="8" l="1"/>
  <c r="N4" i="8"/>
  <c r="K3" i="8"/>
  <c r="F3" i="9"/>
  <c r="F3" i="2"/>
  <c r="L4" i="6"/>
  <c r="G4" i="6"/>
  <c r="O4" i="6"/>
  <c r="J4" i="6" s="1"/>
  <c r="H4" i="6"/>
  <c r="I8" i="6"/>
  <c r="D8" i="6"/>
  <c r="B10" i="6"/>
  <c r="G4" i="8" l="1"/>
  <c r="L4" i="8"/>
  <c r="H4" i="8"/>
  <c r="O4" i="8"/>
  <c r="K3" i="9"/>
  <c r="N4" i="9"/>
  <c r="M4" i="9"/>
  <c r="M4" i="7"/>
  <c r="N4" i="7"/>
  <c r="K3" i="7"/>
  <c r="K3" i="2"/>
  <c r="N4" i="2"/>
  <c r="M4" i="2"/>
  <c r="K4" i="6"/>
  <c r="N5" i="6"/>
  <c r="M5" i="6"/>
  <c r="B11" i="6"/>
  <c r="I9" i="6"/>
  <c r="D9" i="6"/>
  <c r="F4" i="6"/>
  <c r="F4" i="8" l="1"/>
  <c r="M5" i="8"/>
  <c r="N5" i="8"/>
  <c r="K4" i="8"/>
  <c r="H4" i="9"/>
  <c r="O4" i="9"/>
  <c r="G4" i="9"/>
  <c r="L4" i="9"/>
  <c r="G4" i="7"/>
  <c r="L4" i="7"/>
  <c r="H4" i="7"/>
  <c r="O4" i="7"/>
  <c r="H4" i="2"/>
  <c r="O4" i="2"/>
  <c r="G4" i="2"/>
  <c r="L4" i="2"/>
  <c r="I10" i="6"/>
  <c r="D10" i="6"/>
  <c r="L5" i="6"/>
  <c r="G5" i="6"/>
  <c r="B12" i="6"/>
  <c r="O5" i="6"/>
  <c r="J5" i="6" s="1"/>
  <c r="H5" i="6"/>
  <c r="G5" i="8" l="1"/>
  <c r="L5" i="8"/>
  <c r="H5" i="8"/>
  <c r="O5" i="8"/>
  <c r="J5" i="8" s="1"/>
  <c r="F4" i="9"/>
  <c r="F4" i="7"/>
  <c r="F4" i="2"/>
  <c r="B13" i="6"/>
  <c r="I11" i="6"/>
  <c r="D11" i="6"/>
  <c r="F5" i="6"/>
  <c r="F5" i="8" l="1"/>
  <c r="K5" i="8"/>
  <c r="N6" i="8"/>
  <c r="M6" i="8"/>
  <c r="K4" i="9"/>
  <c r="N5" i="9"/>
  <c r="M5" i="9"/>
  <c r="K4" i="7"/>
  <c r="N5" i="7"/>
  <c r="M5" i="7"/>
  <c r="K4" i="2"/>
  <c r="N5" i="2"/>
  <c r="M5" i="2"/>
  <c r="K5" i="6"/>
  <c r="B14" i="6"/>
  <c r="I12" i="6"/>
  <c r="D12" i="6"/>
  <c r="N6" i="6"/>
  <c r="M6" i="6"/>
  <c r="J5" i="2" l="1"/>
  <c r="H6" i="8"/>
  <c r="O6" i="8"/>
  <c r="J6" i="8" s="1"/>
  <c r="G6" i="8"/>
  <c r="L6" i="8"/>
  <c r="H5" i="9"/>
  <c r="O5" i="9"/>
  <c r="J5" i="9" s="1"/>
  <c r="G5" i="9"/>
  <c r="L5" i="9"/>
  <c r="H5" i="7"/>
  <c r="O5" i="7"/>
  <c r="J5" i="7" s="1"/>
  <c r="G5" i="7"/>
  <c r="L5" i="7"/>
  <c r="H5" i="2"/>
  <c r="O5" i="2"/>
  <c r="G5" i="2"/>
  <c r="L5" i="2"/>
  <c r="L6" i="6"/>
  <c r="G6" i="6"/>
  <c r="O6" i="6"/>
  <c r="J6" i="6" s="1"/>
  <c r="H6" i="6"/>
  <c r="B15" i="6"/>
  <c r="I13" i="6"/>
  <c r="D13" i="6"/>
  <c r="F6" i="8" l="1"/>
  <c r="N7" i="8"/>
  <c r="M7" i="8"/>
  <c r="K6" i="8"/>
  <c r="F5" i="9"/>
  <c r="F5" i="7"/>
  <c r="F5" i="2"/>
  <c r="K6" i="6"/>
  <c r="B16" i="6"/>
  <c r="I14" i="6"/>
  <c r="D14" i="6"/>
  <c r="M7" i="6"/>
  <c r="N7" i="6"/>
  <c r="F6" i="6"/>
  <c r="H7" i="8" l="1"/>
  <c r="F7" i="8" s="1"/>
  <c r="O7" i="8"/>
  <c r="J7" i="8" s="1"/>
  <c r="G7" i="8"/>
  <c r="L7" i="8"/>
  <c r="K5" i="9"/>
  <c r="N6" i="9"/>
  <c r="M6" i="9"/>
  <c r="K5" i="7"/>
  <c r="N6" i="7"/>
  <c r="M6" i="7"/>
  <c r="K5" i="2"/>
  <c r="N6" i="2"/>
  <c r="M6" i="2"/>
  <c r="O7" i="6"/>
  <c r="H7" i="6"/>
  <c r="F7" i="6" s="1"/>
  <c r="B17" i="6"/>
  <c r="L7" i="6"/>
  <c r="G7" i="6"/>
  <c r="I15" i="6"/>
  <c r="D15" i="6"/>
  <c r="J7" i="6" l="1"/>
  <c r="M8" i="8"/>
  <c r="N8" i="8"/>
  <c r="K7" i="8"/>
  <c r="H6" i="9"/>
  <c r="O6" i="9"/>
  <c r="J6" i="9" s="1"/>
  <c r="G6" i="9"/>
  <c r="L6" i="9"/>
  <c r="H6" i="7"/>
  <c r="O6" i="7"/>
  <c r="J6" i="7" s="1"/>
  <c r="G6" i="7"/>
  <c r="L6" i="7"/>
  <c r="H6" i="2"/>
  <c r="O6" i="2"/>
  <c r="J6" i="2" s="1"/>
  <c r="G6" i="2"/>
  <c r="L6" i="2"/>
  <c r="M8" i="6"/>
  <c r="B18" i="6"/>
  <c r="I16" i="6"/>
  <c r="D16" i="6"/>
  <c r="N8" i="6" l="1"/>
  <c r="K7" i="6"/>
  <c r="G8" i="8"/>
  <c r="L8" i="8"/>
  <c r="H8" i="8"/>
  <c r="F8" i="8" s="1"/>
  <c r="O8" i="8"/>
  <c r="J8" i="8" s="1"/>
  <c r="F6" i="9"/>
  <c r="F6" i="7"/>
  <c r="F6" i="2"/>
  <c r="I17" i="6"/>
  <c r="D17" i="6"/>
  <c r="B19" i="6"/>
  <c r="O8" i="6"/>
  <c r="H8" i="6"/>
  <c r="F8" i="6" s="1"/>
  <c r="L8" i="6"/>
  <c r="G8" i="6"/>
  <c r="J8" i="6" l="1"/>
  <c r="N9" i="6" s="1"/>
  <c r="M9" i="8"/>
  <c r="N9" i="8"/>
  <c r="K8" i="8"/>
  <c r="M7" i="9"/>
  <c r="N7" i="9"/>
  <c r="K6" i="9"/>
  <c r="M7" i="7"/>
  <c r="N7" i="7"/>
  <c r="K6" i="7"/>
  <c r="M7" i="2"/>
  <c r="N7" i="2"/>
  <c r="K6" i="2"/>
  <c r="M9" i="6"/>
  <c r="I18" i="6"/>
  <c r="D18" i="6"/>
  <c r="B20" i="6"/>
  <c r="K8" i="6" l="1"/>
  <c r="G9" i="8"/>
  <c r="L9" i="8"/>
  <c r="H9" i="8"/>
  <c r="F9" i="8" s="1"/>
  <c r="O9" i="8"/>
  <c r="J9" i="8" s="1"/>
  <c r="G7" i="9"/>
  <c r="L7" i="9"/>
  <c r="H7" i="9"/>
  <c r="F7" i="9" s="1"/>
  <c r="O7" i="9"/>
  <c r="J7" i="9" s="1"/>
  <c r="G7" i="7"/>
  <c r="L7" i="7"/>
  <c r="H7" i="7"/>
  <c r="F7" i="7" s="1"/>
  <c r="O7" i="7"/>
  <c r="J7" i="7" s="1"/>
  <c r="G7" i="2"/>
  <c r="L7" i="2"/>
  <c r="H7" i="2"/>
  <c r="F7" i="2" s="1"/>
  <c r="O7" i="2"/>
  <c r="J7" i="2" s="1"/>
  <c r="L9" i="6"/>
  <c r="G9" i="6"/>
  <c r="B21" i="6"/>
  <c r="I19" i="6"/>
  <c r="D19" i="6"/>
  <c r="O9" i="6"/>
  <c r="H9" i="6"/>
  <c r="F9" i="6" s="1"/>
  <c r="J9" i="6" l="1"/>
  <c r="M10" i="8"/>
  <c r="N10" i="8"/>
  <c r="K9" i="8"/>
  <c r="M8" i="9"/>
  <c r="N8" i="9"/>
  <c r="K7" i="9"/>
  <c r="M8" i="7"/>
  <c r="N8" i="7"/>
  <c r="K7" i="7"/>
  <c r="M8" i="2"/>
  <c r="N8" i="2"/>
  <c r="K7" i="2"/>
  <c r="M10" i="6"/>
  <c r="N10" i="6"/>
  <c r="B22" i="6"/>
  <c r="I20" i="6"/>
  <c r="D20" i="6"/>
  <c r="K9" i="6" l="1"/>
  <c r="G10" i="8"/>
  <c r="L10" i="8"/>
  <c r="H10" i="8"/>
  <c r="F10" i="8" s="1"/>
  <c r="O10" i="8"/>
  <c r="J10" i="8" s="1"/>
  <c r="G8" i="9"/>
  <c r="L8" i="9"/>
  <c r="H8" i="9"/>
  <c r="F8" i="9" s="1"/>
  <c r="O8" i="9"/>
  <c r="J8" i="9" s="1"/>
  <c r="G8" i="7"/>
  <c r="L8" i="7"/>
  <c r="H8" i="7"/>
  <c r="F8" i="7" s="1"/>
  <c r="O8" i="7"/>
  <c r="J8" i="7" s="1"/>
  <c r="G8" i="2"/>
  <c r="L8" i="2"/>
  <c r="H8" i="2"/>
  <c r="F8" i="2" s="1"/>
  <c r="O8" i="2"/>
  <c r="J8" i="2" s="1"/>
  <c r="B23" i="6"/>
  <c r="L10" i="6"/>
  <c r="G10" i="6"/>
  <c r="I21" i="6"/>
  <c r="D21" i="6"/>
  <c r="O10" i="6"/>
  <c r="H10" i="6"/>
  <c r="F10" i="6" s="1"/>
  <c r="J10" i="6" l="1"/>
  <c r="K10" i="8"/>
  <c r="N11" i="8"/>
  <c r="M11" i="8"/>
  <c r="M9" i="9"/>
  <c r="N9" i="9"/>
  <c r="K8" i="9"/>
  <c r="M9" i="7"/>
  <c r="N9" i="7"/>
  <c r="K8" i="7"/>
  <c r="M9" i="2"/>
  <c r="N9" i="2"/>
  <c r="K8" i="2"/>
  <c r="M11" i="6"/>
  <c r="N11" i="6"/>
  <c r="I22" i="6"/>
  <c r="D22" i="6"/>
  <c r="B24" i="6"/>
  <c r="J9" i="7" l="1"/>
  <c r="K10" i="6"/>
  <c r="H11" i="8"/>
  <c r="F11" i="8" s="1"/>
  <c r="O11" i="8"/>
  <c r="J11" i="8" s="1"/>
  <c r="G11" i="8"/>
  <c r="L11" i="8"/>
  <c r="G9" i="9"/>
  <c r="L9" i="9"/>
  <c r="H9" i="9"/>
  <c r="F9" i="9" s="1"/>
  <c r="O9" i="9"/>
  <c r="J9" i="9" s="1"/>
  <c r="G9" i="7"/>
  <c r="L9" i="7"/>
  <c r="H9" i="7"/>
  <c r="F9" i="7" s="1"/>
  <c r="O9" i="7"/>
  <c r="G9" i="2"/>
  <c r="L9" i="2"/>
  <c r="H9" i="2"/>
  <c r="F9" i="2" s="1"/>
  <c r="O9" i="2"/>
  <c r="J9" i="2" s="1"/>
  <c r="B25" i="6"/>
  <c r="O11" i="6"/>
  <c r="H11" i="6"/>
  <c r="F11" i="6" s="1"/>
  <c r="I23" i="6"/>
  <c r="D23" i="6"/>
  <c r="L11" i="6"/>
  <c r="G11" i="6"/>
  <c r="J11" i="6" l="1"/>
  <c r="N12" i="8"/>
  <c r="M12" i="8"/>
  <c r="K11" i="8"/>
  <c r="M10" i="9"/>
  <c r="N10" i="9"/>
  <c r="K9" i="9"/>
  <c r="M10" i="7"/>
  <c r="N10" i="7"/>
  <c r="K9" i="7"/>
  <c r="M10" i="2"/>
  <c r="N10" i="2"/>
  <c r="K9" i="2"/>
  <c r="N12" i="6"/>
  <c r="M12" i="6"/>
  <c r="B26" i="6"/>
  <c r="I24" i="6"/>
  <c r="D24" i="6"/>
  <c r="J10" i="9" l="1"/>
  <c r="K11" i="6"/>
  <c r="H12" i="8"/>
  <c r="F12" i="8" s="1"/>
  <c r="O12" i="8"/>
  <c r="J12" i="8" s="1"/>
  <c r="G12" i="8"/>
  <c r="L12" i="8"/>
  <c r="G10" i="9"/>
  <c r="L10" i="9"/>
  <c r="H10" i="9"/>
  <c r="F10" i="9" s="1"/>
  <c r="O10" i="9"/>
  <c r="G10" i="7"/>
  <c r="L10" i="7"/>
  <c r="H10" i="7"/>
  <c r="F10" i="7" s="1"/>
  <c r="O10" i="7"/>
  <c r="J10" i="7" s="1"/>
  <c r="G10" i="2"/>
  <c r="L10" i="2"/>
  <c r="H10" i="2"/>
  <c r="F10" i="2" s="1"/>
  <c r="O10" i="2"/>
  <c r="J10" i="2" s="1"/>
  <c r="B27" i="6"/>
  <c r="I25" i="6"/>
  <c r="D25" i="6"/>
  <c r="L12" i="6"/>
  <c r="G12" i="6"/>
  <c r="O12" i="6"/>
  <c r="H12" i="6"/>
  <c r="F12" i="6" s="1"/>
  <c r="J12" i="6" l="1"/>
  <c r="N13" i="6" s="1"/>
  <c r="M13" i="8"/>
  <c r="N13" i="8"/>
  <c r="K12" i="8"/>
  <c r="M11" i="9"/>
  <c r="N11" i="9"/>
  <c r="K10" i="9"/>
  <c r="M11" i="7"/>
  <c r="N11" i="7"/>
  <c r="K10" i="7"/>
  <c r="M11" i="2"/>
  <c r="N11" i="2"/>
  <c r="K10" i="2"/>
  <c r="I26" i="6"/>
  <c r="D26" i="6"/>
  <c r="B28" i="6"/>
  <c r="J13" i="8" l="1"/>
  <c r="J11" i="9"/>
  <c r="M13" i="6"/>
  <c r="K12" i="6"/>
  <c r="G13" i="8"/>
  <c r="L13" i="8"/>
  <c r="H13" i="8"/>
  <c r="F13" i="8" s="1"/>
  <c r="O13" i="8"/>
  <c r="G11" i="9"/>
  <c r="L11" i="9"/>
  <c r="H11" i="9"/>
  <c r="F11" i="9" s="1"/>
  <c r="O11" i="9"/>
  <c r="G11" i="7"/>
  <c r="L11" i="7"/>
  <c r="H11" i="7"/>
  <c r="F11" i="7" s="1"/>
  <c r="O11" i="7"/>
  <c r="J11" i="7" s="1"/>
  <c r="G11" i="2"/>
  <c r="L11" i="2"/>
  <c r="H11" i="2"/>
  <c r="F11" i="2" s="1"/>
  <c r="O11" i="2"/>
  <c r="J11" i="2" s="1"/>
  <c r="B29" i="6"/>
  <c r="L13" i="6"/>
  <c r="G13" i="6"/>
  <c r="O13" i="6"/>
  <c r="H13" i="6"/>
  <c r="F13" i="6" s="1"/>
  <c r="I27" i="6"/>
  <c r="D27" i="6"/>
  <c r="J13" i="6" l="1"/>
  <c r="K13" i="6"/>
  <c r="M14" i="8"/>
  <c r="N14" i="8"/>
  <c r="K13" i="8"/>
  <c r="M12" i="9"/>
  <c r="N12" i="9"/>
  <c r="K11" i="9"/>
  <c r="M12" i="7"/>
  <c r="N12" i="7"/>
  <c r="K11" i="7"/>
  <c r="M12" i="2"/>
  <c r="N12" i="2"/>
  <c r="K11" i="2"/>
  <c r="N14" i="6"/>
  <c r="M14" i="6"/>
  <c r="I28" i="6"/>
  <c r="D28" i="6"/>
  <c r="B30" i="6"/>
  <c r="G14" i="8" l="1"/>
  <c r="L14" i="8"/>
  <c r="H14" i="8"/>
  <c r="F14" i="8" s="1"/>
  <c r="O14" i="8"/>
  <c r="J14" i="8" s="1"/>
  <c r="G12" i="9"/>
  <c r="L12" i="9"/>
  <c r="H12" i="9"/>
  <c r="F12" i="9" s="1"/>
  <c r="O12" i="9"/>
  <c r="J12" i="9" s="1"/>
  <c r="G12" i="7"/>
  <c r="L12" i="7"/>
  <c r="H12" i="7"/>
  <c r="F12" i="7" s="1"/>
  <c r="O12" i="7"/>
  <c r="J12" i="7" s="1"/>
  <c r="G12" i="2"/>
  <c r="L12" i="2"/>
  <c r="H12" i="2"/>
  <c r="F12" i="2" s="1"/>
  <c r="O12" i="2"/>
  <c r="J12" i="2" s="1"/>
  <c r="B31" i="6"/>
  <c r="L14" i="6"/>
  <c r="G14" i="6"/>
  <c r="I29" i="6"/>
  <c r="D29" i="6"/>
  <c r="O14" i="6"/>
  <c r="H14" i="6"/>
  <c r="F14" i="6" s="1"/>
  <c r="J14" i="6" l="1"/>
  <c r="K14" i="8"/>
  <c r="M15" i="8"/>
  <c r="N15" i="8"/>
  <c r="M13" i="9"/>
  <c r="N13" i="9"/>
  <c r="K12" i="9"/>
  <c r="M13" i="7"/>
  <c r="N13" i="7"/>
  <c r="K12" i="7"/>
  <c r="M13" i="2"/>
  <c r="N13" i="2"/>
  <c r="K12" i="2"/>
  <c r="M15" i="6"/>
  <c r="N15" i="6"/>
  <c r="I30" i="6"/>
  <c r="D30" i="6"/>
  <c r="B32" i="6"/>
  <c r="K14" i="6" l="1"/>
  <c r="G15" i="8"/>
  <c r="L15" i="8"/>
  <c r="H15" i="8"/>
  <c r="F15" i="8" s="1"/>
  <c r="O15" i="8"/>
  <c r="J15" i="8" s="1"/>
  <c r="G13" i="9"/>
  <c r="L13" i="9"/>
  <c r="H13" i="9"/>
  <c r="F13" i="9" s="1"/>
  <c r="O13" i="9"/>
  <c r="J13" i="9" s="1"/>
  <c r="G13" i="7"/>
  <c r="L13" i="7"/>
  <c r="H13" i="7"/>
  <c r="F13" i="7" s="1"/>
  <c r="O13" i="7"/>
  <c r="J13" i="7" s="1"/>
  <c r="G13" i="2"/>
  <c r="L13" i="2"/>
  <c r="H13" i="2"/>
  <c r="F13" i="2" s="1"/>
  <c r="O13" i="2"/>
  <c r="J13" i="2" s="1"/>
  <c r="I31" i="6"/>
  <c r="D31" i="6"/>
  <c r="B33" i="6"/>
  <c r="O15" i="6"/>
  <c r="H15" i="6"/>
  <c r="F15" i="6" s="1"/>
  <c r="L15" i="6"/>
  <c r="G15" i="6"/>
  <c r="J15" i="6" l="1"/>
  <c r="N16" i="8"/>
  <c r="K15" i="8"/>
  <c r="M16" i="8"/>
  <c r="M14" i="9"/>
  <c r="N14" i="9"/>
  <c r="K13" i="9"/>
  <c r="M14" i="7"/>
  <c r="N14" i="7"/>
  <c r="K13" i="7"/>
  <c r="M14" i="2"/>
  <c r="N14" i="2"/>
  <c r="K13" i="2"/>
  <c r="M16" i="6"/>
  <c r="N16" i="6"/>
  <c r="I32" i="6"/>
  <c r="D32" i="6"/>
  <c r="B34" i="6"/>
  <c r="K15" i="6" l="1"/>
  <c r="O16" i="8"/>
  <c r="J16" i="8" s="1"/>
  <c r="H16" i="8"/>
  <c r="F16" i="8" s="1"/>
  <c r="L16" i="8"/>
  <c r="G16" i="8"/>
  <c r="G14" i="9"/>
  <c r="L14" i="9"/>
  <c r="H14" i="9"/>
  <c r="F14" i="9" s="1"/>
  <c r="O14" i="9"/>
  <c r="J14" i="9" s="1"/>
  <c r="G14" i="7"/>
  <c r="L14" i="7"/>
  <c r="H14" i="7"/>
  <c r="F14" i="7" s="1"/>
  <c r="O14" i="7"/>
  <c r="J14" i="7" s="1"/>
  <c r="G14" i="2"/>
  <c r="L14" i="2"/>
  <c r="H14" i="2"/>
  <c r="F14" i="2" s="1"/>
  <c r="O14" i="2"/>
  <c r="J14" i="2" s="1"/>
  <c r="O16" i="6"/>
  <c r="J16" i="6" s="1"/>
  <c r="H16" i="6"/>
  <c r="F16" i="6" s="1"/>
  <c r="I33" i="6"/>
  <c r="D33" i="6"/>
  <c r="B35" i="6"/>
  <c r="L16" i="6"/>
  <c r="G16" i="6"/>
  <c r="K16" i="6" l="1"/>
  <c r="M17" i="8"/>
  <c r="N17" i="8"/>
  <c r="K16" i="8"/>
  <c r="K14" i="9"/>
  <c r="N15" i="9"/>
  <c r="M15" i="9"/>
  <c r="M15" i="7"/>
  <c r="N15" i="7"/>
  <c r="K14" i="7"/>
  <c r="M15" i="2"/>
  <c r="N15" i="2"/>
  <c r="K14" i="2"/>
  <c r="M17" i="6"/>
  <c r="N17" i="6"/>
  <c r="I34" i="6"/>
  <c r="D34" i="6"/>
  <c r="B36" i="6"/>
  <c r="G17" i="8" l="1"/>
  <c r="L17" i="8"/>
  <c r="H17" i="8"/>
  <c r="F17" i="8" s="1"/>
  <c r="O17" i="8"/>
  <c r="J17" i="8" s="1"/>
  <c r="H15" i="9"/>
  <c r="F15" i="9" s="1"/>
  <c r="O15" i="9"/>
  <c r="J15" i="9" s="1"/>
  <c r="G15" i="9"/>
  <c r="L15" i="9"/>
  <c r="G15" i="7"/>
  <c r="L15" i="7"/>
  <c r="H15" i="7"/>
  <c r="F15" i="7" s="1"/>
  <c r="O15" i="7"/>
  <c r="J15" i="7" s="1"/>
  <c r="G15" i="2"/>
  <c r="L15" i="2"/>
  <c r="H15" i="2"/>
  <c r="F15" i="2" s="1"/>
  <c r="O15" i="2"/>
  <c r="J15" i="2" s="1"/>
  <c r="B37" i="6"/>
  <c r="O17" i="6"/>
  <c r="H17" i="6"/>
  <c r="F17" i="6" s="1"/>
  <c r="I35" i="6"/>
  <c r="D35" i="6"/>
  <c r="L17" i="6"/>
  <c r="G17" i="6"/>
  <c r="J17" i="6" l="1"/>
  <c r="N18" i="8"/>
  <c r="M18" i="8"/>
  <c r="K17" i="8"/>
  <c r="N16" i="9"/>
  <c r="K15" i="9"/>
  <c r="M16" i="9"/>
  <c r="M16" i="7"/>
  <c r="N16" i="7"/>
  <c r="K15" i="7"/>
  <c r="M16" i="2"/>
  <c r="N16" i="2"/>
  <c r="K15" i="2"/>
  <c r="N18" i="6"/>
  <c r="M18" i="6"/>
  <c r="I36" i="6"/>
  <c r="D36" i="6"/>
  <c r="B38" i="6"/>
  <c r="K17" i="6" l="1"/>
  <c r="H18" i="8"/>
  <c r="F18" i="8" s="1"/>
  <c r="O18" i="8"/>
  <c r="J18" i="8" s="1"/>
  <c r="G18" i="8"/>
  <c r="L18" i="8"/>
  <c r="O16" i="9"/>
  <c r="J16" i="9" s="1"/>
  <c r="H16" i="9"/>
  <c r="F16" i="9" s="1"/>
  <c r="L16" i="9"/>
  <c r="G16" i="9"/>
  <c r="G16" i="7"/>
  <c r="L16" i="7"/>
  <c r="H16" i="7"/>
  <c r="F16" i="7" s="1"/>
  <c r="O16" i="7"/>
  <c r="J16" i="7" s="1"/>
  <c r="G16" i="2"/>
  <c r="L16" i="2"/>
  <c r="H16" i="2"/>
  <c r="F16" i="2" s="1"/>
  <c r="O16" i="2"/>
  <c r="J16" i="2" s="1"/>
  <c r="L18" i="6"/>
  <c r="G18" i="6"/>
  <c r="I37" i="6"/>
  <c r="D37" i="6"/>
  <c r="B39" i="6"/>
  <c r="O18" i="6"/>
  <c r="H18" i="6"/>
  <c r="F18" i="6" s="1"/>
  <c r="J18" i="6" l="1"/>
  <c r="M19" i="8"/>
  <c r="N19" i="8"/>
  <c r="K18" i="8"/>
  <c r="M17" i="9"/>
  <c r="N17" i="9"/>
  <c r="K16" i="9"/>
  <c r="M17" i="7"/>
  <c r="N17" i="7"/>
  <c r="K16" i="7"/>
  <c r="M17" i="2"/>
  <c r="N17" i="2"/>
  <c r="K16" i="2"/>
  <c r="M19" i="6"/>
  <c r="N19" i="6"/>
  <c r="B40" i="6"/>
  <c r="I38" i="6"/>
  <c r="D38" i="6"/>
  <c r="K18" i="6" l="1"/>
  <c r="G19" i="8"/>
  <c r="L19" i="8"/>
  <c r="H19" i="8"/>
  <c r="F19" i="8" s="1"/>
  <c r="O19" i="8"/>
  <c r="J19" i="8" s="1"/>
  <c r="G17" i="9"/>
  <c r="L17" i="9"/>
  <c r="H17" i="9"/>
  <c r="F17" i="9" s="1"/>
  <c r="O17" i="9"/>
  <c r="J17" i="9" s="1"/>
  <c r="G17" i="7"/>
  <c r="L17" i="7"/>
  <c r="H17" i="7"/>
  <c r="F17" i="7" s="1"/>
  <c r="O17" i="7"/>
  <c r="J17" i="7" s="1"/>
  <c r="G17" i="2"/>
  <c r="L17" i="2"/>
  <c r="H17" i="2"/>
  <c r="F17" i="2" s="1"/>
  <c r="O17" i="2"/>
  <c r="J17" i="2" s="1"/>
  <c r="B41" i="6"/>
  <c r="I39" i="6"/>
  <c r="D39" i="6"/>
  <c r="O19" i="6"/>
  <c r="H19" i="6"/>
  <c r="F19" i="6" s="1"/>
  <c r="L19" i="6"/>
  <c r="G19" i="6"/>
  <c r="J19" i="6" l="1"/>
  <c r="M20" i="8"/>
  <c r="N20" i="8"/>
  <c r="K19" i="8"/>
  <c r="K17" i="9"/>
  <c r="N18" i="9"/>
  <c r="M18" i="9"/>
  <c r="M18" i="7"/>
  <c r="N18" i="7"/>
  <c r="K17" i="7"/>
  <c r="M18" i="2"/>
  <c r="N18" i="2"/>
  <c r="K17" i="2"/>
  <c r="N20" i="6"/>
  <c r="M20" i="6"/>
  <c r="I40" i="6"/>
  <c r="D40" i="6"/>
  <c r="B42" i="6"/>
  <c r="J18" i="9" l="1"/>
  <c r="K19" i="6"/>
  <c r="G20" i="8"/>
  <c r="L20" i="8"/>
  <c r="H20" i="8"/>
  <c r="F20" i="8" s="1"/>
  <c r="O20" i="8"/>
  <c r="J20" i="8" s="1"/>
  <c r="H18" i="9"/>
  <c r="F18" i="9" s="1"/>
  <c r="O18" i="9"/>
  <c r="G18" i="9"/>
  <c r="L18" i="9"/>
  <c r="G18" i="7"/>
  <c r="L18" i="7"/>
  <c r="H18" i="7"/>
  <c r="F18" i="7" s="1"/>
  <c r="O18" i="7"/>
  <c r="J18" i="7" s="1"/>
  <c r="G18" i="2"/>
  <c r="L18" i="2"/>
  <c r="H18" i="2"/>
  <c r="F18" i="2" s="1"/>
  <c r="O18" i="2"/>
  <c r="J18" i="2" s="1"/>
  <c r="B43" i="6"/>
  <c r="L20" i="6"/>
  <c r="G20" i="6"/>
  <c r="I41" i="6"/>
  <c r="D41" i="6"/>
  <c r="O20" i="6"/>
  <c r="H20" i="6"/>
  <c r="F20" i="6" s="1"/>
  <c r="J20" i="6" l="1"/>
  <c r="M21" i="8"/>
  <c r="N21" i="8"/>
  <c r="K20" i="8"/>
  <c r="M19" i="9"/>
  <c r="N19" i="9"/>
  <c r="K18" i="9"/>
  <c r="M19" i="7"/>
  <c r="N19" i="7"/>
  <c r="K18" i="7"/>
  <c r="M19" i="2"/>
  <c r="N19" i="2"/>
  <c r="K18" i="2"/>
  <c r="N21" i="6"/>
  <c r="M21" i="6"/>
  <c r="B44" i="6"/>
  <c r="I42" i="6"/>
  <c r="D42" i="6"/>
  <c r="J19" i="9" l="1"/>
  <c r="K20" i="6"/>
  <c r="G21" i="8"/>
  <c r="L21" i="8"/>
  <c r="H21" i="8"/>
  <c r="F21" i="8" s="1"/>
  <c r="O21" i="8"/>
  <c r="J21" i="8" s="1"/>
  <c r="G19" i="9"/>
  <c r="L19" i="9"/>
  <c r="H19" i="9"/>
  <c r="F19" i="9" s="1"/>
  <c r="O19" i="9"/>
  <c r="G19" i="7"/>
  <c r="L19" i="7"/>
  <c r="H19" i="7"/>
  <c r="F19" i="7" s="1"/>
  <c r="O19" i="7"/>
  <c r="J19" i="7" s="1"/>
  <c r="G19" i="2"/>
  <c r="L19" i="2"/>
  <c r="H19" i="2"/>
  <c r="F19" i="2" s="1"/>
  <c r="O19" i="2"/>
  <c r="J19" i="2" s="1"/>
  <c r="B45" i="6"/>
  <c r="L21" i="6"/>
  <c r="G21" i="6"/>
  <c r="I43" i="6"/>
  <c r="D43" i="6"/>
  <c r="O21" i="6"/>
  <c r="H21" i="6"/>
  <c r="F21" i="6" s="1"/>
  <c r="J21" i="6" l="1"/>
  <c r="M22" i="8"/>
  <c r="N22" i="8"/>
  <c r="K21" i="8"/>
  <c r="M20" i="9"/>
  <c r="N20" i="9"/>
  <c r="K19" i="9"/>
  <c r="M20" i="7"/>
  <c r="N20" i="7"/>
  <c r="K19" i="7"/>
  <c r="M20" i="2"/>
  <c r="N20" i="2"/>
  <c r="K19" i="2"/>
  <c r="M22" i="6"/>
  <c r="N22" i="6"/>
  <c r="I44" i="6"/>
  <c r="D44" i="6"/>
  <c r="B46" i="6"/>
  <c r="K21" i="6" l="1"/>
  <c r="G22" i="8"/>
  <c r="L22" i="8"/>
  <c r="H22" i="8"/>
  <c r="F22" i="8" s="1"/>
  <c r="O22" i="8"/>
  <c r="J22" i="8" s="1"/>
  <c r="G20" i="9"/>
  <c r="L20" i="9"/>
  <c r="H20" i="9"/>
  <c r="F20" i="9" s="1"/>
  <c r="O20" i="9"/>
  <c r="J20" i="9" s="1"/>
  <c r="G20" i="7"/>
  <c r="L20" i="7"/>
  <c r="H20" i="7"/>
  <c r="F20" i="7" s="1"/>
  <c r="O20" i="7"/>
  <c r="J20" i="7" s="1"/>
  <c r="G20" i="2"/>
  <c r="L20" i="2"/>
  <c r="H20" i="2"/>
  <c r="F20" i="2" s="1"/>
  <c r="O20" i="2"/>
  <c r="J20" i="2" s="1"/>
  <c r="O22" i="6"/>
  <c r="H22" i="6"/>
  <c r="F22" i="6" s="1"/>
  <c r="B47" i="6"/>
  <c r="I45" i="6"/>
  <c r="D45" i="6"/>
  <c r="L22" i="6"/>
  <c r="G22" i="6"/>
  <c r="J22" i="6" l="1"/>
  <c r="M23" i="8"/>
  <c r="N23" i="8"/>
  <c r="K22" i="8"/>
  <c r="K20" i="9"/>
  <c r="N21" i="9"/>
  <c r="M21" i="9"/>
  <c r="M21" i="7"/>
  <c r="N21" i="7"/>
  <c r="K20" i="7"/>
  <c r="M21" i="2"/>
  <c r="N21" i="2"/>
  <c r="K20" i="2"/>
  <c r="M23" i="6"/>
  <c r="N23" i="6"/>
  <c r="B48" i="6"/>
  <c r="I46" i="6"/>
  <c r="D46" i="6"/>
  <c r="K22" i="6" l="1"/>
  <c r="G23" i="8"/>
  <c r="L23" i="8"/>
  <c r="H23" i="8"/>
  <c r="F23" i="8" s="1"/>
  <c r="O23" i="8"/>
  <c r="J23" i="8" s="1"/>
  <c r="H21" i="9"/>
  <c r="F21" i="9" s="1"/>
  <c r="O21" i="9"/>
  <c r="J21" i="9" s="1"/>
  <c r="G21" i="9"/>
  <c r="L21" i="9"/>
  <c r="G21" i="7"/>
  <c r="L21" i="7"/>
  <c r="H21" i="7"/>
  <c r="F21" i="7" s="1"/>
  <c r="O21" i="7"/>
  <c r="J21" i="7" s="1"/>
  <c r="G21" i="2"/>
  <c r="L21" i="2"/>
  <c r="H21" i="2"/>
  <c r="F21" i="2" s="1"/>
  <c r="O21" i="2"/>
  <c r="J21" i="2" s="1"/>
  <c r="I47" i="6"/>
  <c r="D47" i="6"/>
  <c r="B49" i="6"/>
  <c r="O23" i="6"/>
  <c r="H23" i="6"/>
  <c r="F23" i="6" s="1"/>
  <c r="L23" i="6"/>
  <c r="G23" i="6"/>
  <c r="J23" i="6" l="1"/>
  <c r="N24" i="8"/>
  <c r="M24" i="8"/>
  <c r="K23" i="8"/>
  <c r="M22" i="9"/>
  <c r="N22" i="9"/>
  <c r="K21" i="9"/>
  <c r="M22" i="7"/>
  <c r="N22" i="7"/>
  <c r="K21" i="7"/>
  <c r="M22" i="2"/>
  <c r="N22" i="2"/>
  <c r="K21" i="2"/>
  <c r="N24" i="6"/>
  <c r="M24" i="6"/>
  <c r="B50" i="6"/>
  <c r="I48" i="6"/>
  <c r="D48" i="6"/>
  <c r="K23" i="6" l="1"/>
  <c r="H24" i="8"/>
  <c r="F24" i="8" s="1"/>
  <c r="O24" i="8"/>
  <c r="J24" i="8" s="1"/>
  <c r="G24" i="8"/>
  <c r="L24" i="8"/>
  <c r="G22" i="9"/>
  <c r="L22" i="9"/>
  <c r="H22" i="9"/>
  <c r="F22" i="9" s="1"/>
  <c r="O22" i="9"/>
  <c r="J22" i="9" s="1"/>
  <c r="G22" i="7"/>
  <c r="L22" i="7"/>
  <c r="H22" i="7"/>
  <c r="F22" i="7" s="1"/>
  <c r="O22" i="7"/>
  <c r="J22" i="7" s="1"/>
  <c r="G22" i="2"/>
  <c r="L22" i="2"/>
  <c r="H22" i="2"/>
  <c r="F22" i="2" s="1"/>
  <c r="O22" i="2"/>
  <c r="J22" i="2" s="1"/>
  <c r="B51" i="6"/>
  <c r="I49" i="6"/>
  <c r="D49" i="6"/>
  <c r="L24" i="6"/>
  <c r="G24" i="6"/>
  <c r="O24" i="6"/>
  <c r="H24" i="6"/>
  <c r="F24" i="6" s="1"/>
  <c r="J24" i="6" l="1"/>
  <c r="M25" i="8"/>
  <c r="N25" i="8"/>
  <c r="K24" i="8"/>
  <c r="M23" i="9"/>
  <c r="N23" i="9"/>
  <c r="K22" i="9"/>
  <c r="M23" i="7"/>
  <c r="N23" i="7"/>
  <c r="K22" i="7"/>
  <c r="M23" i="2"/>
  <c r="N23" i="2"/>
  <c r="K22" i="2"/>
  <c r="M25" i="6"/>
  <c r="N25" i="6"/>
  <c r="I50" i="6"/>
  <c r="D50" i="6"/>
  <c r="B52" i="6"/>
  <c r="K24" i="6" l="1"/>
  <c r="G25" i="8"/>
  <c r="L25" i="8"/>
  <c r="H25" i="8"/>
  <c r="F25" i="8" s="1"/>
  <c r="O25" i="8"/>
  <c r="J25" i="8" s="1"/>
  <c r="G23" i="9"/>
  <c r="L23" i="9"/>
  <c r="H23" i="9"/>
  <c r="F23" i="9" s="1"/>
  <c r="O23" i="9"/>
  <c r="J23" i="9" s="1"/>
  <c r="G23" i="7"/>
  <c r="L23" i="7"/>
  <c r="H23" i="7"/>
  <c r="F23" i="7" s="1"/>
  <c r="O23" i="7"/>
  <c r="J23" i="7" s="1"/>
  <c r="G23" i="2"/>
  <c r="L23" i="2"/>
  <c r="H23" i="2"/>
  <c r="F23" i="2" s="1"/>
  <c r="O23" i="2"/>
  <c r="J23" i="2" s="1"/>
  <c r="O25" i="6"/>
  <c r="H25" i="6"/>
  <c r="F25" i="6" s="1"/>
  <c r="I51" i="6"/>
  <c r="D51" i="6"/>
  <c r="B53" i="6"/>
  <c r="L25" i="6"/>
  <c r="G25" i="6"/>
  <c r="J25" i="6" l="1"/>
  <c r="M26" i="8"/>
  <c r="N26" i="8"/>
  <c r="K25" i="8"/>
  <c r="M24" i="9"/>
  <c r="N24" i="9"/>
  <c r="K23" i="9"/>
  <c r="M24" i="7"/>
  <c r="N24" i="7"/>
  <c r="K23" i="7"/>
  <c r="M24" i="2"/>
  <c r="N24" i="2"/>
  <c r="K23" i="2"/>
  <c r="I52" i="6"/>
  <c r="D52" i="6"/>
  <c r="B54" i="6"/>
  <c r="N26" i="6"/>
  <c r="M26" i="6"/>
  <c r="K25" i="6" l="1"/>
  <c r="G26" i="8"/>
  <c r="L26" i="8"/>
  <c r="H26" i="8"/>
  <c r="F26" i="8" s="1"/>
  <c r="O26" i="8"/>
  <c r="J26" i="8" s="1"/>
  <c r="G24" i="9"/>
  <c r="L24" i="9"/>
  <c r="H24" i="9"/>
  <c r="F24" i="9" s="1"/>
  <c r="O24" i="9"/>
  <c r="J24" i="9" s="1"/>
  <c r="G24" i="7"/>
  <c r="L24" i="7"/>
  <c r="H24" i="7"/>
  <c r="F24" i="7" s="1"/>
  <c r="O24" i="7"/>
  <c r="J24" i="7" s="1"/>
  <c r="G24" i="2"/>
  <c r="L24" i="2"/>
  <c r="H24" i="2"/>
  <c r="F24" i="2" s="1"/>
  <c r="O24" i="2"/>
  <c r="J24" i="2" s="1"/>
  <c r="O26" i="6"/>
  <c r="H26" i="6"/>
  <c r="F26" i="6" s="1"/>
  <c r="I53" i="6"/>
  <c r="D53" i="6"/>
  <c r="B55" i="6"/>
  <c r="L26" i="6"/>
  <c r="G26" i="6"/>
  <c r="J26" i="6" l="1"/>
  <c r="N27" i="8"/>
  <c r="M27" i="8"/>
  <c r="K26" i="8"/>
  <c r="M25" i="9"/>
  <c r="N25" i="9"/>
  <c r="K24" i="9"/>
  <c r="M25" i="7"/>
  <c r="N25" i="7"/>
  <c r="K24" i="7"/>
  <c r="M25" i="2"/>
  <c r="N25" i="2"/>
  <c r="K24" i="2"/>
  <c r="N27" i="6"/>
  <c r="M27" i="6"/>
  <c r="B56" i="6"/>
  <c r="I54" i="6"/>
  <c r="D54" i="6"/>
  <c r="K26" i="6" l="1"/>
  <c r="H27" i="8"/>
  <c r="F27" i="8" s="1"/>
  <c r="O27" i="8"/>
  <c r="J27" i="8" s="1"/>
  <c r="G27" i="8"/>
  <c r="L27" i="8"/>
  <c r="G25" i="9"/>
  <c r="L25" i="9"/>
  <c r="H25" i="9"/>
  <c r="F25" i="9" s="1"/>
  <c r="O25" i="9"/>
  <c r="J25" i="9" s="1"/>
  <c r="G25" i="7"/>
  <c r="L25" i="7"/>
  <c r="H25" i="7"/>
  <c r="F25" i="7" s="1"/>
  <c r="O25" i="7"/>
  <c r="J25" i="7" s="1"/>
  <c r="G25" i="2"/>
  <c r="L25" i="2"/>
  <c r="H25" i="2"/>
  <c r="F25" i="2" s="1"/>
  <c r="O25" i="2"/>
  <c r="J25" i="2" s="1"/>
  <c r="I55" i="6"/>
  <c r="D55" i="6"/>
  <c r="L27" i="6"/>
  <c r="G27" i="6"/>
  <c r="B57" i="6"/>
  <c r="O27" i="6"/>
  <c r="H27" i="6"/>
  <c r="F27" i="6" s="1"/>
  <c r="J27" i="6" l="1"/>
  <c r="K27" i="8"/>
  <c r="N28" i="8"/>
  <c r="M28" i="8"/>
  <c r="M26" i="9"/>
  <c r="N26" i="9"/>
  <c r="K25" i="9"/>
  <c r="M26" i="7"/>
  <c r="N26" i="7"/>
  <c r="K25" i="7"/>
  <c r="M26" i="2"/>
  <c r="N26" i="2"/>
  <c r="K25" i="2"/>
  <c r="M28" i="6"/>
  <c r="N28" i="6"/>
  <c r="B58" i="6"/>
  <c r="I56" i="6"/>
  <c r="D56" i="6"/>
  <c r="K27" i="6" l="1"/>
  <c r="H28" i="8"/>
  <c r="F28" i="8" s="1"/>
  <c r="O28" i="8"/>
  <c r="J28" i="8" s="1"/>
  <c r="G28" i="8"/>
  <c r="L28" i="8"/>
  <c r="G26" i="9"/>
  <c r="L26" i="9"/>
  <c r="H26" i="9"/>
  <c r="F26" i="9" s="1"/>
  <c r="O26" i="9"/>
  <c r="J26" i="9" s="1"/>
  <c r="G26" i="7"/>
  <c r="L26" i="7"/>
  <c r="H26" i="7"/>
  <c r="F26" i="7" s="1"/>
  <c r="O26" i="7"/>
  <c r="J26" i="7" s="1"/>
  <c r="G26" i="2"/>
  <c r="L26" i="2"/>
  <c r="H26" i="2"/>
  <c r="F26" i="2" s="1"/>
  <c r="O26" i="2"/>
  <c r="J26" i="2" s="1"/>
  <c r="B59" i="6"/>
  <c r="I57" i="6"/>
  <c r="D57" i="6"/>
  <c r="O28" i="6"/>
  <c r="H28" i="6"/>
  <c r="F28" i="6" s="1"/>
  <c r="L28" i="6"/>
  <c r="G28" i="6"/>
  <c r="J28" i="6" l="1"/>
  <c r="M29" i="8"/>
  <c r="N29" i="8"/>
  <c r="K28" i="8"/>
  <c r="M27" i="9"/>
  <c r="N27" i="9"/>
  <c r="K26" i="9"/>
  <c r="M27" i="7"/>
  <c r="N27" i="7"/>
  <c r="K26" i="7"/>
  <c r="M27" i="2"/>
  <c r="N27" i="2"/>
  <c r="K26" i="2"/>
  <c r="I58" i="6"/>
  <c r="D58" i="6"/>
  <c r="M29" i="6"/>
  <c r="B60" i="6"/>
  <c r="N29" i="6" l="1"/>
  <c r="K28" i="6"/>
  <c r="G29" i="8"/>
  <c r="L29" i="8"/>
  <c r="H29" i="8"/>
  <c r="F29" i="8" s="1"/>
  <c r="O29" i="8"/>
  <c r="J29" i="8" s="1"/>
  <c r="G27" i="9"/>
  <c r="L27" i="9"/>
  <c r="H27" i="9"/>
  <c r="F27" i="9" s="1"/>
  <c r="O27" i="9"/>
  <c r="J27" i="9" s="1"/>
  <c r="G27" i="7"/>
  <c r="L27" i="7"/>
  <c r="H27" i="7"/>
  <c r="F27" i="7" s="1"/>
  <c r="O27" i="7"/>
  <c r="J27" i="7" s="1"/>
  <c r="G27" i="2"/>
  <c r="L27" i="2"/>
  <c r="H27" i="2"/>
  <c r="F27" i="2" s="1"/>
  <c r="O27" i="2"/>
  <c r="J27" i="2" s="1"/>
  <c r="L29" i="6"/>
  <c r="G29" i="6"/>
  <c r="O29" i="6"/>
  <c r="H29" i="6"/>
  <c r="F29" i="6" s="1"/>
  <c r="B61" i="6"/>
  <c r="I59" i="6"/>
  <c r="D59" i="6"/>
  <c r="J29" i="6" l="1"/>
  <c r="N30" i="8"/>
  <c r="M30" i="8"/>
  <c r="K29" i="8"/>
  <c r="M28" i="9"/>
  <c r="N28" i="9"/>
  <c r="K27" i="9"/>
  <c r="M28" i="7"/>
  <c r="N28" i="7"/>
  <c r="K27" i="7"/>
  <c r="M28" i="2"/>
  <c r="N28" i="2"/>
  <c r="K27" i="2"/>
  <c r="I60" i="6"/>
  <c r="D60" i="6"/>
  <c r="M30" i="6"/>
  <c r="B62" i="6"/>
  <c r="N30" i="6" l="1"/>
  <c r="K29" i="6"/>
  <c r="H30" i="8"/>
  <c r="F30" i="8" s="1"/>
  <c r="O30" i="8"/>
  <c r="J30" i="8" s="1"/>
  <c r="G30" i="8"/>
  <c r="L30" i="8"/>
  <c r="G28" i="9"/>
  <c r="L28" i="9"/>
  <c r="H28" i="9"/>
  <c r="F28" i="9" s="1"/>
  <c r="O28" i="9"/>
  <c r="J28" i="9" s="1"/>
  <c r="G28" i="7"/>
  <c r="L28" i="7"/>
  <c r="H28" i="7"/>
  <c r="F28" i="7" s="1"/>
  <c r="O28" i="7"/>
  <c r="J28" i="7" s="1"/>
  <c r="G28" i="2"/>
  <c r="L28" i="2"/>
  <c r="H28" i="2"/>
  <c r="F28" i="2" s="1"/>
  <c r="O28" i="2"/>
  <c r="J28" i="2" s="1"/>
  <c r="B63" i="6"/>
  <c r="L30" i="6"/>
  <c r="G30" i="6"/>
  <c r="O30" i="6"/>
  <c r="H30" i="6"/>
  <c r="F30" i="6" s="1"/>
  <c r="I61" i="6"/>
  <c r="D61" i="6"/>
  <c r="J30" i="6" l="1"/>
  <c r="M31" i="6" s="1"/>
  <c r="K30" i="8"/>
  <c r="M31" i="8"/>
  <c r="N31" i="8"/>
  <c r="M29" i="9"/>
  <c r="N29" i="9"/>
  <c r="K28" i="9"/>
  <c r="M29" i="7"/>
  <c r="N29" i="7"/>
  <c r="K28" i="7"/>
  <c r="M29" i="2"/>
  <c r="N29" i="2"/>
  <c r="K28" i="2"/>
  <c r="B64" i="6"/>
  <c r="I62" i="6"/>
  <c r="D62" i="6"/>
  <c r="N31" i="6" l="1"/>
  <c r="K30" i="6"/>
  <c r="G31" i="8"/>
  <c r="L31" i="8"/>
  <c r="H31" i="8"/>
  <c r="F31" i="8" s="1"/>
  <c r="O31" i="8"/>
  <c r="J31" i="8" s="1"/>
  <c r="G29" i="9"/>
  <c r="L29" i="9"/>
  <c r="H29" i="9"/>
  <c r="F29" i="9" s="1"/>
  <c r="O29" i="9"/>
  <c r="J29" i="9" s="1"/>
  <c r="G29" i="7"/>
  <c r="L29" i="7"/>
  <c r="H29" i="7"/>
  <c r="F29" i="7" s="1"/>
  <c r="O29" i="7"/>
  <c r="J29" i="7" s="1"/>
  <c r="G29" i="2"/>
  <c r="L29" i="2"/>
  <c r="H29" i="2"/>
  <c r="F29" i="2" s="1"/>
  <c r="O29" i="2"/>
  <c r="J29" i="2" s="1"/>
  <c r="I63" i="6"/>
  <c r="D63" i="6"/>
  <c r="B65" i="6"/>
  <c r="O31" i="6"/>
  <c r="H31" i="6"/>
  <c r="F31" i="6" s="1"/>
  <c r="L31" i="6"/>
  <c r="G31" i="6"/>
  <c r="J31" i="6" l="1"/>
  <c r="K31" i="6" s="1"/>
  <c r="M32" i="8"/>
  <c r="N32" i="8"/>
  <c r="K31" i="8"/>
  <c r="M30" i="9"/>
  <c r="N30" i="9"/>
  <c r="K29" i="9"/>
  <c r="M30" i="7"/>
  <c r="N30" i="7"/>
  <c r="K29" i="7"/>
  <c r="M30" i="2"/>
  <c r="N30" i="2"/>
  <c r="K29" i="2"/>
  <c r="N32" i="6"/>
  <c r="M32" i="6"/>
  <c r="B66" i="6"/>
  <c r="I64" i="6"/>
  <c r="D64" i="6"/>
  <c r="G32" i="8" l="1"/>
  <c r="L32" i="8"/>
  <c r="H32" i="8"/>
  <c r="F32" i="8" s="1"/>
  <c r="O32" i="8"/>
  <c r="J32" i="8" s="1"/>
  <c r="G30" i="9"/>
  <c r="L30" i="9"/>
  <c r="H30" i="9"/>
  <c r="F30" i="9" s="1"/>
  <c r="O30" i="9"/>
  <c r="J30" i="9" s="1"/>
  <c r="G30" i="7"/>
  <c r="L30" i="7"/>
  <c r="H30" i="7"/>
  <c r="F30" i="7" s="1"/>
  <c r="O30" i="7"/>
  <c r="J30" i="7" s="1"/>
  <c r="G30" i="2"/>
  <c r="L30" i="2"/>
  <c r="H30" i="2"/>
  <c r="F30" i="2" s="1"/>
  <c r="O30" i="2"/>
  <c r="J30" i="2" s="1"/>
  <c r="B67" i="6"/>
  <c r="L32" i="6"/>
  <c r="G32" i="6"/>
  <c r="I65" i="6"/>
  <c r="D65" i="6"/>
  <c r="O32" i="6"/>
  <c r="H32" i="6"/>
  <c r="F32" i="6" s="1"/>
  <c r="J32" i="6" l="1"/>
  <c r="N33" i="8"/>
  <c r="M33" i="8"/>
  <c r="K32" i="8"/>
  <c r="M31" i="9"/>
  <c r="N31" i="9"/>
  <c r="K30" i="9"/>
  <c r="M31" i="7"/>
  <c r="N31" i="7"/>
  <c r="K30" i="7"/>
  <c r="M31" i="2"/>
  <c r="N31" i="2"/>
  <c r="K30" i="2"/>
  <c r="M33" i="6"/>
  <c r="I66" i="6"/>
  <c r="D66" i="6"/>
  <c r="B68" i="6"/>
  <c r="N33" i="6" l="1"/>
  <c r="K32" i="6"/>
  <c r="H33" i="8"/>
  <c r="F33" i="8" s="1"/>
  <c r="O33" i="8"/>
  <c r="J33" i="8" s="1"/>
  <c r="G33" i="8"/>
  <c r="L33" i="8"/>
  <c r="G31" i="9"/>
  <c r="L31" i="9"/>
  <c r="H31" i="9"/>
  <c r="F31" i="9" s="1"/>
  <c r="O31" i="9"/>
  <c r="J31" i="9" s="1"/>
  <c r="G31" i="7"/>
  <c r="L31" i="7"/>
  <c r="H31" i="7"/>
  <c r="F31" i="7" s="1"/>
  <c r="O31" i="7"/>
  <c r="J31" i="7" s="1"/>
  <c r="G31" i="2"/>
  <c r="L31" i="2"/>
  <c r="H31" i="2"/>
  <c r="F31" i="2" s="1"/>
  <c r="O31" i="2"/>
  <c r="J31" i="2" s="1"/>
  <c r="I67" i="6"/>
  <c r="D67" i="6"/>
  <c r="L33" i="6"/>
  <c r="G33" i="6"/>
  <c r="B69" i="6"/>
  <c r="O33" i="6"/>
  <c r="H33" i="6"/>
  <c r="F33" i="6" s="1"/>
  <c r="J33" i="6" l="1"/>
  <c r="M34" i="8"/>
  <c r="N34" i="8"/>
  <c r="K33" i="8"/>
  <c r="M32" i="9"/>
  <c r="N32" i="9"/>
  <c r="K31" i="9"/>
  <c r="M32" i="7"/>
  <c r="N32" i="7"/>
  <c r="K31" i="7"/>
  <c r="M32" i="2"/>
  <c r="N32" i="2"/>
  <c r="K31" i="2"/>
  <c r="M34" i="6"/>
  <c r="N34" i="6"/>
  <c r="I68" i="6"/>
  <c r="D68" i="6"/>
  <c r="B70" i="6"/>
  <c r="K33" i="6" l="1"/>
  <c r="G34" i="8"/>
  <c r="L34" i="8"/>
  <c r="H34" i="8"/>
  <c r="F34" i="8" s="1"/>
  <c r="O34" i="8"/>
  <c r="J34" i="8" s="1"/>
  <c r="G32" i="9"/>
  <c r="L32" i="9"/>
  <c r="H32" i="9"/>
  <c r="F32" i="9" s="1"/>
  <c r="O32" i="9"/>
  <c r="J32" i="9" s="1"/>
  <c r="G32" i="7"/>
  <c r="L32" i="7"/>
  <c r="H32" i="7"/>
  <c r="F32" i="7" s="1"/>
  <c r="O32" i="7"/>
  <c r="J32" i="7" s="1"/>
  <c r="G32" i="2"/>
  <c r="L32" i="2"/>
  <c r="H32" i="2"/>
  <c r="F32" i="2" s="1"/>
  <c r="O32" i="2"/>
  <c r="J32" i="2" s="1"/>
  <c r="I69" i="6"/>
  <c r="D69" i="6"/>
  <c r="O34" i="6"/>
  <c r="J34" i="6" s="1"/>
  <c r="H34" i="6"/>
  <c r="F34" i="6" s="1"/>
  <c r="B71" i="6"/>
  <c r="L34" i="6"/>
  <c r="G34" i="6"/>
  <c r="K34" i="6" l="1"/>
  <c r="M35" i="8"/>
  <c r="N35" i="8"/>
  <c r="K34" i="8"/>
  <c r="M33" i="9"/>
  <c r="N33" i="9"/>
  <c r="K32" i="9"/>
  <c r="M33" i="7"/>
  <c r="N33" i="7"/>
  <c r="K32" i="7"/>
  <c r="M33" i="2"/>
  <c r="N33" i="2"/>
  <c r="K32" i="2"/>
  <c r="N35" i="6"/>
  <c r="M35" i="6"/>
  <c r="B72" i="6"/>
  <c r="I70" i="6"/>
  <c r="D70" i="6"/>
  <c r="G35" i="8" l="1"/>
  <c r="L35" i="8"/>
  <c r="H35" i="8"/>
  <c r="F35" i="8" s="1"/>
  <c r="O35" i="8"/>
  <c r="J35" i="8" s="1"/>
  <c r="G33" i="9"/>
  <c r="L33" i="9"/>
  <c r="H33" i="9"/>
  <c r="F33" i="9" s="1"/>
  <c r="O33" i="9"/>
  <c r="J33" i="9" s="1"/>
  <c r="G33" i="7"/>
  <c r="L33" i="7"/>
  <c r="H33" i="7"/>
  <c r="F33" i="7" s="1"/>
  <c r="O33" i="7"/>
  <c r="J33" i="7" s="1"/>
  <c r="G33" i="2"/>
  <c r="L33" i="2"/>
  <c r="H33" i="2"/>
  <c r="F33" i="2" s="1"/>
  <c r="O33" i="2"/>
  <c r="J33" i="2" s="1"/>
  <c r="B73" i="6"/>
  <c r="I71" i="6"/>
  <c r="D71" i="6"/>
  <c r="L35" i="6"/>
  <c r="G35" i="6"/>
  <c r="O35" i="6"/>
  <c r="H35" i="6"/>
  <c r="F35" i="6" s="1"/>
  <c r="J35" i="6" l="1"/>
  <c r="M36" i="8"/>
  <c r="N36" i="8"/>
  <c r="K35" i="8"/>
  <c r="M34" i="9"/>
  <c r="N34" i="9"/>
  <c r="K33" i="9"/>
  <c r="M34" i="7"/>
  <c r="N34" i="7"/>
  <c r="K33" i="7"/>
  <c r="M34" i="2"/>
  <c r="N34" i="2"/>
  <c r="K33" i="2"/>
  <c r="N36" i="6"/>
  <c r="M36" i="6"/>
  <c r="I72" i="6"/>
  <c r="D72" i="6"/>
  <c r="B74" i="6"/>
  <c r="K35" i="6" l="1"/>
  <c r="G36" i="8"/>
  <c r="L36" i="8"/>
  <c r="H36" i="8"/>
  <c r="F36" i="8" s="1"/>
  <c r="O36" i="8"/>
  <c r="J36" i="8" s="1"/>
  <c r="G34" i="9"/>
  <c r="L34" i="9"/>
  <c r="H34" i="9"/>
  <c r="F34" i="9" s="1"/>
  <c r="O34" i="9"/>
  <c r="J34" i="9" s="1"/>
  <c r="G34" i="7"/>
  <c r="L34" i="7"/>
  <c r="H34" i="7"/>
  <c r="F34" i="7" s="1"/>
  <c r="O34" i="7"/>
  <c r="J34" i="7" s="1"/>
  <c r="G34" i="2"/>
  <c r="L34" i="2"/>
  <c r="H34" i="2"/>
  <c r="F34" i="2" s="1"/>
  <c r="O34" i="2"/>
  <c r="J34" i="2" s="1"/>
  <c r="I73" i="6"/>
  <c r="D73" i="6"/>
  <c r="O36" i="6"/>
  <c r="H36" i="6"/>
  <c r="F36" i="6" s="1"/>
  <c r="L36" i="6"/>
  <c r="G36" i="6"/>
  <c r="B75" i="6"/>
  <c r="J36" i="6" l="1"/>
  <c r="N37" i="6" s="1"/>
  <c r="M37" i="8"/>
  <c r="N37" i="8"/>
  <c r="K36" i="8"/>
  <c r="M35" i="9"/>
  <c r="N35" i="9"/>
  <c r="K34" i="9"/>
  <c r="M35" i="7"/>
  <c r="N35" i="7"/>
  <c r="K34" i="7"/>
  <c r="M35" i="2"/>
  <c r="N35" i="2"/>
  <c r="K34" i="2"/>
  <c r="M37" i="6"/>
  <c r="B76" i="6"/>
  <c r="I74" i="6"/>
  <c r="D74" i="6"/>
  <c r="K36" i="6" l="1"/>
  <c r="G37" i="8"/>
  <c r="L37" i="8"/>
  <c r="H37" i="8"/>
  <c r="F37" i="8" s="1"/>
  <c r="O37" i="8"/>
  <c r="J37" i="8" s="1"/>
  <c r="G35" i="9"/>
  <c r="L35" i="9"/>
  <c r="H35" i="9"/>
  <c r="F35" i="9" s="1"/>
  <c r="O35" i="9"/>
  <c r="J35" i="9" s="1"/>
  <c r="G35" i="7"/>
  <c r="L35" i="7"/>
  <c r="H35" i="7"/>
  <c r="F35" i="7" s="1"/>
  <c r="O35" i="7"/>
  <c r="J35" i="7" s="1"/>
  <c r="G35" i="2"/>
  <c r="L35" i="2"/>
  <c r="H35" i="2"/>
  <c r="F35" i="2" s="1"/>
  <c r="O35" i="2"/>
  <c r="J35" i="2" s="1"/>
  <c r="I75" i="6"/>
  <c r="D75" i="6"/>
  <c r="O37" i="6"/>
  <c r="H37" i="6"/>
  <c r="F37" i="6" s="1"/>
  <c r="B77" i="6"/>
  <c r="L37" i="6"/>
  <c r="G37" i="6"/>
  <c r="J37" i="6" l="1"/>
  <c r="M38" i="8"/>
  <c r="N38" i="8"/>
  <c r="K37" i="8"/>
  <c r="M36" i="9"/>
  <c r="N36" i="9"/>
  <c r="K35" i="9"/>
  <c r="M36" i="7"/>
  <c r="N36" i="7"/>
  <c r="K35" i="7"/>
  <c r="M36" i="2"/>
  <c r="N36" i="2"/>
  <c r="K35" i="2"/>
  <c r="N38" i="6"/>
  <c r="M38" i="6"/>
  <c r="B78" i="6"/>
  <c r="I76" i="6"/>
  <c r="D76" i="6"/>
  <c r="K37" i="6" l="1"/>
  <c r="G38" i="8"/>
  <c r="L38" i="8"/>
  <c r="H38" i="8"/>
  <c r="F38" i="8" s="1"/>
  <c r="O38" i="8"/>
  <c r="J38" i="8" s="1"/>
  <c r="G36" i="9"/>
  <c r="L36" i="9"/>
  <c r="H36" i="9"/>
  <c r="F36" i="9" s="1"/>
  <c r="O36" i="9"/>
  <c r="J36" i="9" s="1"/>
  <c r="G36" i="7"/>
  <c r="L36" i="7"/>
  <c r="H36" i="7"/>
  <c r="F36" i="7" s="1"/>
  <c r="O36" i="7"/>
  <c r="J36" i="7" s="1"/>
  <c r="G36" i="2"/>
  <c r="L36" i="2"/>
  <c r="H36" i="2"/>
  <c r="F36" i="2" s="1"/>
  <c r="O36" i="2"/>
  <c r="J36" i="2" s="1"/>
  <c r="B79" i="6"/>
  <c r="I77" i="6"/>
  <c r="D77" i="6"/>
  <c r="L38" i="6"/>
  <c r="G38" i="6"/>
  <c r="O38" i="6"/>
  <c r="H38" i="6"/>
  <c r="F38" i="6" s="1"/>
  <c r="J38" i="6" l="1"/>
  <c r="N39" i="6" s="1"/>
  <c r="M39" i="8"/>
  <c r="N39" i="8"/>
  <c r="K38" i="8"/>
  <c r="M37" i="9"/>
  <c r="N37" i="9"/>
  <c r="K36" i="9"/>
  <c r="M37" i="7"/>
  <c r="N37" i="7"/>
  <c r="K36" i="7"/>
  <c r="M37" i="2"/>
  <c r="N37" i="2"/>
  <c r="K36" i="2"/>
  <c r="I78" i="6"/>
  <c r="D78" i="6"/>
  <c r="B80" i="6"/>
  <c r="M39" i="6" l="1"/>
  <c r="K38" i="6"/>
  <c r="G39" i="8"/>
  <c r="L39" i="8"/>
  <c r="H39" i="8"/>
  <c r="F39" i="8" s="1"/>
  <c r="O39" i="8"/>
  <c r="J39" i="8" s="1"/>
  <c r="G37" i="9"/>
  <c r="L37" i="9"/>
  <c r="H37" i="9"/>
  <c r="F37" i="9" s="1"/>
  <c r="O37" i="9"/>
  <c r="J37" i="9" s="1"/>
  <c r="G37" i="7"/>
  <c r="L37" i="7"/>
  <c r="H37" i="7"/>
  <c r="F37" i="7" s="1"/>
  <c r="O37" i="7"/>
  <c r="J37" i="7" s="1"/>
  <c r="G37" i="2"/>
  <c r="L37" i="2"/>
  <c r="H37" i="2"/>
  <c r="F37" i="2" s="1"/>
  <c r="O37" i="2"/>
  <c r="J37" i="2" s="1"/>
  <c r="I79" i="6"/>
  <c r="D79" i="6"/>
  <c r="L39" i="6"/>
  <c r="G39" i="6"/>
  <c r="B81" i="6"/>
  <c r="O39" i="6"/>
  <c r="H39" i="6"/>
  <c r="F39" i="6" s="1"/>
  <c r="J39" i="6" l="1"/>
  <c r="M40" i="8"/>
  <c r="N40" i="8"/>
  <c r="K39" i="8"/>
  <c r="M38" i="9"/>
  <c r="N38" i="9"/>
  <c r="K37" i="9"/>
  <c r="M38" i="7"/>
  <c r="N38" i="7"/>
  <c r="K37" i="7"/>
  <c r="M38" i="2"/>
  <c r="N38" i="2"/>
  <c r="K37" i="2"/>
  <c r="N40" i="6"/>
  <c r="M40" i="6"/>
  <c r="I80" i="6"/>
  <c r="D80" i="6"/>
  <c r="B82" i="6"/>
  <c r="K39" i="6" l="1"/>
  <c r="G40" i="8"/>
  <c r="L40" i="8"/>
  <c r="H40" i="8"/>
  <c r="F40" i="8" s="1"/>
  <c r="O40" i="8"/>
  <c r="J40" i="8" s="1"/>
  <c r="G38" i="9"/>
  <c r="L38" i="9"/>
  <c r="H38" i="9"/>
  <c r="F38" i="9" s="1"/>
  <c r="O38" i="9"/>
  <c r="J38" i="9" s="1"/>
  <c r="G38" i="7"/>
  <c r="L38" i="7"/>
  <c r="H38" i="7"/>
  <c r="F38" i="7" s="1"/>
  <c r="O38" i="7"/>
  <c r="J38" i="7" s="1"/>
  <c r="G38" i="2"/>
  <c r="L38" i="2"/>
  <c r="H38" i="2"/>
  <c r="F38" i="2" s="1"/>
  <c r="O38" i="2"/>
  <c r="J38" i="2" s="1"/>
  <c r="B83" i="6"/>
  <c r="L40" i="6"/>
  <c r="G40" i="6"/>
  <c r="O40" i="6"/>
  <c r="H40" i="6"/>
  <c r="F40" i="6" s="1"/>
  <c r="I81" i="6"/>
  <c r="D81" i="6"/>
  <c r="J40" i="6" l="1"/>
  <c r="M41" i="8"/>
  <c r="N41" i="8"/>
  <c r="K40" i="8"/>
  <c r="M39" i="9"/>
  <c r="N39" i="9"/>
  <c r="K38" i="9"/>
  <c r="M39" i="7"/>
  <c r="N39" i="7"/>
  <c r="K38" i="7"/>
  <c r="M39" i="2"/>
  <c r="N39" i="2"/>
  <c r="K38" i="2"/>
  <c r="M41" i="6"/>
  <c r="B84" i="6"/>
  <c r="I82" i="6"/>
  <c r="D82" i="6"/>
  <c r="N41" i="6" l="1"/>
  <c r="K40" i="6"/>
  <c r="G41" i="8"/>
  <c r="L41" i="8"/>
  <c r="H41" i="8"/>
  <c r="F41" i="8" s="1"/>
  <c r="O41" i="8"/>
  <c r="J41" i="8" s="1"/>
  <c r="G39" i="9"/>
  <c r="L39" i="9"/>
  <c r="H39" i="9"/>
  <c r="F39" i="9" s="1"/>
  <c r="O39" i="9"/>
  <c r="J39" i="9" s="1"/>
  <c r="G39" i="7"/>
  <c r="L39" i="7"/>
  <c r="H39" i="7"/>
  <c r="F39" i="7" s="1"/>
  <c r="O39" i="7"/>
  <c r="J39" i="7" s="1"/>
  <c r="G39" i="2"/>
  <c r="L39" i="2"/>
  <c r="H39" i="2"/>
  <c r="F39" i="2" s="1"/>
  <c r="O39" i="2"/>
  <c r="J39" i="2" s="1"/>
  <c r="B85" i="6"/>
  <c r="L41" i="6"/>
  <c r="G41" i="6"/>
  <c r="O41" i="6"/>
  <c r="H41" i="6"/>
  <c r="F41" i="6" s="1"/>
  <c r="I83" i="6"/>
  <c r="D83" i="6"/>
  <c r="J41" i="6" l="1"/>
  <c r="N42" i="6" s="1"/>
  <c r="M42" i="8"/>
  <c r="N42" i="8"/>
  <c r="K41" i="8"/>
  <c r="M40" i="9"/>
  <c r="N40" i="9"/>
  <c r="K39" i="9"/>
  <c r="M40" i="7"/>
  <c r="N40" i="7"/>
  <c r="K39" i="7"/>
  <c r="M40" i="2"/>
  <c r="N40" i="2"/>
  <c r="K39" i="2"/>
  <c r="I84" i="6"/>
  <c r="D84" i="6"/>
  <c r="B86" i="6"/>
  <c r="M42" i="6" l="1"/>
  <c r="K41" i="6"/>
  <c r="G42" i="8"/>
  <c r="L42" i="8"/>
  <c r="H42" i="8"/>
  <c r="F42" i="8" s="1"/>
  <c r="O42" i="8"/>
  <c r="J42" i="8" s="1"/>
  <c r="G40" i="9"/>
  <c r="L40" i="9"/>
  <c r="H40" i="9"/>
  <c r="F40" i="9" s="1"/>
  <c r="O40" i="9"/>
  <c r="J40" i="9" s="1"/>
  <c r="G40" i="7"/>
  <c r="L40" i="7"/>
  <c r="H40" i="7"/>
  <c r="F40" i="7" s="1"/>
  <c r="O40" i="7"/>
  <c r="J40" i="7" s="1"/>
  <c r="G40" i="2"/>
  <c r="L40" i="2"/>
  <c r="H40" i="2"/>
  <c r="F40" i="2" s="1"/>
  <c r="O40" i="2"/>
  <c r="J40" i="2" s="1"/>
  <c r="I85" i="6"/>
  <c r="D85" i="6"/>
  <c r="O42" i="6"/>
  <c r="H42" i="6"/>
  <c r="F42" i="6" s="1"/>
  <c r="L42" i="6"/>
  <c r="G42" i="6"/>
  <c r="B87" i="6"/>
  <c r="J42" i="6" l="1"/>
  <c r="M43" i="8"/>
  <c r="N43" i="8"/>
  <c r="K42" i="8"/>
  <c r="M41" i="9"/>
  <c r="N41" i="9"/>
  <c r="K40" i="9"/>
  <c r="M41" i="7"/>
  <c r="N41" i="7"/>
  <c r="K40" i="7"/>
  <c r="M41" i="2"/>
  <c r="N41" i="2"/>
  <c r="K40" i="2"/>
  <c r="N43" i="6"/>
  <c r="M43" i="6"/>
  <c r="B88" i="6"/>
  <c r="I86" i="6"/>
  <c r="D86" i="6"/>
  <c r="K42" i="6" l="1"/>
  <c r="G43" i="8"/>
  <c r="L43" i="8"/>
  <c r="H43" i="8"/>
  <c r="F43" i="8" s="1"/>
  <c r="O43" i="8"/>
  <c r="J43" i="8" s="1"/>
  <c r="G41" i="9"/>
  <c r="L41" i="9"/>
  <c r="H41" i="9"/>
  <c r="F41" i="9" s="1"/>
  <c r="O41" i="9"/>
  <c r="J41" i="9" s="1"/>
  <c r="G41" i="7"/>
  <c r="L41" i="7"/>
  <c r="H41" i="7"/>
  <c r="F41" i="7" s="1"/>
  <c r="O41" i="7"/>
  <c r="J41" i="7" s="1"/>
  <c r="G41" i="2"/>
  <c r="L41" i="2"/>
  <c r="H41" i="2"/>
  <c r="F41" i="2" s="1"/>
  <c r="O41" i="2"/>
  <c r="J41" i="2" s="1"/>
  <c r="I87" i="6"/>
  <c r="D87" i="6"/>
  <c r="B89" i="6"/>
  <c r="L43" i="6"/>
  <c r="G43" i="6"/>
  <c r="O43" i="6"/>
  <c r="H43" i="6"/>
  <c r="F43" i="6" s="1"/>
  <c r="J43" i="6" l="1"/>
  <c r="M44" i="8"/>
  <c r="N44" i="8"/>
  <c r="K43" i="8"/>
  <c r="M42" i="9"/>
  <c r="N42" i="9"/>
  <c r="K41" i="9"/>
  <c r="M42" i="7"/>
  <c r="N42" i="7"/>
  <c r="K41" i="7"/>
  <c r="M42" i="2"/>
  <c r="N42" i="2"/>
  <c r="K41" i="2"/>
  <c r="M44" i="6"/>
  <c r="B90" i="6"/>
  <c r="I88" i="6"/>
  <c r="D88" i="6"/>
  <c r="N44" i="6" l="1"/>
  <c r="K43" i="6"/>
  <c r="G44" i="8"/>
  <c r="L44" i="8"/>
  <c r="H44" i="8"/>
  <c r="F44" i="8" s="1"/>
  <c r="O44" i="8"/>
  <c r="J44" i="8" s="1"/>
  <c r="G42" i="9"/>
  <c r="L42" i="9"/>
  <c r="H42" i="9"/>
  <c r="F42" i="9" s="1"/>
  <c r="O42" i="9"/>
  <c r="J42" i="9" s="1"/>
  <c r="G42" i="7"/>
  <c r="L42" i="7"/>
  <c r="H42" i="7"/>
  <c r="F42" i="7" s="1"/>
  <c r="O42" i="7"/>
  <c r="J42" i="7" s="1"/>
  <c r="G42" i="2"/>
  <c r="L42" i="2"/>
  <c r="H42" i="2"/>
  <c r="F42" i="2" s="1"/>
  <c r="O42" i="2"/>
  <c r="J42" i="2" s="1"/>
  <c r="L44" i="6"/>
  <c r="G44" i="6"/>
  <c r="B91" i="6"/>
  <c r="O44" i="6"/>
  <c r="H44" i="6"/>
  <c r="F44" i="6" s="1"/>
  <c r="I89" i="6"/>
  <c r="D89" i="6"/>
  <c r="J44" i="6" l="1"/>
  <c r="M45" i="8"/>
  <c r="N45" i="8"/>
  <c r="K44" i="8"/>
  <c r="M43" i="9"/>
  <c r="N43" i="9"/>
  <c r="K42" i="9"/>
  <c r="M43" i="7"/>
  <c r="N43" i="7"/>
  <c r="K42" i="7"/>
  <c r="M43" i="2"/>
  <c r="N43" i="2"/>
  <c r="K42" i="2"/>
  <c r="B92" i="6"/>
  <c r="N45" i="6"/>
  <c r="M45" i="6"/>
  <c r="I90" i="6"/>
  <c r="D90" i="6"/>
  <c r="K44" i="6" l="1"/>
  <c r="G45" i="8"/>
  <c r="L45" i="8"/>
  <c r="H45" i="8"/>
  <c r="F45" i="8" s="1"/>
  <c r="O45" i="8"/>
  <c r="J45" i="8" s="1"/>
  <c r="G43" i="9"/>
  <c r="L43" i="9"/>
  <c r="H43" i="9"/>
  <c r="F43" i="9" s="1"/>
  <c r="O43" i="9"/>
  <c r="J43" i="9" s="1"/>
  <c r="G43" i="7"/>
  <c r="L43" i="7"/>
  <c r="H43" i="7"/>
  <c r="F43" i="7" s="1"/>
  <c r="O43" i="7"/>
  <c r="J43" i="7" s="1"/>
  <c r="G43" i="2"/>
  <c r="L43" i="2"/>
  <c r="H43" i="2"/>
  <c r="F43" i="2" s="1"/>
  <c r="O43" i="2"/>
  <c r="J43" i="2" s="1"/>
  <c r="L45" i="6"/>
  <c r="G45" i="6"/>
  <c r="I91" i="6"/>
  <c r="D91" i="6"/>
  <c r="O45" i="6"/>
  <c r="H45" i="6"/>
  <c r="F45" i="6" s="1"/>
  <c r="B93" i="6"/>
  <c r="J45" i="6" l="1"/>
  <c r="M46" i="8"/>
  <c r="N46" i="8"/>
  <c r="K45" i="8"/>
  <c r="M44" i="9"/>
  <c r="N44" i="9"/>
  <c r="K43" i="9"/>
  <c r="M44" i="7"/>
  <c r="N44" i="7"/>
  <c r="K43" i="7"/>
  <c r="M44" i="2"/>
  <c r="N44" i="2"/>
  <c r="K43" i="2"/>
  <c r="M46" i="6"/>
  <c r="B94" i="6"/>
  <c r="I92" i="6"/>
  <c r="D92" i="6"/>
  <c r="N46" i="6" l="1"/>
  <c r="K45" i="6"/>
  <c r="G46" i="8"/>
  <c r="L46" i="8"/>
  <c r="H46" i="8"/>
  <c r="F46" i="8" s="1"/>
  <c r="O46" i="8"/>
  <c r="J46" i="8" s="1"/>
  <c r="G44" i="9"/>
  <c r="L44" i="9"/>
  <c r="H44" i="9"/>
  <c r="F44" i="9" s="1"/>
  <c r="O44" i="9"/>
  <c r="J44" i="9" s="1"/>
  <c r="G44" i="7"/>
  <c r="L44" i="7"/>
  <c r="H44" i="7"/>
  <c r="F44" i="7" s="1"/>
  <c r="O44" i="7"/>
  <c r="J44" i="7" s="1"/>
  <c r="G44" i="2"/>
  <c r="L44" i="2"/>
  <c r="H44" i="2"/>
  <c r="F44" i="2" s="1"/>
  <c r="O44" i="2"/>
  <c r="J44" i="2" s="1"/>
  <c r="L46" i="6"/>
  <c r="G46" i="6"/>
  <c r="B95" i="6"/>
  <c r="O46" i="6"/>
  <c r="H46" i="6"/>
  <c r="F46" i="6" s="1"/>
  <c r="I93" i="6"/>
  <c r="D93" i="6"/>
  <c r="J46" i="6" l="1"/>
  <c r="N47" i="6" s="1"/>
  <c r="N47" i="8"/>
  <c r="M47" i="8"/>
  <c r="K46" i="8"/>
  <c r="M45" i="9"/>
  <c r="N45" i="9"/>
  <c r="K44" i="9"/>
  <c r="M45" i="7"/>
  <c r="N45" i="7"/>
  <c r="K44" i="7"/>
  <c r="M45" i="2"/>
  <c r="N45" i="2"/>
  <c r="K44" i="2"/>
  <c r="M47" i="6"/>
  <c r="I94" i="6"/>
  <c r="D94" i="6"/>
  <c r="B96" i="6"/>
  <c r="J45" i="2" l="1"/>
  <c r="K46" i="6"/>
  <c r="H47" i="8"/>
  <c r="F47" i="8" s="1"/>
  <c r="O47" i="8"/>
  <c r="J47" i="8" s="1"/>
  <c r="G47" i="8"/>
  <c r="L47" i="8"/>
  <c r="G45" i="9"/>
  <c r="L45" i="9"/>
  <c r="H45" i="9"/>
  <c r="F45" i="9" s="1"/>
  <c r="O45" i="9"/>
  <c r="J45" i="9" s="1"/>
  <c r="G45" i="7"/>
  <c r="L45" i="7"/>
  <c r="H45" i="7"/>
  <c r="F45" i="7" s="1"/>
  <c r="O45" i="7"/>
  <c r="J45" i="7" s="1"/>
  <c r="G45" i="2"/>
  <c r="L45" i="2"/>
  <c r="H45" i="2"/>
  <c r="F45" i="2" s="1"/>
  <c r="O45" i="2"/>
  <c r="B97" i="6"/>
  <c r="L47" i="6"/>
  <c r="G47" i="6"/>
  <c r="I95" i="6"/>
  <c r="D95" i="6"/>
  <c r="O47" i="6"/>
  <c r="H47" i="6"/>
  <c r="F47" i="6" s="1"/>
  <c r="J47" i="6" l="1"/>
  <c r="N48" i="6" s="1"/>
  <c r="M48" i="8"/>
  <c r="N48" i="8"/>
  <c r="K47" i="8"/>
  <c r="M46" i="9"/>
  <c r="N46" i="9"/>
  <c r="K45" i="9"/>
  <c r="M46" i="7"/>
  <c r="N46" i="7"/>
  <c r="K45" i="7"/>
  <c r="M46" i="2"/>
  <c r="N46" i="2"/>
  <c r="K45" i="2"/>
  <c r="M48" i="6"/>
  <c r="I96" i="6"/>
  <c r="D96" i="6"/>
  <c r="B98" i="6"/>
  <c r="K47" i="6" l="1"/>
  <c r="G48" i="8"/>
  <c r="L48" i="8"/>
  <c r="H48" i="8"/>
  <c r="F48" i="8" s="1"/>
  <c r="O48" i="8"/>
  <c r="J48" i="8" s="1"/>
  <c r="G46" i="9"/>
  <c r="L46" i="9"/>
  <c r="H46" i="9"/>
  <c r="F46" i="9" s="1"/>
  <c r="O46" i="9"/>
  <c r="J46" i="9" s="1"/>
  <c r="G46" i="7"/>
  <c r="L46" i="7"/>
  <c r="H46" i="7"/>
  <c r="F46" i="7" s="1"/>
  <c r="O46" i="7"/>
  <c r="J46" i="7" s="1"/>
  <c r="G46" i="2"/>
  <c r="L46" i="2"/>
  <c r="H46" i="2"/>
  <c r="F46" i="2" s="1"/>
  <c r="O46" i="2"/>
  <c r="J46" i="2" s="1"/>
  <c r="I97" i="6"/>
  <c r="D97" i="6"/>
  <c r="L48" i="6"/>
  <c r="G48" i="6"/>
  <c r="I98" i="6"/>
  <c r="I99" i="6" s="1"/>
  <c r="D98" i="6"/>
  <c r="E99" i="6"/>
  <c r="O48" i="6"/>
  <c r="H48" i="6"/>
  <c r="F48" i="6" s="1"/>
  <c r="J48" i="6" l="1"/>
  <c r="N49" i="6" s="1"/>
  <c r="N49" i="8"/>
  <c r="M49" i="8"/>
  <c r="K48" i="8"/>
  <c r="M47" i="9"/>
  <c r="N47" i="9"/>
  <c r="K46" i="9"/>
  <c r="M47" i="7"/>
  <c r="N47" i="7"/>
  <c r="K46" i="7"/>
  <c r="M47" i="2"/>
  <c r="N47" i="2"/>
  <c r="K46" i="2"/>
  <c r="M49" i="6"/>
  <c r="D99" i="6"/>
  <c r="K48" i="6" l="1"/>
  <c r="H49" i="8"/>
  <c r="F49" i="8" s="1"/>
  <c r="O49" i="8"/>
  <c r="J49" i="8" s="1"/>
  <c r="G49" i="8"/>
  <c r="L49" i="8"/>
  <c r="G47" i="9"/>
  <c r="L47" i="9"/>
  <c r="H47" i="9"/>
  <c r="F47" i="9" s="1"/>
  <c r="O47" i="9"/>
  <c r="J47" i="9" s="1"/>
  <c r="G47" i="7"/>
  <c r="L47" i="7"/>
  <c r="H47" i="7"/>
  <c r="F47" i="7" s="1"/>
  <c r="O47" i="7"/>
  <c r="J47" i="7" s="1"/>
  <c r="G47" i="2"/>
  <c r="L47" i="2"/>
  <c r="H47" i="2"/>
  <c r="F47" i="2" s="1"/>
  <c r="O47" i="2"/>
  <c r="J47" i="2" s="1"/>
  <c r="O49" i="6"/>
  <c r="H49" i="6"/>
  <c r="F49" i="6" s="1"/>
  <c r="L49" i="6"/>
  <c r="G49" i="6"/>
  <c r="J49" i="6" l="1"/>
  <c r="N50" i="6" s="1"/>
  <c r="M50" i="8"/>
  <c r="N50" i="8"/>
  <c r="K49" i="8"/>
  <c r="M48" i="9"/>
  <c r="N48" i="9"/>
  <c r="K47" i="9"/>
  <c r="M48" i="7"/>
  <c r="N48" i="7"/>
  <c r="K47" i="7"/>
  <c r="M48" i="2"/>
  <c r="N48" i="2"/>
  <c r="K47" i="2"/>
  <c r="M50" i="6"/>
  <c r="K49" i="6" l="1"/>
  <c r="G50" i="8"/>
  <c r="L50" i="8"/>
  <c r="H50" i="8"/>
  <c r="F50" i="8" s="1"/>
  <c r="O50" i="8"/>
  <c r="J50" i="8" s="1"/>
  <c r="G48" i="9"/>
  <c r="L48" i="9"/>
  <c r="H48" i="9"/>
  <c r="F48" i="9" s="1"/>
  <c r="O48" i="9"/>
  <c r="J48" i="9" s="1"/>
  <c r="G48" i="7"/>
  <c r="L48" i="7"/>
  <c r="H48" i="7"/>
  <c r="F48" i="7" s="1"/>
  <c r="O48" i="7"/>
  <c r="J48" i="7" s="1"/>
  <c r="G48" i="2"/>
  <c r="L48" i="2"/>
  <c r="H48" i="2"/>
  <c r="F48" i="2" s="1"/>
  <c r="O48" i="2"/>
  <c r="J48" i="2" s="1"/>
  <c r="L50" i="6"/>
  <c r="G50" i="6"/>
  <c r="O50" i="6"/>
  <c r="H50" i="6"/>
  <c r="F50" i="6" s="1"/>
  <c r="J50" i="6" l="1"/>
  <c r="N51" i="8"/>
  <c r="M51" i="8"/>
  <c r="K50" i="8"/>
  <c r="M49" i="9"/>
  <c r="N49" i="9"/>
  <c r="K48" i="9"/>
  <c r="M49" i="7"/>
  <c r="N49" i="7"/>
  <c r="K48" i="7"/>
  <c r="M49" i="2"/>
  <c r="N49" i="2"/>
  <c r="K48" i="2"/>
  <c r="N51" i="6"/>
  <c r="M51" i="6"/>
  <c r="E99" i="1"/>
  <c r="K50" i="6" l="1"/>
  <c r="H51" i="8"/>
  <c r="F51" i="8" s="1"/>
  <c r="O51" i="8"/>
  <c r="J51" i="8" s="1"/>
  <c r="G51" i="8"/>
  <c r="L51" i="8"/>
  <c r="G49" i="9"/>
  <c r="L49" i="9"/>
  <c r="H49" i="9"/>
  <c r="F49" i="9" s="1"/>
  <c r="O49" i="9"/>
  <c r="J49" i="9" s="1"/>
  <c r="G49" i="7"/>
  <c r="L49" i="7"/>
  <c r="H49" i="7"/>
  <c r="F49" i="7" s="1"/>
  <c r="O49" i="7"/>
  <c r="J49" i="7" s="1"/>
  <c r="G49" i="2"/>
  <c r="L49" i="2"/>
  <c r="H49" i="2"/>
  <c r="F49" i="2" s="1"/>
  <c r="O49" i="2"/>
  <c r="J49" i="2" s="1"/>
  <c r="L51" i="6"/>
  <c r="G51" i="6"/>
  <c r="O51" i="6"/>
  <c r="H51" i="6"/>
  <c r="F51" i="6" s="1"/>
  <c r="J51" i="6" l="1"/>
  <c r="N52" i="6" s="1"/>
  <c r="M52" i="8"/>
  <c r="N52" i="8"/>
  <c r="K51" i="8"/>
  <c r="M50" i="9"/>
  <c r="N50" i="9"/>
  <c r="K49" i="9"/>
  <c r="M50" i="7"/>
  <c r="N50" i="7"/>
  <c r="K49" i="7"/>
  <c r="M50" i="2"/>
  <c r="N50" i="2"/>
  <c r="K49" i="2"/>
  <c r="M52" i="6"/>
  <c r="K51" i="6" l="1"/>
  <c r="G52" i="8"/>
  <c r="L52" i="8"/>
  <c r="H52" i="8"/>
  <c r="F52" i="8" s="1"/>
  <c r="O52" i="8"/>
  <c r="J52" i="8" s="1"/>
  <c r="G50" i="9"/>
  <c r="L50" i="9"/>
  <c r="H50" i="9"/>
  <c r="F50" i="9" s="1"/>
  <c r="O50" i="9"/>
  <c r="J50" i="9" s="1"/>
  <c r="G50" i="7"/>
  <c r="L50" i="7"/>
  <c r="H50" i="7"/>
  <c r="F50" i="7" s="1"/>
  <c r="O50" i="7"/>
  <c r="J50" i="7" s="1"/>
  <c r="G50" i="2"/>
  <c r="L50" i="2"/>
  <c r="H50" i="2"/>
  <c r="F50" i="2" s="1"/>
  <c r="O50" i="2"/>
  <c r="J50" i="2" s="1"/>
  <c r="O52" i="6"/>
  <c r="H52" i="6"/>
  <c r="F52" i="6" s="1"/>
  <c r="L52" i="6"/>
  <c r="G52" i="6"/>
  <c r="J52" i="6" l="1"/>
  <c r="N53" i="8"/>
  <c r="M53" i="8"/>
  <c r="K52" i="8"/>
  <c r="M51" i="9"/>
  <c r="N51" i="9"/>
  <c r="K50" i="9"/>
  <c r="M51" i="7"/>
  <c r="N51" i="7"/>
  <c r="K50" i="7"/>
  <c r="M51" i="2"/>
  <c r="N51" i="2"/>
  <c r="K50" i="2"/>
  <c r="N53" i="6"/>
  <c r="M53" i="6"/>
  <c r="K52" i="6" l="1"/>
  <c r="H53" i="8"/>
  <c r="F53" i="8" s="1"/>
  <c r="O53" i="8"/>
  <c r="J53" i="8" s="1"/>
  <c r="G53" i="8"/>
  <c r="L53" i="8"/>
  <c r="G51" i="9"/>
  <c r="L51" i="9"/>
  <c r="H51" i="9"/>
  <c r="F51" i="9" s="1"/>
  <c r="O51" i="9"/>
  <c r="J51" i="9" s="1"/>
  <c r="G51" i="7"/>
  <c r="L51" i="7"/>
  <c r="H51" i="7"/>
  <c r="F51" i="7" s="1"/>
  <c r="O51" i="7"/>
  <c r="J51" i="7" s="1"/>
  <c r="G51" i="2"/>
  <c r="L51" i="2"/>
  <c r="H51" i="2"/>
  <c r="F51" i="2" s="1"/>
  <c r="O51" i="2"/>
  <c r="J51" i="2" s="1"/>
  <c r="L53" i="6"/>
  <c r="G53" i="6"/>
  <c r="O53" i="6"/>
  <c r="H53" i="6"/>
  <c r="F53" i="6" s="1"/>
  <c r="J53" i="6" l="1"/>
  <c r="N54" i="8"/>
  <c r="M54" i="8"/>
  <c r="K53" i="8"/>
  <c r="M52" i="9"/>
  <c r="N52" i="9"/>
  <c r="K51" i="9"/>
  <c r="M52" i="7"/>
  <c r="N52" i="7"/>
  <c r="K51" i="7"/>
  <c r="M52" i="2"/>
  <c r="N52" i="2"/>
  <c r="K51" i="2"/>
  <c r="M54" i="6"/>
  <c r="N54" i="6" l="1"/>
  <c r="O54" i="6" s="1"/>
  <c r="K53" i="6"/>
  <c r="H54" i="8"/>
  <c r="F54" i="8" s="1"/>
  <c r="O54" i="8"/>
  <c r="J54" i="8" s="1"/>
  <c r="G54" i="8"/>
  <c r="L54" i="8"/>
  <c r="G52" i="9"/>
  <c r="L52" i="9"/>
  <c r="H52" i="9"/>
  <c r="F52" i="9" s="1"/>
  <c r="O52" i="9"/>
  <c r="J52" i="9" s="1"/>
  <c r="G52" i="7"/>
  <c r="L52" i="7"/>
  <c r="H52" i="7"/>
  <c r="F52" i="7" s="1"/>
  <c r="O52" i="7"/>
  <c r="J52" i="7" s="1"/>
  <c r="G52" i="2"/>
  <c r="L52" i="2"/>
  <c r="H52" i="2"/>
  <c r="F52" i="2" s="1"/>
  <c r="O52" i="2"/>
  <c r="J52" i="2" s="1"/>
  <c r="L54" i="6"/>
  <c r="G54" i="6"/>
  <c r="H54" i="6"/>
  <c r="F54" i="6" s="1"/>
  <c r="J54" i="6" l="1"/>
  <c r="N55" i="8"/>
  <c r="M55" i="8"/>
  <c r="K54" i="8"/>
  <c r="K52" i="9"/>
  <c r="N53" i="9"/>
  <c r="M53" i="9"/>
  <c r="M53" i="7"/>
  <c r="N53" i="7"/>
  <c r="K52" i="7"/>
  <c r="M53" i="2"/>
  <c r="N53" i="2"/>
  <c r="K52" i="2"/>
  <c r="N55" i="6"/>
  <c r="M55" i="6"/>
  <c r="K54" i="6" l="1"/>
  <c r="H55" i="8"/>
  <c r="F55" i="8" s="1"/>
  <c r="O55" i="8"/>
  <c r="J55" i="8" s="1"/>
  <c r="G55" i="8"/>
  <c r="L55" i="8"/>
  <c r="H53" i="9"/>
  <c r="F53" i="9" s="1"/>
  <c r="O53" i="9"/>
  <c r="J53" i="9" s="1"/>
  <c r="G53" i="9"/>
  <c r="L53" i="9"/>
  <c r="G53" i="7"/>
  <c r="L53" i="7"/>
  <c r="H53" i="7"/>
  <c r="F53" i="7" s="1"/>
  <c r="O53" i="7"/>
  <c r="J53" i="7" s="1"/>
  <c r="G53" i="2"/>
  <c r="L53" i="2"/>
  <c r="H53" i="2"/>
  <c r="F53" i="2" s="1"/>
  <c r="O53" i="2"/>
  <c r="J53" i="2" s="1"/>
  <c r="L55" i="6"/>
  <c r="G55" i="6"/>
  <c r="O55" i="6"/>
  <c r="H55" i="6"/>
  <c r="F55" i="6" s="1"/>
  <c r="J55" i="6" l="1"/>
  <c r="N56" i="6" s="1"/>
  <c r="M56" i="8"/>
  <c r="N56" i="8"/>
  <c r="K55" i="8"/>
  <c r="M54" i="9"/>
  <c r="N54" i="9"/>
  <c r="K53" i="9"/>
  <c r="M54" i="7"/>
  <c r="N54" i="7"/>
  <c r="K53" i="7"/>
  <c r="M54" i="2"/>
  <c r="N54" i="2"/>
  <c r="K53" i="2"/>
  <c r="M56" i="6"/>
  <c r="K55" i="6" l="1"/>
  <c r="G56" i="8"/>
  <c r="L56" i="8"/>
  <c r="H56" i="8"/>
  <c r="F56" i="8" s="1"/>
  <c r="O56" i="8"/>
  <c r="J56" i="8" s="1"/>
  <c r="G54" i="9"/>
  <c r="L54" i="9"/>
  <c r="H54" i="9"/>
  <c r="F54" i="9" s="1"/>
  <c r="O54" i="9"/>
  <c r="J54" i="9" s="1"/>
  <c r="G54" i="7"/>
  <c r="L54" i="7"/>
  <c r="H54" i="7"/>
  <c r="F54" i="7" s="1"/>
  <c r="O54" i="7"/>
  <c r="J54" i="7" s="1"/>
  <c r="G54" i="2"/>
  <c r="L54" i="2"/>
  <c r="H54" i="2"/>
  <c r="F54" i="2" s="1"/>
  <c r="O54" i="2"/>
  <c r="J54" i="2" s="1"/>
  <c r="L56" i="6"/>
  <c r="G56" i="6"/>
  <c r="O56" i="6"/>
  <c r="H56" i="6"/>
  <c r="F56" i="6" s="1"/>
  <c r="J56" i="6" l="1"/>
  <c r="M57" i="8"/>
  <c r="N57" i="8"/>
  <c r="K56" i="8"/>
  <c r="M55" i="9"/>
  <c r="N55" i="9"/>
  <c r="K54" i="9"/>
  <c r="M55" i="7"/>
  <c r="N55" i="7"/>
  <c r="K54" i="7"/>
  <c r="M55" i="2"/>
  <c r="N55" i="2"/>
  <c r="K54" i="2"/>
  <c r="N57" i="6"/>
  <c r="M57" i="6"/>
  <c r="K56" i="6" l="1"/>
  <c r="G57" i="8"/>
  <c r="L57" i="8"/>
  <c r="H57" i="8"/>
  <c r="F57" i="8" s="1"/>
  <c r="O57" i="8"/>
  <c r="J57" i="8" s="1"/>
  <c r="G55" i="9"/>
  <c r="L55" i="9"/>
  <c r="H55" i="9"/>
  <c r="F55" i="9" s="1"/>
  <c r="O55" i="9"/>
  <c r="J55" i="9" s="1"/>
  <c r="G55" i="7"/>
  <c r="L55" i="7"/>
  <c r="H55" i="7"/>
  <c r="F55" i="7" s="1"/>
  <c r="O55" i="7"/>
  <c r="J55" i="7" s="1"/>
  <c r="G55" i="2"/>
  <c r="L55" i="2"/>
  <c r="H55" i="2"/>
  <c r="F55" i="2" s="1"/>
  <c r="O55" i="2"/>
  <c r="J55" i="2" s="1"/>
  <c r="L57" i="6"/>
  <c r="G57" i="6"/>
  <c r="O57" i="6"/>
  <c r="H57" i="6"/>
  <c r="F57" i="6" s="1"/>
  <c r="J57" i="6" l="1"/>
  <c r="N58" i="8"/>
  <c r="M58" i="8"/>
  <c r="K57" i="8"/>
  <c r="M56" i="9"/>
  <c r="N56" i="9"/>
  <c r="K55" i="9"/>
  <c r="M56" i="7"/>
  <c r="N56" i="7"/>
  <c r="K55" i="7"/>
  <c r="M56" i="2"/>
  <c r="N56" i="2"/>
  <c r="K55" i="2"/>
  <c r="N58" i="6"/>
  <c r="M58" i="6"/>
  <c r="K57" i="6" l="1"/>
  <c r="H58" i="8"/>
  <c r="F58" i="8" s="1"/>
  <c r="O58" i="8"/>
  <c r="J58" i="8" s="1"/>
  <c r="G58" i="8"/>
  <c r="L58" i="8"/>
  <c r="G56" i="9"/>
  <c r="L56" i="9"/>
  <c r="H56" i="9"/>
  <c r="F56" i="9" s="1"/>
  <c r="O56" i="9"/>
  <c r="J56" i="9" s="1"/>
  <c r="G56" i="7"/>
  <c r="L56" i="7"/>
  <c r="H56" i="7"/>
  <c r="F56" i="7" s="1"/>
  <c r="O56" i="7"/>
  <c r="J56" i="7" s="1"/>
  <c r="G56" i="2"/>
  <c r="L56" i="2"/>
  <c r="H56" i="2"/>
  <c r="F56" i="2" s="1"/>
  <c r="O56" i="2"/>
  <c r="J56" i="2" s="1"/>
  <c r="L58" i="6"/>
  <c r="G58" i="6"/>
  <c r="O58" i="6"/>
  <c r="H58" i="6"/>
  <c r="F58" i="6" s="1"/>
  <c r="J58" i="6" l="1"/>
  <c r="K58" i="8"/>
  <c r="N59" i="8"/>
  <c r="M59" i="8"/>
  <c r="M57" i="9"/>
  <c r="N57" i="9"/>
  <c r="K56" i="9"/>
  <c r="M57" i="7"/>
  <c r="N57" i="7"/>
  <c r="K56" i="7"/>
  <c r="M57" i="2"/>
  <c r="N57" i="2"/>
  <c r="K56" i="2"/>
  <c r="N59" i="6"/>
  <c r="M59" i="6"/>
  <c r="K58" i="6" l="1"/>
  <c r="H59" i="8"/>
  <c r="F59" i="8" s="1"/>
  <c r="O59" i="8"/>
  <c r="J59" i="8" s="1"/>
  <c r="G59" i="8"/>
  <c r="L59" i="8"/>
  <c r="G57" i="9"/>
  <c r="L57" i="9"/>
  <c r="H57" i="9"/>
  <c r="F57" i="9" s="1"/>
  <c r="O57" i="9"/>
  <c r="J57" i="9" s="1"/>
  <c r="G57" i="7"/>
  <c r="L57" i="7"/>
  <c r="H57" i="7"/>
  <c r="F57" i="7" s="1"/>
  <c r="O57" i="7"/>
  <c r="J57" i="7" s="1"/>
  <c r="G57" i="2"/>
  <c r="L57" i="2"/>
  <c r="H57" i="2"/>
  <c r="F57" i="2" s="1"/>
  <c r="O57" i="2"/>
  <c r="J57" i="2" s="1"/>
  <c r="L59" i="6"/>
  <c r="G59" i="6"/>
  <c r="O59" i="6"/>
  <c r="H59" i="6"/>
  <c r="F59" i="6" s="1"/>
  <c r="J59" i="6" l="1"/>
  <c r="N60" i="8"/>
  <c r="M60" i="8"/>
  <c r="K59" i="8"/>
  <c r="M58" i="9"/>
  <c r="N58" i="9"/>
  <c r="K57" i="9"/>
  <c r="M58" i="7"/>
  <c r="N58" i="7"/>
  <c r="K57" i="7"/>
  <c r="M58" i="2"/>
  <c r="N58" i="2"/>
  <c r="K57" i="2"/>
  <c r="N60" i="6"/>
  <c r="M60" i="6"/>
  <c r="K59" i="6" l="1"/>
  <c r="H60" i="8"/>
  <c r="F60" i="8" s="1"/>
  <c r="O60" i="8"/>
  <c r="J60" i="8" s="1"/>
  <c r="G60" i="8"/>
  <c r="L60" i="8"/>
  <c r="G58" i="9"/>
  <c r="L58" i="9"/>
  <c r="H58" i="9"/>
  <c r="F58" i="9" s="1"/>
  <c r="O58" i="9"/>
  <c r="J58" i="9" s="1"/>
  <c r="G58" i="7"/>
  <c r="L58" i="7"/>
  <c r="H58" i="7"/>
  <c r="F58" i="7" s="1"/>
  <c r="O58" i="7"/>
  <c r="J58" i="7" s="1"/>
  <c r="G58" i="2"/>
  <c r="L58" i="2"/>
  <c r="H58" i="2"/>
  <c r="F58" i="2" s="1"/>
  <c r="O58" i="2"/>
  <c r="J58" i="2" s="1"/>
  <c r="L60" i="6"/>
  <c r="G60" i="6"/>
  <c r="O60" i="6"/>
  <c r="H60" i="6"/>
  <c r="F60" i="6" s="1"/>
  <c r="J60" i="6" l="1"/>
  <c r="N61" i="8"/>
  <c r="M61" i="8"/>
  <c r="K60" i="8"/>
  <c r="K58" i="9"/>
  <c r="N59" i="9"/>
  <c r="M59" i="9"/>
  <c r="M59" i="7"/>
  <c r="N59" i="7"/>
  <c r="K58" i="7"/>
  <c r="M59" i="2"/>
  <c r="N59" i="2"/>
  <c r="K58" i="2"/>
  <c r="N61" i="6"/>
  <c r="M61" i="6"/>
  <c r="K60" i="6" l="1"/>
  <c r="H61" i="8"/>
  <c r="F61" i="8" s="1"/>
  <c r="O61" i="8"/>
  <c r="J61" i="8" s="1"/>
  <c r="G61" i="8"/>
  <c r="L61" i="8"/>
  <c r="H59" i="9"/>
  <c r="F59" i="9" s="1"/>
  <c r="O59" i="9"/>
  <c r="J59" i="9" s="1"/>
  <c r="G59" i="9"/>
  <c r="L59" i="9"/>
  <c r="G59" i="7"/>
  <c r="L59" i="7"/>
  <c r="H59" i="7"/>
  <c r="F59" i="7" s="1"/>
  <c r="O59" i="7"/>
  <c r="J59" i="7" s="1"/>
  <c r="G59" i="2"/>
  <c r="L59" i="2"/>
  <c r="H59" i="2"/>
  <c r="F59" i="2" s="1"/>
  <c r="O59" i="2"/>
  <c r="J59" i="2" s="1"/>
  <c r="L61" i="6"/>
  <c r="G61" i="6"/>
  <c r="O61" i="6"/>
  <c r="H61" i="6"/>
  <c r="F61" i="6" s="1"/>
  <c r="J61" i="6" l="1"/>
  <c r="K61" i="8"/>
  <c r="N62" i="8"/>
  <c r="M62" i="8"/>
  <c r="M60" i="9"/>
  <c r="N60" i="9"/>
  <c r="K59" i="9"/>
  <c r="M60" i="7"/>
  <c r="N60" i="7"/>
  <c r="K59" i="7"/>
  <c r="M60" i="2"/>
  <c r="N60" i="2"/>
  <c r="K59" i="2"/>
  <c r="N62" i="6"/>
  <c r="M62" i="6"/>
  <c r="K61" i="6" l="1"/>
  <c r="H62" i="8"/>
  <c r="F62" i="8" s="1"/>
  <c r="O62" i="8"/>
  <c r="J62" i="8" s="1"/>
  <c r="G62" i="8"/>
  <c r="L62" i="8"/>
  <c r="G60" i="9"/>
  <c r="L60" i="9"/>
  <c r="H60" i="9"/>
  <c r="F60" i="9" s="1"/>
  <c r="O60" i="9"/>
  <c r="J60" i="9" s="1"/>
  <c r="G60" i="7"/>
  <c r="L60" i="7"/>
  <c r="H60" i="7"/>
  <c r="F60" i="7" s="1"/>
  <c r="O60" i="7"/>
  <c r="J60" i="7" s="1"/>
  <c r="G60" i="2"/>
  <c r="L60" i="2"/>
  <c r="H60" i="2"/>
  <c r="F60" i="2" s="1"/>
  <c r="O60" i="2"/>
  <c r="J60" i="2" s="1"/>
  <c r="L62" i="6"/>
  <c r="G62" i="6"/>
  <c r="O62" i="6"/>
  <c r="H62" i="6"/>
  <c r="F62" i="6" s="1"/>
  <c r="J62" i="6" l="1"/>
  <c r="M63" i="8"/>
  <c r="N63" i="8"/>
  <c r="K62" i="8"/>
  <c r="M61" i="9"/>
  <c r="N61" i="9"/>
  <c r="K60" i="9"/>
  <c r="M61" i="7"/>
  <c r="N61" i="7"/>
  <c r="K60" i="7"/>
  <c r="M61" i="2"/>
  <c r="N61" i="2"/>
  <c r="K60" i="2"/>
  <c r="N63" i="6"/>
  <c r="M63" i="6"/>
  <c r="K62" i="6" l="1"/>
  <c r="G63" i="8"/>
  <c r="L63" i="8"/>
  <c r="H63" i="8"/>
  <c r="F63" i="8" s="1"/>
  <c r="O63" i="8"/>
  <c r="J63" i="8" s="1"/>
  <c r="G61" i="9"/>
  <c r="L61" i="9"/>
  <c r="H61" i="9"/>
  <c r="F61" i="9" s="1"/>
  <c r="O61" i="9"/>
  <c r="J61" i="9" s="1"/>
  <c r="G61" i="7"/>
  <c r="L61" i="7"/>
  <c r="H61" i="7"/>
  <c r="F61" i="7" s="1"/>
  <c r="O61" i="7"/>
  <c r="J61" i="7" s="1"/>
  <c r="G61" i="2"/>
  <c r="L61" i="2"/>
  <c r="H61" i="2"/>
  <c r="F61" i="2" s="1"/>
  <c r="O61" i="2"/>
  <c r="J61" i="2" s="1"/>
  <c r="L63" i="6"/>
  <c r="G63" i="6"/>
  <c r="O63" i="6"/>
  <c r="H63" i="6"/>
  <c r="F63" i="6" s="1"/>
  <c r="J63" i="6" l="1"/>
  <c r="N64" i="6" s="1"/>
  <c r="N64" i="8"/>
  <c r="M64" i="8"/>
  <c r="K63" i="8"/>
  <c r="K61" i="9"/>
  <c r="N62" i="9"/>
  <c r="M62" i="9"/>
  <c r="M62" i="7"/>
  <c r="N62" i="7"/>
  <c r="K61" i="7"/>
  <c r="M62" i="2"/>
  <c r="N62" i="2"/>
  <c r="K61" i="2"/>
  <c r="M64" i="6"/>
  <c r="K63" i="6" l="1"/>
  <c r="H64" i="8"/>
  <c r="F64" i="8" s="1"/>
  <c r="O64" i="8"/>
  <c r="J64" i="8" s="1"/>
  <c r="G64" i="8"/>
  <c r="L64" i="8"/>
  <c r="H62" i="9"/>
  <c r="F62" i="9" s="1"/>
  <c r="O62" i="9"/>
  <c r="J62" i="9" s="1"/>
  <c r="G62" i="9"/>
  <c r="L62" i="9"/>
  <c r="G62" i="7"/>
  <c r="L62" i="7"/>
  <c r="H62" i="7"/>
  <c r="F62" i="7" s="1"/>
  <c r="O62" i="7"/>
  <c r="J62" i="7" s="1"/>
  <c r="G62" i="2"/>
  <c r="L62" i="2"/>
  <c r="H62" i="2"/>
  <c r="F62" i="2" s="1"/>
  <c r="O62" i="2"/>
  <c r="J62" i="2" s="1"/>
  <c r="L64" i="6"/>
  <c r="G64" i="6"/>
  <c r="O64" i="6"/>
  <c r="H64" i="6"/>
  <c r="F64" i="6" s="1"/>
  <c r="J64" i="6" l="1"/>
  <c r="K64" i="8"/>
  <c r="N65" i="8"/>
  <c r="M65" i="8"/>
  <c r="M63" i="9"/>
  <c r="N63" i="9"/>
  <c r="K62" i="9"/>
  <c r="M63" i="7"/>
  <c r="N63" i="7"/>
  <c r="K62" i="7"/>
  <c r="M63" i="2"/>
  <c r="N63" i="2"/>
  <c r="K62" i="2"/>
  <c r="N65" i="6"/>
  <c r="M65" i="6"/>
  <c r="K64" i="6" l="1"/>
  <c r="H65" i="8"/>
  <c r="F65" i="8" s="1"/>
  <c r="O65" i="8"/>
  <c r="J65" i="8" s="1"/>
  <c r="G65" i="8"/>
  <c r="L65" i="8"/>
  <c r="G63" i="9"/>
  <c r="L63" i="9"/>
  <c r="H63" i="9"/>
  <c r="F63" i="9" s="1"/>
  <c r="O63" i="9"/>
  <c r="J63" i="9" s="1"/>
  <c r="G63" i="7"/>
  <c r="L63" i="7"/>
  <c r="H63" i="7"/>
  <c r="F63" i="7" s="1"/>
  <c r="O63" i="7"/>
  <c r="J63" i="7" s="1"/>
  <c r="G63" i="2"/>
  <c r="L63" i="2"/>
  <c r="H63" i="2"/>
  <c r="F63" i="2" s="1"/>
  <c r="O63" i="2"/>
  <c r="J63" i="2" s="1"/>
  <c r="L65" i="6"/>
  <c r="G65" i="6"/>
  <c r="O65" i="6"/>
  <c r="H65" i="6"/>
  <c r="F65" i="6" s="1"/>
  <c r="J65" i="6" l="1"/>
  <c r="N66" i="8"/>
  <c r="M66" i="8"/>
  <c r="K65" i="8"/>
  <c r="M64" i="9"/>
  <c r="N64" i="9"/>
  <c r="K63" i="9"/>
  <c r="M64" i="7"/>
  <c r="N64" i="7"/>
  <c r="K63" i="7"/>
  <c r="M64" i="2"/>
  <c r="N64" i="2"/>
  <c r="K63" i="2"/>
  <c r="N66" i="6"/>
  <c r="M66" i="6"/>
  <c r="K65" i="6" l="1"/>
  <c r="H66" i="8"/>
  <c r="F66" i="8" s="1"/>
  <c r="O66" i="8"/>
  <c r="J66" i="8" s="1"/>
  <c r="G66" i="8"/>
  <c r="L66" i="8"/>
  <c r="G64" i="9"/>
  <c r="L64" i="9"/>
  <c r="H64" i="9"/>
  <c r="F64" i="9" s="1"/>
  <c r="O64" i="9"/>
  <c r="J64" i="9" s="1"/>
  <c r="G64" i="7"/>
  <c r="L64" i="7"/>
  <c r="H64" i="7"/>
  <c r="F64" i="7" s="1"/>
  <c r="O64" i="7"/>
  <c r="J64" i="7" s="1"/>
  <c r="G64" i="2"/>
  <c r="L64" i="2"/>
  <c r="H64" i="2"/>
  <c r="F64" i="2" s="1"/>
  <c r="O64" i="2"/>
  <c r="J64" i="2" s="1"/>
  <c r="L66" i="6"/>
  <c r="G66" i="6"/>
  <c r="O66" i="6"/>
  <c r="H66" i="6"/>
  <c r="F66" i="6" s="1"/>
  <c r="J66" i="6" l="1"/>
  <c r="N67" i="8"/>
  <c r="M67" i="8"/>
  <c r="K66" i="8"/>
  <c r="K64" i="9"/>
  <c r="N65" i="9"/>
  <c r="M65" i="9"/>
  <c r="M65" i="7"/>
  <c r="N65" i="7"/>
  <c r="K64" i="7"/>
  <c r="K64" i="2"/>
  <c r="N65" i="2"/>
  <c r="M65" i="2"/>
  <c r="N67" i="6"/>
  <c r="M67" i="6"/>
  <c r="K66" i="6" l="1"/>
  <c r="H67" i="8"/>
  <c r="F67" i="8" s="1"/>
  <c r="O67" i="8"/>
  <c r="J67" i="8" s="1"/>
  <c r="G67" i="8"/>
  <c r="L67" i="8"/>
  <c r="H65" i="9"/>
  <c r="F65" i="9" s="1"/>
  <c r="O65" i="9"/>
  <c r="J65" i="9" s="1"/>
  <c r="G65" i="9"/>
  <c r="L65" i="9"/>
  <c r="G65" i="7"/>
  <c r="L65" i="7"/>
  <c r="H65" i="7"/>
  <c r="F65" i="7" s="1"/>
  <c r="O65" i="7"/>
  <c r="J65" i="7" s="1"/>
  <c r="H65" i="2"/>
  <c r="F65" i="2" s="1"/>
  <c r="O65" i="2"/>
  <c r="J65" i="2" s="1"/>
  <c r="G65" i="2"/>
  <c r="L65" i="2"/>
  <c r="L67" i="6"/>
  <c r="G67" i="6"/>
  <c r="O67" i="6"/>
  <c r="H67" i="6"/>
  <c r="F67" i="6" s="1"/>
  <c r="J67" i="6" l="1"/>
  <c r="K67" i="8"/>
  <c r="M68" i="8"/>
  <c r="N68" i="8"/>
  <c r="M66" i="9"/>
  <c r="N66" i="9"/>
  <c r="K65" i="9"/>
  <c r="M66" i="7"/>
  <c r="N66" i="7"/>
  <c r="K65" i="7"/>
  <c r="M66" i="2"/>
  <c r="N66" i="2"/>
  <c r="K65" i="2"/>
  <c r="M68" i="6"/>
  <c r="N68" i="6" l="1"/>
  <c r="K67" i="6"/>
  <c r="G68" i="8"/>
  <c r="L68" i="8"/>
  <c r="H68" i="8"/>
  <c r="F68" i="8" s="1"/>
  <c r="O68" i="8"/>
  <c r="J68" i="8" s="1"/>
  <c r="G66" i="9"/>
  <c r="L66" i="9"/>
  <c r="H66" i="9"/>
  <c r="F66" i="9" s="1"/>
  <c r="O66" i="9"/>
  <c r="J66" i="9" s="1"/>
  <c r="G66" i="7"/>
  <c r="L66" i="7"/>
  <c r="H66" i="7"/>
  <c r="F66" i="7" s="1"/>
  <c r="O66" i="7"/>
  <c r="J66" i="7" s="1"/>
  <c r="G66" i="2"/>
  <c r="L66" i="2"/>
  <c r="H66" i="2"/>
  <c r="F66" i="2" s="1"/>
  <c r="O66" i="2"/>
  <c r="J66" i="2" s="1"/>
  <c r="L68" i="6"/>
  <c r="G68" i="6"/>
  <c r="O68" i="6"/>
  <c r="H68" i="6"/>
  <c r="F68" i="6" s="1"/>
  <c r="J68" i="6" l="1"/>
  <c r="M69" i="6" s="1"/>
  <c r="N69" i="8"/>
  <c r="M69" i="8"/>
  <c r="K68" i="8"/>
  <c r="M67" i="9"/>
  <c r="N67" i="9"/>
  <c r="K66" i="9"/>
  <c r="M67" i="7"/>
  <c r="N67" i="7"/>
  <c r="K66" i="7"/>
  <c r="M67" i="2"/>
  <c r="N67" i="2"/>
  <c r="K66" i="2"/>
  <c r="N69" i="6" l="1"/>
  <c r="K68" i="6"/>
  <c r="H69" i="8"/>
  <c r="F69" i="8" s="1"/>
  <c r="O69" i="8"/>
  <c r="J69" i="8" s="1"/>
  <c r="G69" i="8"/>
  <c r="L69" i="8"/>
  <c r="G67" i="9"/>
  <c r="L67" i="9"/>
  <c r="H67" i="9"/>
  <c r="F67" i="9" s="1"/>
  <c r="O67" i="9"/>
  <c r="J67" i="9" s="1"/>
  <c r="G67" i="7"/>
  <c r="L67" i="7"/>
  <c r="H67" i="7"/>
  <c r="F67" i="7" s="1"/>
  <c r="O67" i="7"/>
  <c r="J67" i="7" s="1"/>
  <c r="G67" i="2"/>
  <c r="L67" i="2"/>
  <c r="H67" i="2"/>
  <c r="F67" i="2" s="1"/>
  <c r="O67" i="2"/>
  <c r="J67" i="2" s="1"/>
  <c r="L69" i="6"/>
  <c r="G69" i="6"/>
  <c r="O69" i="6"/>
  <c r="H69" i="6"/>
  <c r="F69" i="6" s="1"/>
  <c r="J69" i="6" l="1"/>
  <c r="N70" i="8"/>
  <c r="M70" i="8"/>
  <c r="K69" i="8"/>
  <c r="K67" i="9"/>
  <c r="N68" i="9"/>
  <c r="M68" i="9"/>
  <c r="M68" i="7"/>
  <c r="N68" i="7"/>
  <c r="K67" i="7"/>
  <c r="M68" i="2"/>
  <c r="N68" i="2"/>
  <c r="K67" i="2"/>
  <c r="N70" i="6"/>
  <c r="M70" i="6"/>
  <c r="K69" i="6" l="1"/>
  <c r="H70" i="8"/>
  <c r="F70" i="8" s="1"/>
  <c r="O70" i="8"/>
  <c r="J70" i="8" s="1"/>
  <c r="G70" i="8"/>
  <c r="L70" i="8"/>
  <c r="H68" i="9"/>
  <c r="F68" i="9" s="1"/>
  <c r="O68" i="9"/>
  <c r="J68" i="9" s="1"/>
  <c r="G68" i="9"/>
  <c r="L68" i="9"/>
  <c r="G68" i="7"/>
  <c r="L68" i="7"/>
  <c r="H68" i="7"/>
  <c r="F68" i="7" s="1"/>
  <c r="O68" i="7"/>
  <c r="J68" i="7" s="1"/>
  <c r="G68" i="2"/>
  <c r="L68" i="2"/>
  <c r="H68" i="2"/>
  <c r="F68" i="2" s="1"/>
  <c r="O68" i="2"/>
  <c r="J68" i="2" s="1"/>
  <c r="L70" i="6"/>
  <c r="G70" i="6"/>
  <c r="O70" i="6"/>
  <c r="H70" i="6"/>
  <c r="F70" i="6" s="1"/>
  <c r="J70" i="6" l="1"/>
  <c r="M71" i="8"/>
  <c r="N71" i="8"/>
  <c r="K70" i="8"/>
  <c r="M69" i="9"/>
  <c r="N69" i="9"/>
  <c r="K68" i="9"/>
  <c r="M69" i="7"/>
  <c r="N69" i="7"/>
  <c r="K68" i="7"/>
  <c r="M69" i="2"/>
  <c r="N69" i="2"/>
  <c r="K68" i="2"/>
  <c r="N71" i="6"/>
  <c r="M71" i="6"/>
  <c r="K70" i="6" l="1"/>
  <c r="G71" i="8"/>
  <c r="L71" i="8"/>
  <c r="H71" i="8"/>
  <c r="F71" i="8" s="1"/>
  <c r="O71" i="8"/>
  <c r="J71" i="8" s="1"/>
  <c r="G69" i="9"/>
  <c r="L69" i="9"/>
  <c r="H69" i="9"/>
  <c r="F69" i="9" s="1"/>
  <c r="O69" i="9"/>
  <c r="J69" i="9" s="1"/>
  <c r="G69" i="7"/>
  <c r="L69" i="7"/>
  <c r="H69" i="7"/>
  <c r="F69" i="7" s="1"/>
  <c r="O69" i="7"/>
  <c r="J69" i="7" s="1"/>
  <c r="G69" i="2"/>
  <c r="L69" i="2"/>
  <c r="H69" i="2"/>
  <c r="F69" i="2" s="1"/>
  <c r="O69" i="2"/>
  <c r="J69" i="2" s="1"/>
  <c r="L71" i="6"/>
  <c r="G71" i="6"/>
  <c r="O71" i="6"/>
  <c r="H71" i="6"/>
  <c r="F71" i="6" s="1"/>
  <c r="J71" i="6" l="1"/>
  <c r="N72" i="8"/>
  <c r="M72" i="8"/>
  <c r="K71" i="8"/>
  <c r="M70" i="9"/>
  <c r="N70" i="9"/>
  <c r="K69" i="9"/>
  <c r="M70" i="7"/>
  <c r="N70" i="7"/>
  <c r="K69" i="7"/>
  <c r="M70" i="2"/>
  <c r="N70" i="2"/>
  <c r="K69" i="2"/>
  <c r="N72" i="6"/>
  <c r="M72" i="6"/>
  <c r="K71" i="6" l="1"/>
  <c r="H72" i="8"/>
  <c r="F72" i="8" s="1"/>
  <c r="O72" i="8"/>
  <c r="J72" i="8" s="1"/>
  <c r="G72" i="8"/>
  <c r="L72" i="8"/>
  <c r="G70" i="9"/>
  <c r="L70" i="9"/>
  <c r="H70" i="9"/>
  <c r="F70" i="9" s="1"/>
  <c r="O70" i="9"/>
  <c r="J70" i="9" s="1"/>
  <c r="G70" i="7"/>
  <c r="L70" i="7"/>
  <c r="H70" i="7"/>
  <c r="F70" i="7" s="1"/>
  <c r="O70" i="7"/>
  <c r="J70" i="7" s="1"/>
  <c r="G70" i="2"/>
  <c r="L70" i="2"/>
  <c r="H70" i="2"/>
  <c r="F70" i="2" s="1"/>
  <c r="O70" i="2"/>
  <c r="J70" i="2" s="1"/>
  <c r="L72" i="6"/>
  <c r="G72" i="6"/>
  <c r="O72" i="6"/>
  <c r="H72" i="6"/>
  <c r="F72" i="6" s="1"/>
  <c r="J72" i="6" l="1"/>
  <c r="N73" i="8"/>
  <c r="M73" i="8"/>
  <c r="K72" i="8"/>
  <c r="K70" i="9"/>
  <c r="N71" i="9"/>
  <c r="M71" i="9"/>
  <c r="M71" i="7"/>
  <c r="N71" i="7"/>
  <c r="K70" i="7"/>
  <c r="M71" i="2"/>
  <c r="N71" i="2"/>
  <c r="K70" i="2"/>
  <c r="N73" i="6"/>
  <c r="M73" i="6"/>
  <c r="K72" i="6" l="1"/>
  <c r="H73" i="8"/>
  <c r="F73" i="8" s="1"/>
  <c r="O73" i="8"/>
  <c r="J73" i="8" s="1"/>
  <c r="G73" i="8"/>
  <c r="L73" i="8"/>
  <c r="H71" i="9"/>
  <c r="F71" i="9" s="1"/>
  <c r="O71" i="9"/>
  <c r="J71" i="9" s="1"/>
  <c r="G71" i="9"/>
  <c r="L71" i="9"/>
  <c r="G71" i="7"/>
  <c r="L71" i="7"/>
  <c r="H71" i="7"/>
  <c r="F71" i="7" s="1"/>
  <c r="O71" i="7"/>
  <c r="J71" i="7" s="1"/>
  <c r="G71" i="2"/>
  <c r="L71" i="2"/>
  <c r="H71" i="2"/>
  <c r="F71" i="2" s="1"/>
  <c r="O71" i="2"/>
  <c r="J71" i="2" s="1"/>
  <c r="L73" i="6"/>
  <c r="G73" i="6"/>
  <c r="O73" i="6"/>
  <c r="J73" i="6" s="1"/>
  <c r="H73" i="6"/>
  <c r="F73" i="6" s="1"/>
  <c r="K73" i="6" l="1"/>
  <c r="K73" i="8"/>
  <c r="M74" i="8"/>
  <c r="N74" i="8"/>
  <c r="M72" i="9"/>
  <c r="N72" i="9"/>
  <c r="K71" i="9"/>
  <c r="M72" i="7"/>
  <c r="N72" i="7"/>
  <c r="K71" i="7"/>
  <c r="M72" i="2"/>
  <c r="N72" i="2"/>
  <c r="K71" i="2"/>
  <c r="N74" i="6"/>
  <c r="M74" i="6"/>
  <c r="G74" i="8" l="1"/>
  <c r="L74" i="8"/>
  <c r="H74" i="8"/>
  <c r="F74" i="8" s="1"/>
  <c r="O74" i="8"/>
  <c r="J74" i="8" s="1"/>
  <c r="G72" i="9"/>
  <c r="L72" i="9"/>
  <c r="H72" i="9"/>
  <c r="F72" i="9" s="1"/>
  <c r="O72" i="9"/>
  <c r="J72" i="9" s="1"/>
  <c r="G72" i="7"/>
  <c r="L72" i="7"/>
  <c r="H72" i="7"/>
  <c r="F72" i="7" s="1"/>
  <c r="O72" i="7"/>
  <c r="J72" i="7" s="1"/>
  <c r="G72" i="2"/>
  <c r="L72" i="2"/>
  <c r="H72" i="2"/>
  <c r="F72" i="2" s="1"/>
  <c r="O72" i="2"/>
  <c r="J72" i="2" s="1"/>
  <c r="L74" i="6"/>
  <c r="G74" i="6"/>
  <c r="O74" i="6"/>
  <c r="H74" i="6"/>
  <c r="F74" i="6" s="1"/>
  <c r="J74" i="6" l="1"/>
  <c r="N75" i="8"/>
  <c r="M75" i="8"/>
  <c r="K74" i="8"/>
  <c r="M73" i="9"/>
  <c r="N73" i="9"/>
  <c r="K72" i="9"/>
  <c r="M73" i="7"/>
  <c r="N73" i="7"/>
  <c r="K72" i="7"/>
  <c r="M73" i="2"/>
  <c r="N73" i="2"/>
  <c r="K72" i="2"/>
  <c r="N75" i="6"/>
  <c r="M75" i="6"/>
  <c r="K74" i="6" l="1"/>
  <c r="H75" i="8"/>
  <c r="F75" i="8" s="1"/>
  <c r="O75" i="8"/>
  <c r="J75" i="8" s="1"/>
  <c r="G75" i="8"/>
  <c r="L75" i="8"/>
  <c r="G73" i="9"/>
  <c r="L73" i="9"/>
  <c r="H73" i="9"/>
  <c r="F73" i="9" s="1"/>
  <c r="O73" i="9"/>
  <c r="J73" i="9" s="1"/>
  <c r="G73" i="7"/>
  <c r="L73" i="7"/>
  <c r="H73" i="7"/>
  <c r="F73" i="7" s="1"/>
  <c r="O73" i="7"/>
  <c r="J73" i="7" s="1"/>
  <c r="G73" i="2"/>
  <c r="L73" i="2"/>
  <c r="H73" i="2"/>
  <c r="F73" i="2" s="1"/>
  <c r="O73" i="2"/>
  <c r="J73" i="2" s="1"/>
  <c r="L75" i="6"/>
  <c r="G75" i="6"/>
  <c r="O75" i="6"/>
  <c r="H75" i="6"/>
  <c r="F75" i="6" s="1"/>
  <c r="J75" i="6" l="1"/>
  <c r="M76" i="8"/>
  <c r="N76" i="8"/>
  <c r="K75" i="8"/>
  <c r="M74" i="9"/>
  <c r="N74" i="9"/>
  <c r="K73" i="9"/>
  <c r="M74" i="7"/>
  <c r="N74" i="7"/>
  <c r="K73" i="7"/>
  <c r="M74" i="2"/>
  <c r="N74" i="2"/>
  <c r="K73" i="2"/>
  <c r="N76" i="6"/>
  <c r="M76" i="6"/>
  <c r="J74" i="2" l="1"/>
  <c r="K75" i="6"/>
  <c r="G76" i="8"/>
  <c r="L76" i="8"/>
  <c r="H76" i="8"/>
  <c r="F76" i="8" s="1"/>
  <c r="O76" i="8"/>
  <c r="J76" i="8" s="1"/>
  <c r="G74" i="9"/>
  <c r="L74" i="9"/>
  <c r="H74" i="9"/>
  <c r="F74" i="9" s="1"/>
  <c r="O74" i="9"/>
  <c r="J74" i="9" s="1"/>
  <c r="G74" i="7"/>
  <c r="L74" i="7"/>
  <c r="H74" i="7"/>
  <c r="F74" i="7" s="1"/>
  <c r="O74" i="7"/>
  <c r="J74" i="7" s="1"/>
  <c r="G74" i="2"/>
  <c r="L74" i="2"/>
  <c r="H74" i="2"/>
  <c r="F74" i="2" s="1"/>
  <c r="O74" i="2"/>
  <c r="L76" i="6"/>
  <c r="G76" i="6"/>
  <c r="O76" i="6"/>
  <c r="H76" i="6"/>
  <c r="F76" i="6" s="1"/>
  <c r="J76" i="6" l="1"/>
  <c r="N77" i="6" s="1"/>
  <c r="N77" i="8"/>
  <c r="M77" i="8"/>
  <c r="K76" i="8"/>
  <c r="M75" i="9"/>
  <c r="N75" i="9"/>
  <c r="K74" i="9"/>
  <c r="M75" i="7"/>
  <c r="N75" i="7"/>
  <c r="K74" i="7"/>
  <c r="M75" i="2"/>
  <c r="N75" i="2"/>
  <c r="K74" i="2"/>
  <c r="M77" i="6"/>
  <c r="K76" i="6" l="1"/>
  <c r="H77" i="8"/>
  <c r="F77" i="8" s="1"/>
  <c r="O77" i="8"/>
  <c r="J77" i="8" s="1"/>
  <c r="G77" i="8"/>
  <c r="L77" i="8"/>
  <c r="G75" i="9"/>
  <c r="L75" i="9"/>
  <c r="H75" i="9"/>
  <c r="F75" i="9" s="1"/>
  <c r="O75" i="9"/>
  <c r="J75" i="9" s="1"/>
  <c r="G75" i="7"/>
  <c r="L75" i="7"/>
  <c r="H75" i="7"/>
  <c r="F75" i="7" s="1"/>
  <c r="O75" i="7"/>
  <c r="J75" i="7" s="1"/>
  <c r="G75" i="2"/>
  <c r="L75" i="2"/>
  <c r="H75" i="2"/>
  <c r="F75" i="2" s="1"/>
  <c r="O75" i="2"/>
  <c r="J75" i="2" s="1"/>
  <c r="L77" i="6"/>
  <c r="G77" i="6"/>
  <c r="O77" i="6"/>
  <c r="H77" i="6"/>
  <c r="F77" i="6" s="1"/>
  <c r="J77" i="6" l="1"/>
  <c r="M78" i="8"/>
  <c r="N78" i="8"/>
  <c r="K77" i="8"/>
  <c r="M76" i="9"/>
  <c r="N76" i="9"/>
  <c r="K75" i="9"/>
  <c r="M76" i="7"/>
  <c r="N76" i="7"/>
  <c r="K75" i="7"/>
  <c r="M76" i="2"/>
  <c r="N76" i="2"/>
  <c r="K75" i="2"/>
  <c r="N78" i="6"/>
  <c r="M78" i="6"/>
  <c r="K77" i="6" l="1"/>
  <c r="G78" i="8"/>
  <c r="L78" i="8"/>
  <c r="H78" i="8"/>
  <c r="F78" i="8" s="1"/>
  <c r="O78" i="8"/>
  <c r="J78" i="8" s="1"/>
  <c r="G76" i="9"/>
  <c r="L76" i="9"/>
  <c r="H76" i="9"/>
  <c r="F76" i="9" s="1"/>
  <c r="O76" i="9"/>
  <c r="J76" i="9" s="1"/>
  <c r="G76" i="7"/>
  <c r="L76" i="7"/>
  <c r="H76" i="7"/>
  <c r="F76" i="7" s="1"/>
  <c r="O76" i="7"/>
  <c r="J76" i="7" s="1"/>
  <c r="G76" i="2"/>
  <c r="L76" i="2"/>
  <c r="H76" i="2"/>
  <c r="F76" i="2" s="1"/>
  <c r="O76" i="2"/>
  <c r="J76" i="2" s="1"/>
  <c r="L78" i="6"/>
  <c r="G78" i="6"/>
  <c r="O78" i="6"/>
  <c r="H78" i="6"/>
  <c r="F78" i="6" s="1"/>
  <c r="J78" i="6" l="1"/>
  <c r="M79" i="8"/>
  <c r="N79" i="8"/>
  <c r="K78" i="8"/>
  <c r="K76" i="9"/>
  <c r="N77" i="9"/>
  <c r="M77" i="9"/>
  <c r="M77" i="7"/>
  <c r="N77" i="7"/>
  <c r="K76" i="7"/>
  <c r="M77" i="2"/>
  <c r="N77" i="2"/>
  <c r="K76" i="2"/>
  <c r="N79" i="6"/>
  <c r="M79" i="6"/>
  <c r="K78" i="6" l="1"/>
  <c r="G79" i="8"/>
  <c r="L79" i="8"/>
  <c r="H79" i="8"/>
  <c r="F79" i="8" s="1"/>
  <c r="O79" i="8"/>
  <c r="J79" i="8" s="1"/>
  <c r="H77" i="9"/>
  <c r="F77" i="9" s="1"/>
  <c r="O77" i="9"/>
  <c r="J77" i="9" s="1"/>
  <c r="G77" i="9"/>
  <c r="L77" i="9"/>
  <c r="G77" i="7"/>
  <c r="L77" i="7"/>
  <c r="H77" i="7"/>
  <c r="F77" i="7" s="1"/>
  <c r="O77" i="7"/>
  <c r="J77" i="7" s="1"/>
  <c r="G77" i="2"/>
  <c r="L77" i="2"/>
  <c r="H77" i="2"/>
  <c r="F77" i="2" s="1"/>
  <c r="O77" i="2"/>
  <c r="J77" i="2" s="1"/>
  <c r="L79" i="6"/>
  <c r="G79" i="6"/>
  <c r="O79" i="6"/>
  <c r="H79" i="6"/>
  <c r="F79" i="6" s="1"/>
  <c r="J79" i="6" l="1"/>
  <c r="N80" i="6" s="1"/>
  <c r="M80" i="8"/>
  <c r="N80" i="8"/>
  <c r="K79" i="8"/>
  <c r="M78" i="9"/>
  <c r="N78" i="9"/>
  <c r="K77" i="9"/>
  <c r="M78" i="7"/>
  <c r="N78" i="7"/>
  <c r="K77" i="7"/>
  <c r="M78" i="2"/>
  <c r="N78" i="2"/>
  <c r="K77" i="2"/>
  <c r="M80" i="6"/>
  <c r="K79" i="6" l="1"/>
  <c r="G80" i="8"/>
  <c r="L80" i="8"/>
  <c r="H80" i="8"/>
  <c r="F80" i="8" s="1"/>
  <c r="O80" i="8"/>
  <c r="J80" i="8" s="1"/>
  <c r="G78" i="9"/>
  <c r="L78" i="9"/>
  <c r="H78" i="9"/>
  <c r="F78" i="9" s="1"/>
  <c r="O78" i="9"/>
  <c r="J78" i="9" s="1"/>
  <c r="G78" i="7"/>
  <c r="L78" i="7"/>
  <c r="H78" i="7"/>
  <c r="F78" i="7" s="1"/>
  <c r="O78" i="7"/>
  <c r="J78" i="7" s="1"/>
  <c r="G78" i="2"/>
  <c r="L78" i="2"/>
  <c r="H78" i="2"/>
  <c r="F78" i="2" s="1"/>
  <c r="O78" i="2"/>
  <c r="J78" i="2" s="1"/>
  <c r="L80" i="6"/>
  <c r="G80" i="6"/>
  <c r="O80" i="6"/>
  <c r="H80" i="6"/>
  <c r="F80" i="6" s="1"/>
  <c r="J80" i="6" l="1"/>
  <c r="N81" i="6" s="1"/>
  <c r="M81" i="8"/>
  <c r="N81" i="8"/>
  <c r="K80" i="8"/>
  <c r="M79" i="9"/>
  <c r="N79" i="9"/>
  <c r="K78" i="9"/>
  <c r="M79" i="7"/>
  <c r="N79" i="7"/>
  <c r="K78" i="7"/>
  <c r="M79" i="2"/>
  <c r="N79" i="2"/>
  <c r="K78" i="2"/>
  <c r="M81" i="6"/>
  <c r="K80" i="6" l="1"/>
  <c r="G81" i="8"/>
  <c r="L81" i="8"/>
  <c r="H81" i="8"/>
  <c r="F81" i="8" s="1"/>
  <c r="O81" i="8"/>
  <c r="J81" i="8" s="1"/>
  <c r="G79" i="9"/>
  <c r="L79" i="9"/>
  <c r="H79" i="9"/>
  <c r="F79" i="9" s="1"/>
  <c r="O79" i="9"/>
  <c r="J79" i="9" s="1"/>
  <c r="G79" i="7"/>
  <c r="L79" i="7"/>
  <c r="H79" i="7"/>
  <c r="F79" i="7" s="1"/>
  <c r="O79" i="7"/>
  <c r="J79" i="7" s="1"/>
  <c r="G79" i="2"/>
  <c r="L79" i="2"/>
  <c r="H79" i="2"/>
  <c r="F79" i="2" s="1"/>
  <c r="O79" i="2"/>
  <c r="J79" i="2" s="1"/>
  <c r="L81" i="6"/>
  <c r="G81" i="6"/>
  <c r="O81" i="6"/>
  <c r="H81" i="6"/>
  <c r="F81" i="6" s="1"/>
  <c r="J81" i="6" l="1"/>
  <c r="N82" i="8"/>
  <c r="M82" i="8"/>
  <c r="K81" i="8"/>
  <c r="K79" i="9"/>
  <c r="N80" i="9"/>
  <c r="M80" i="9"/>
  <c r="M80" i="7"/>
  <c r="N80" i="7"/>
  <c r="K79" i="7"/>
  <c r="M80" i="2"/>
  <c r="N80" i="2"/>
  <c r="K79" i="2"/>
  <c r="N82" i="6"/>
  <c r="M82" i="6"/>
  <c r="K81" i="6" l="1"/>
  <c r="H82" i="8"/>
  <c r="F82" i="8" s="1"/>
  <c r="O82" i="8"/>
  <c r="J82" i="8" s="1"/>
  <c r="G82" i="8"/>
  <c r="L82" i="8"/>
  <c r="H80" i="9"/>
  <c r="F80" i="9" s="1"/>
  <c r="O80" i="9"/>
  <c r="J80" i="9" s="1"/>
  <c r="G80" i="9"/>
  <c r="L80" i="9"/>
  <c r="G80" i="7"/>
  <c r="L80" i="7"/>
  <c r="H80" i="7"/>
  <c r="F80" i="7" s="1"/>
  <c r="O80" i="7"/>
  <c r="J80" i="7" s="1"/>
  <c r="G80" i="2"/>
  <c r="L80" i="2"/>
  <c r="H80" i="2"/>
  <c r="F80" i="2" s="1"/>
  <c r="O80" i="2"/>
  <c r="J80" i="2" s="1"/>
  <c r="L82" i="6"/>
  <c r="G82" i="6"/>
  <c r="O82" i="6"/>
  <c r="H82" i="6"/>
  <c r="F82" i="6" s="1"/>
  <c r="J82" i="6" l="1"/>
  <c r="M83" i="8"/>
  <c r="N83" i="8"/>
  <c r="K82" i="8"/>
  <c r="M81" i="9"/>
  <c r="N81" i="9"/>
  <c r="K80" i="9"/>
  <c r="M81" i="7"/>
  <c r="N81" i="7"/>
  <c r="K80" i="7"/>
  <c r="M81" i="2"/>
  <c r="N81" i="2"/>
  <c r="K80" i="2"/>
  <c r="N83" i="6"/>
  <c r="M83" i="6"/>
  <c r="K82" i="6" l="1"/>
  <c r="G83" i="8"/>
  <c r="L83" i="8"/>
  <c r="H83" i="8"/>
  <c r="F83" i="8" s="1"/>
  <c r="O83" i="8"/>
  <c r="J83" i="8" s="1"/>
  <c r="G81" i="9"/>
  <c r="L81" i="9"/>
  <c r="H81" i="9"/>
  <c r="F81" i="9" s="1"/>
  <c r="O81" i="9"/>
  <c r="J81" i="9" s="1"/>
  <c r="G81" i="7"/>
  <c r="L81" i="7"/>
  <c r="H81" i="7"/>
  <c r="F81" i="7" s="1"/>
  <c r="O81" i="7"/>
  <c r="J81" i="7" s="1"/>
  <c r="G81" i="2"/>
  <c r="L81" i="2"/>
  <c r="H81" i="2"/>
  <c r="F81" i="2" s="1"/>
  <c r="O81" i="2"/>
  <c r="J81" i="2" s="1"/>
  <c r="L83" i="6"/>
  <c r="G83" i="6"/>
  <c r="O83" i="6"/>
  <c r="H83" i="6"/>
  <c r="F83" i="6" s="1"/>
  <c r="J83" i="6" l="1"/>
  <c r="M84" i="8"/>
  <c r="N84" i="8"/>
  <c r="K83" i="8"/>
  <c r="M82" i="9"/>
  <c r="N82" i="9"/>
  <c r="K81" i="9"/>
  <c r="M82" i="7"/>
  <c r="N82" i="7"/>
  <c r="K81" i="7"/>
  <c r="M82" i="2"/>
  <c r="N82" i="2"/>
  <c r="K81" i="2"/>
  <c r="N84" i="6"/>
  <c r="M84" i="6"/>
  <c r="K83" i="6" l="1"/>
  <c r="G84" i="8"/>
  <c r="L84" i="8"/>
  <c r="H84" i="8"/>
  <c r="F84" i="8" s="1"/>
  <c r="O84" i="8"/>
  <c r="J84" i="8" s="1"/>
  <c r="G82" i="9"/>
  <c r="L82" i="9"/>
  <c r="H82" i="9"/>
  <c r="F82" i="9" s="1"/>
  <c r="O82" i="9"/>
  <c r="J82" i="9" s="1"/>
  <c r="G82" i="7"/>
  <c r="L82" i="7"/>
  <c r="H82" i="7"/>
  <c r="F82" i="7" s="1"/>
  <c r="O82" i="7"/>
  <c r="J82" i="7" s="1"/>
  <c r="G82" i="2"/>
  <c r="L82" i="2"/>
  <c r="H82" i="2"/>
  <c r="F82" i="2" s="1"/>
  <c r="O82" i="2"/>
  <c r="J82" i="2" s="1"/>
  <c r="L84" i="6"/>
  <c r="G84" i="6"/>
  <c r="O84" i="6"/>
  <c r="H84" i="6"/>
  <c r="F84" i="6" s="1"/>
  <c r="J84" i="6" l="1"/>
  <c r="N85" i="6" s="1"/>
  <c r="M85" i="8"/>
  <c r="N85" i="8"/>
  <c r="K84" i="8"/>
  <c r="K82" i="9"/>
  <c r="N83" i="9"/>
  <c r="M83" i="9"/>
  <c r="M83" i="7"/>
  <c r="N83" i="7"/>
  <c r="K82" i="7"/>
  <c r="K82" i="2"/>
  <c r="N83" i="2"/>
  <c r="M83" i="2"/>
  <c r="M85" i="6"/>
  <c r="K84" i="6" l="1"/>
  <c r="G85" i="8"/>
  <c r="L85" i="8"/>
  <c r="H85" i="8"/>
  <c r="F85" i="8" s="1"/>
  <c r="O85" i="8"/>
  <c r="J85" i="8" s="1"/>
  <c r="H83" i="9"/>
  <c r="F83" i="9" s="1"/>
  <c r="O83" i="9"/>
  <c r="J83" i="9" s="1"/>
  <c r="G83" i="9"/>
  <c r="L83" i="9"/>
  <c r="G83" i="7"/>
  <c r="L83" i="7"/>
  <c r="H83" i="7"/>
  <c r="F83" i="7" s="1"/>
  <c r="O83" i="7"/>
  <c r="J83" i="7" s="1"/>
  <c r="H83" i="2"/>
  <c r="F83" i="2" s="1"/>
  <c r="O83" i="2"/>
  <c r="J83" i="2" s="1"/>
  <c r="G83" i="2"/>
  <c r="L83" i="2"/>
  <c r="L85" i="6"/>
  <c r="G85" i="6"/>
  <c r="O85" i="6"/>
  <c r="H85" i="6"/>
  <c r="F85" i="6" s="1"/>
  <c r="J85" i="6" l="1"/>
  <c r="N86" i="8"/>
  <c r="M86" i="8"/>
  <c r="K85" i="8"/>
  <c r="M84" i="9"/>
  <c r="N84" i="9"/>
  <c r="K83" i="9"/>
  <c r="M84" i="7"/>
  <c r="N84" i="7"/>
  <c r="K83" i="7"/>
  <c r="M84" i="2"/>
  <c r="N84" i="2"/>
  <c r="K83" i="2"/>
  <c r="N86" i="6"/>
  <c r="M86" i="6"/>
  <c r="K85" i="6" l="1"/>
  <c r="H86" i="8"/>
  <c r="F86" i="8" s="1"/>
  <c r="O86" i="8"/>
  <c r="J86" i="8" s="1"/>
  <c r="G86" i="8"/>
  <c r="L86" i="8"/>
  <c r="G84" i="9"/>
  <c r="L84" i="9"/>
  <c r="H84" i="9"/>
  <c r="F84" i="9" s="1"/>
  <c r="O84" i="9"/>
  <c r="J84" i="9" s="1"/>
  <c r="G84" i="7"/>
  <c r="L84" i="7"/>
  <c r="H84" i="7"/>
  <c r="F84" i="7" s="1"/>
  <c r="O84" i="7"/>
  <c r="J84" i="7" s="1"/>
  <c r="G84" i="2"/>
  <c r="L84" i="2"/>
  <c r="H84" i="2"/>
  <c r="F84" i="2" s="1"/>
  <c r="O84" i="2"/>
  <c r="J84" i="2" s="1"/>
  <c r="L86" i="6"/>
  <c r="G86" i="6"/>
  <c r="O86" i="6"/>
  <c r="H86" i="6"/>
  <c r="F86" i="6" s="1"/>
  <c r="J86" i="6" l="1"/>
  <c r="M87" i="8"/>
  <c r="N87" i="8"/>
  <c r="K86" i="8"/>
  <c r="M85" i="9"/>
  <c r="N85" i="9"/>
  <c r="K84" i="9"/>
  <c r="M85" i="7"/>
  <c r="N85" i="7"/>
  <c r="K84" i="7"/>
  <c r="M85" i="2"/>
  <c r="N85" i="2"/>
  <c r="K84" i="2"/>
  <c r="N87" i="6"/>
  <c r="M87" i="6"/>
  <c r="K86" i="6" l="1"/>
  <c r="G87" i="8"/>
  <c r="L87" i="8"/>
  <c r="H87" i="8"/>
  <c r="F87" i="8" s="1"/>
  <c r="O87" i="8"/>
  <c r="J87" i="8" s="1"/>
  <c r="G85" i="9"/>
  <c r="L85" i="9"/>
  <c r="H85" i="9"/>
  <c r="F85" i="9" s="1"/>
  <c r="O85" i="9"/>
  <c r="J85" i="9" s="1"/>
  <c r="G85" i="7"/>
  <c r="L85" i="7"/>
  <c r="H85" i="7"/>
  <c r="F85" i="7" s="1"/>
  <c r="O85" i="7"/>
  <c r="J85" i="7" s="1"/>
  <c r="G85" i="2"/>
  <c r="L85" i="2"/>
  <c r="H85" i="2"/>
  <c r="F85" i="2" s="1"/>
  <c r="O85" i="2"/>
  <c r="J85" i="2" s="1"/>
  <c r="L87" i="6"/>
  <c r="G87" i="6"/>
  <c r="O87" i="6"/>
  <c r="H87" i="6"/>
  <c r="F87" i="6" s="1"/>
  <c r="J87" i="6" l="1"/>
  <c r="N88" i="6" s="1"/>
  <c r="N88" i="8"/>
  <c r="M88" i="8"/>
  <c r="K87" i="8"/>
  <c r="K85" i="9"/>
  <c r="N86" i="9"/>
  <c r="M86" i="9"/>
  <c r="M86" i="7"/>
  <c r="N86" i="7"/>
  <c r="K85" i="7"/>
  <c r="M86" i="2"/>
  <c r="N86" i="2"/>
  <c r="K85" i="2"/>
  <c r="M88" i="6"/>
  <c r="K87" i="6" l="1"/>
  <c r="H88" i="8"/>
  <c r="F88" i="8" s="1"/>
  <c r="O88" i="8"/>
  <c r="J88" i="8" s="1"/>
  <c r="G88" i="8"/>
  <c r="L88" i="8"/>
  <c r="H86" i="9"/>
  <c r="F86" i="9" s="1"/>
  <c r="O86" i="9"/>
  <c r="J86" i="9" s="1"/>
  <c r="G86" i="9"/>
  <c r="L86" i="9"/>
  <c r="G86" i="7"/>
  <c r="L86" i="7"/>
  <c r="H86" i="7"/>
  <c r="F86" i="7" s="1"/>
  <c r="O86" i="7"/>
  <c r="J86" i="7" s="1"/>
  <c r="G86" i="2"/>
  <c r="L86" i="2"/>
  <c r="H86" i="2"/>
  <c r="F86" i="2" s="1"/>
  <c r="O86" i="2"/>
  <c r="J86" i="2" s="1"/>
  <c r="L88" i="6"/>
  <c r="G88" i="6"/>
  <c r="O88" i="6"/>
  <c r="H88" i="6"/>
  <c r="F88" i="6" s="1"/>
  <c r="J88" i="6" l="1"/>
  <c r="M89" i="8"/>
  <c r="N89" i="8"/>
  <c r="K88" i="8"/>
  <c r="M87" i="9"/>
  <c r="N87" i="9"/>
  <c r="K86" i="9"/>
  <c r="M87" i="7"/>
  <c r="N87" i="7"/>
  <c r="K86" i="7"/>
  <c r="M87" i="2"/>
  <c r="N87" i="2"/>
  <c r="K86" i="2"/>
  <c r="N89" i="6"/>
  <c r="M89" i="6"/>
  <c r="K88" i="6" l="1"/>
  <c r="G89" i="8"/>
  <c r="L89" i="8"/>
  <c r="H89" i="8"/>
  <c r="F89" i="8" s="1"/>
  <c r="O89" i="8"/>
  <c r="J89" i="8" s="1"/>
  <c r="G87" i="9"/>
  <c r="L87" i="9"/>
  <c r="H87" i="9"/>
  <c r="F87" i="9" s="1"/>
  <c r="O87" i="9"/>
  <c r="J87" i="9" s="1"/>
  <c r="G87" i="7"/>
  <c r="L87" i="7"/>
  <c r="H87" i="7"/>
  <c r="F87" i="7" s="1"/>
  <c r="O87" i="7"/>
  <c r="J87" i="7" s="1"/>
  <c r="G87" i="2"/>
  <c r="L87" i="2"/>
  <c r="H87" i="2"/>
  <c r="F87" i="2" s="1"/>
  <c r="O87" i="2"/>
  <c r="J87" i="2" s="1"/>
  <c r="L89" i="6"/>
  <c r="G89" i="6"/>
  <c r="O89" i="6"/>
  <c r="H89" i="6"/>
  <c r="F89" i="6" s="1"/>
  <c r="J89" i="6" l="1"/>
  <c r="N90" i="6" s="1"/>
  <c r="M90" i="8"/>
  <c r="N90" i="8"/>
  <c r="K89" i="8"/>
  <c r="M88" i="9"/>
  <c r="N88" i="9"/>
  <c r="K87" i="9"/>
  <c r="M88" i="7"/>
  <c r="N88" i="7"/>
  <c r="K87" i="7"/>
  <c r="M88" i="2"/>
  <c r="N88" i="2"/>
  <c r="K87" i="2"/>
  <c r="M90" i="6"/>
  <c r="K89" i="6" l="1"/>
  <c r="G90" i="8"/>
  <c r="L90" i="8"/>
  <c r="H90" i="8"/>
  <c r="F90" i="8" s="1"/>
  <c r="O90" i="8"/>
  <c r="J90" i="8" s="1"/>
  <c r="G88" i="9"/>
  <c r="L88" i="9"/>
  <c r="H88" i="9"/>
  <c r="F88" i="9" s="1"/>
  <c r="O88" i="9"/>
  <c r="J88" i="9" s="1"/>
  <c r="G88" i="7"/>
  <c r="L88" i="7"/>
  <c r="H88" i="7"/>
  <c r="F88" i="7" s="1"/>
  <c r="O88" i="7"/>
  <c r="J88" i="7" s="1"/>
  <c r="G88" i="2"/>
  <c r="L88" i="2"/>
  <c r="H88" i="2"/>
  <c r="F88" i="2" s="1"/>
  <c r="O88" i="2"/>
  <c r="J88" i="2" s="1"/>
  <c r="L90" i="6"/>
  <c r="G90" i="6"/>
  <c r="O90" i="6"/>
  <c r="J90" i="6" s="1"/>
  <c r="H90" i="6"/>
  <c r="F90" i="6" s="1"/>
  <c r="K90" i="6" l="1"/>
  <c r="M91" i="8"/>
  <c r="N91" i="8"/>
  <c r="K90" i="8"/>
  <c r="K88" i="9"/>
  <c r="N89" i="9"/>
  <c r="M89" i="9"/>
  <c r="M89" i="7"/>
  <c r="N89" i="7"/>
  <c r="K88" i="7"/>
  <c r="M89" i="2"/>
  <c r="N89" i="2"/>
  <c r="K88" i="2"/>
  <c r="N91" i="6"/>
  <c r="M91" i="6"/>
  <c r="G91" i="8" l="1"/>
  <c r="L91" i="8"/>
  <c r="H91" i="8"/>
  <c r="F91" i="8" s="1"/>
  <c r="O91" i="8"/>
  <c r="J91" i="8" s="1"/>
  <c r="H89" i="9"/>
  <c r="F89" i="9" s="1"/>
  <c r="O89" i="9"/>
  <c r="J89" i="9" s="1"/>
  <c r="G89" i="9"/>
  <c r="L89" i="9"/>
  <c r="G89" i="7"/>
  <c r="L89" i="7"/>
  <c r="H89" i="7"/>
  <c r="F89" i="7" s="1"/>
  <c r="O89" i="7"/>
  <c r="J89" i="7" s="1"/>
  <c r="G89" i="2"/>
  <c r="L89" i="2"/>
  <c r="H89" i="2"/>
  <c r="F89" i="2" s="1"/>
  <c r="O89" i="2"/>
  <c r="J89" i="2" s="1"/>
  <c r="L91" i="6"/>
  <c r="G91" i="6"/>
  <c r="O91" i="6"/>
  <c r="H91" i="6"/>
  <c r="F91" i="6" s="1"/>
  <c r="J91" i="6" l="1"/>
  <c r="K91" i="8"/>
  <c r="M92" i="8"/>
  <c r="N92" i="8"/>
  <c r="M90" i="9"/>
  <c r="N90" i="9"/>
  <c r="K89" i="9"/>
  <c r="M90" i="7"/>
  <c r="N90" i="7"/>
  <c r="K89" i="7"/>
  <c r="M90" i="2"/>
  <c r="N90" i="2"/>
  <c r="K89" i="2"/>
  <c r="N92" i="6"/>
  <c r="M92" i="6"/>
  <c r="K91" i="6" l="1"/>
  <c r="G92" i="8"/>
  <c r="L92" i="8"/>
  <c r="H92" i="8"/>
  <c r="F92" i="8" s="1"/>
  <c r="O92" i="8"/>
  <c r="J92" i="8" s="1"/>
  <c r="G90" i="9"/>
  <c r="L90" i="9"/>
  <c r="H90" i="9"/>
  <c r="F90" i="9" s="1"/>
  <c r="O90" i="9"/>
  <c r="J90" i="9" s="1"/>
  <c r="G90" i="7"/>
  <c r="L90" i="7"/>
  <c r="H90" i="7"/>
  <c r="F90" i="7" s="1"/>
  <c r="O90" i="7"/>
  <c r="J90" i="7" s="1"/>
  <c r="G90" i="2"/>
  <c r="L90" i="2"/>
  <c r="H90" i="2"/>
  <c r="F90" i="2" s="1"/>
  <c r="O90" i="2"/>
  <c r="J90" i="2" s="1"/>
  <c r="L92" i="6"/>
  <c r="G92" i="6"/>
  <c r="O92" i="6"/>
  <c r="H92" i="6"/>
  <c r="F92" i="6" s="1"/>
  <c r="J92" i="6" l="1"/>
  <c r="N93" i="8"/>
  <c r="M93" i="8"/>
  <c r="K92" i="8"/>
  <c r="M91" i="9"/>
  <c r="N91" i="9"/>
  <c r="K90" i="9"/>
  <c r="M91" i="7"/>
  <c r="N91" i="7"/>
  <c r="K90" i="7"/>
  <c r="M91" i="2"/>
  <c r="N91" i="2"/>
  <c r="K90" i="2"/>
  <c r="N93" i="6"/>
  <c r="M93" i="6"/>
  <c r="K92" i="6" l="1"/>
  <c r="H93" i="8"/>
  <c r="F93" i="8" s="1"/>
  <c r="O93" i="8"/>
  <c r="J93" i="8" s="1"/>
  <c r="G93" i="8"/>
  <c r="L93" i="8"/>
  <c r="G91" i="9"/>
  <c r="L91" i="9"/>
  <c r="H91" i="9"/>
  <c r="F91" i="9" s="1"/>
  <c r="O91" i="9"/>
  <c r="J91" i="9" s="1"/>
  <c r="G91" i="7"/>
  <c r="L91" i="7"/>
  <c r="H91" i="7"/>
  <c r="F91" i="7" s="1"/>
  <c r="O91" i="7"/>
  <c r="J91" i="7" s="1"/>
  <c r="G91" i="2"/>
  <c r="L91" i="2"/>
  <c r="H91" i="2"/>
  <c r="F91" i="2" s="1"/>
  <c r="O91" i="2"/>
  <c r="J91" i="2" s="1"/>
  <c r="L93" i="6"/>
  <c r="G93" i="6"/>
  <c r="O93" i="6"/>
  <c r="H93" i="6"/>
  <c r="F93" i="6" s="1"/>
  <c r="J93" i="6" l="1"/>
  <c r="N94" i="6" s="1"/>
  <c r="M94" i="8"/>
  <c r="N94" i="8"/>
  <c r="K93" i="8"/>
  <c r="K91" i="9"/>
  <c r="N92" i="9"/>
  <c r="M92" i="9"/>
  <c r="M92" i="7"/>
  <c r="N92" i="7"/>
  <c r="K91" i="7"/>
  <c r="M92" i="2"/>
  <c r="N92" i="2"/>
  <c r="K91" i="2"/>
  <c r="M94" i="6"/>
  <c r="K93" i="6" l="1"/>
  <c r="G94" i="8"/>
  <c r="L94" i="8"/>
  <c r="H94" i="8"/>
  <c r="F94" i="8" s="1"/>
  <c r="O94" i="8"/>
  <c r="J94" i="8" s="1"/>
  <c r="H92" i="9"/>
  <c r="F92" i="9" s="1"/>
  <c r="O92" i="9"/>
  <c r="J92" i="9" s="1"/>
  <c r="G92" i="9"/>
  <c r="L92" i="9"/>
  <c r="G92" i="7"/>
  <c r="L92" i="7"/>
  <c r="H92" i="7"/>
  <c r="F92" i="7" s="1"/>
  <c r="O92" i="7"/>
  <c r="J92" i="7" s="1"/>
  <c r="G92" i="2"/>
  <c r="L92" i="2"/>
  <c r="H92" i="2"/>
  <c r="F92" i="2" s="1"/>
  <c r="O92" i="2"/>
  <c r="J92" i="2" s="1"/>
  <c r="L94" i="6"/>
  <c r="G94" i="6"/>
  <c r="O94" i="6"/>
  <c r="H94" i="6"/>
  <c r="F94" i="6" s="1"/>
  <c r="J94" i="6" l="1"/>
  <c r="K94" i="8"/>
  <c r="M95" i="8"/>
  <c r="N95" i="8"/>
  <c r="M93" i="9"/>
  <c r="N93" i="9"/>
  <c r="K92" i="9"/>
  <c r="M93" i="7"/>
  <c r="N93" i="7"/>
  <c r="K92" i="7"/>
  <c r="M93" i="2"/>
  <c r="N93" i="2"/>
  <c r="K92" i="2"/>
  <c r="N95" i="6"/>
  <c r="M95" i="6"/>
  <c r="K94" i="6" l="1"/>
  <c r="G95" i="8"/>
  <c r="L95" i="8"/>
  <c r="H95" i="8"/>
  <c r="F95" i="8" s="1"/>
  <c r="O95" i="8"/>
  <c r="J95" i="8" s="1"/>
  <c r="G93" i="9"/>
  <c r="L93" i="9"/>
  <c r="H93" i="9"/>
  <c r="F93" i="9" s="1"/>
  <c r="O93" i="9"/>
  <c r="J93" i="9" s="1"/>
  <c r="G93" i="7"/>
  <c r="L93" i="7"/>
  <c r="H93" i="7"/>
  <c r="F93" i="7" s="1"/>
  <c r="O93" i="7"/>
  <c r="J93" i="7" s="1"/>
  <c r="G93" i="2"/>
  <c r="L93" i="2"/>
  <c r="H93" i="2"/>
  <c r="F93" i="2" s="1"/>
  <c r="O93" i="2"/>
  <c r="J93" i="2" s="1"/>
  <c r="L95" i="6"/>
  <c r="G95" i="6"/>
  <c r="O95" i="6"/>
  <c r="H95" i="6"/>
  <c r="F95" i="6" s="1"/>
  <c r="J95" i="6" l="1"/>
  <c r="N96" i="6" s="1"/>
  <c r="N96" i="8"/>
  <c r="M96" i="8"/>
  <c r="K95" i="8"/>
  <c r="M94" i="9"/>
  <c r="N94" i="9"/>
  <c r="K93" i="9"/>
  <c r="M94" i="7"/>
  <c r="N94" i="7"/>
  <c r="K93" i="7"/>
  <c r="M94" i="2"/>
  <c r="N94" i="2"/>
  <c r="K93" i="2"/>
  <c r="M96" i="6"/>
  <c r="J96" i="8" l="1"/>
  <c r="K95" i="6"/>
  <c r="H96" i="8"/>
  <c r="F96" i="8" s="1"/>
  <c r="O96" i="8"/>
  <c r="G96" i="8"/>
  <c r="L96" i="8"/>
  <c r="G94" i="9"/>
  <c r="L94" i="9"/>
  <c r="H94" i="9"/>
  <c r="F94" i="9" s="1"/>
  <c r="O94" i="9"/>
  <c r="J94" i="9" s="1"/>
  <c r="G94" i="7"/>
  <c r="L94" i="7"/>
  <c r="H94" i="7"/>
  <c r="F94" i="7" s="1"/>
  <c r="O94" i="7"/>
  <c r="J94" i="7" s="1"/>
  <c r="G94" i="2"/>
  <c r="L94" i="2"/>
  <c r="H94" i="2"/>
  <c r="F94" i="2" s="1"/>
  <c r="O94" i="2"/>
  <c r="J94" i="2" s="1"/>
  <c r="L96" i="6"/>
  <c r="G96" i="6"/>
  <c r="O96" i="6"/>
  <c r="H96" i="6"/>
  <c r="F96" i="6" s="1"/>
  <c r="J96" i="6" l="1"/>
  <c r="N97" i="6" s="1"/>
  <c r="M97" i="8"/>
  <c r="N97" i="8"/>
  <c r="K96" i="8"/>
  <c r="K94" i="9"/>
  <c r="N95" i="9"/>
  <c r="M95" i="9"/>
  <c r="M95" i="7"/>
  <c r="N95" i="7"/>
  <c r="K94" i="7"/>
  <c r="M95" i="2"/>
  <c r="N95" i="2"/>
  <c r="K94" i="2"/>
  <c r="M97" i="6"/>
  <c r="K96" i="6" l="1"/>
  <c r="G97" i="8"/>
  <c r="L97" i="8"/>
  <c r="H97" i="8"/>
  <c r="F97" i="8" s="1"/>
  <c r="O97" i="8"/>
  <c r="J97" i="8" s="1"/>
  <c r="H95" i="9"/>
  <c r="F95" i="9" s="1"/>
  <c r="O95" i="9"/>
  <c r="J95" i="9" s="1"/>
  <c r="G95" i="9"/>
  <c r="L95" i="9"/>
  <c r="G95" i="7"/>
  <c r="L95" i="7"/>
  <c r="H95" i="7"/>
  <c r="F95" i="7" s="1"/>
  <c r="O95" i="7"/>
  <c r="J95" i="7" s="1"/>
  <c r="G95" i="2"/>
  <c r="L95" i="2"/>
  <c r="H95" i="2"/>
  <c r="F95" i="2" s="1"/>
  <c r="O95" i="2"/>
  <c r="J95" i="2" s="1"/>
  <c r="O97" i="6"/>
  <c r="H97" i="6"/>
  <c r="F97" i="6" s="1"/>
  <c r="L97" i="6"/>
  <c r="G97" i="6"/>
  <c r="J97" i="6" l="1"/>
  <c r="K97" i="8"/>
  <c r="N98" i="8"/>
  <c r="M98" i="8"/>
  <c r="M96" i="9"/>
  <c r="N96" i="9"/>
  <c r="K95" i="9"/>
  <c r="M96" i="7"/>
  <c r="N96" i="7"/>
  <c r="K95" i="7"/>
  <c r="M96" i="2"/>
  <c r="N96" i="2"/>
  <c r="K95" i="2"/>
  <c r="N98" i="6"/>
  <c r="M98" i="6"/>
  <c r="K97" i="6" l="1"/>
  <c r="N99" i="8"/>
  <c r="H98" i="8"/>
  <c r="O98" i="8"/>
  <c r="J98" i="8" s="1"/>
  <c r="M99" i="8"/>
  <c r="G98" i="8"/>
  <c r="G99" i="8" s="1"/>
  <c r="L98" i="8"/>
  <c r="L99" i="8" s="1"/>
  <c r="G96" i="9"/>
  <c r="L96" i="9"/>
  <c r="H96" i="9"/>
  <c r="F96" i="9" s="1"/>
  <c r="O96" i="9"/>
  <c r="J96" i="9" s="1"/>
  <c r="G96" i="7"/>
  <c r="L96" i="7"/>
  <c r="H96" i="7"/>
  <c r="F96" i="7" s="1"/>
  <c r="O96" i="7"/>
  <c r="J96" i="7" s="1"/>
  <c r="G96" i="2"/>
  <c r="L96" i="2"/>
  <c r="H96" i="2"/>
  <c r="F96" i="2" s="1"/>
  <c r="O96" i="2"/>
  <c r="J96" i="2" s="1"/>
  <c r="L98" i="6"/>
  <c r="L99" i="6" s="1"/>
  <c r="M99" i="6"/>
  <c r="G98" i="6"/>
  <c r="G99" i="6" s="1"/>
  <c r="O98" i="6"/>
  <c r="J98" i="6" s="1"/>
  <c r="N99" i="6"/>
  <c r="H98" i="6"/>
  <c r="H99" i="8" l="1"/>
  <c r="F98" i="8"/>
  <c r="F99" i="8" s="1"/>
  <c r="O99" i="8"/>
  <c r="M97" i="9"/>
  <c r="N97" i="9"/>
  <c r="K96" i="9"/>
  <c r="M97" i="7"/>
  <c r="N97" i="7"/>
  <c r="K96" i="7"/>
  <c r="M97" i="2"/>
  <c r="N97" i="2"/>
  <c r="K96" i="2"/>
  <c r="H99" i="6"/>
  <c r="F98" i="6"/>
  <c r="F99" i="6" s="1"/>
  <c r="O99" i="6"/>
  <c r="C3" i="1" l="1"/>
  <c r="J99" i="8"/>
  <c r="K104" i="8"/>
  <c r="K98" i="8"/>
  <c r="K99" i="8" s="1"/>
  <c r="K103" i="8"/>
  <c r="K102" i="8"/>
  <c r="K105" i="8"/>
  <c r="G97" i="9"/>
  <c r="L97" i="9"/>
  <c r="H97" i="9"/>
  <c r="F97" i="9" s="1"/>
  <c r="O97" i="9"/>
  <c r="J97" i="9" s="1"/>
  <c r="G97" i="7"/>
  <c r="L97" i="7"/>
  <c r="H97" i="7"/>
  <c r="F97" i="7" s="1"/>
  <c r="O97" i="7"/>
  <c r="J97" i="7" s="1"/>
  <c r="G97" i="2"/>
  <c r="L97" i="2"/>
  <c r="H97" i="2"/>
  <c r="F97" i="2" s="1"/>
  <c r="O97" i="2"/>
  <c r="J97" i="2" s="1"/>
  <c r="K104" i="6"/>
  <c r="K102" i="6"/>
  <c r="K103" i="6"/>
  <c r="K105" i="6"/>
  <c r="J99" i="6"/>
  <c r="K98" i="6"/>
  <c r="K99" i="6" s="1"/>
  <c r="V98" i="12"/>
  <c r="I3" i="1" l="1"/>
  <c r="D3" i="1"/>
  <c r="K97" i="9"/>
  <c r="N98" i="9"/>
  <c r="M98" i="9"/>
  <c r="M98" i="7"/>
  <c r="N98" i="7"/>
  <c r="K97" i="7"/>
  <c r="M98" i="2"/>
  <c r="N98" i="2"/>
  <c r="K97" i="2"/>
  <c r="M3" i="1"/>
  <c r="G3" i="1" s="1"/>
  <c r="N99" i="9" l="1"/>
  <c r="H98" i="9"/>
  <c r="O98" i="9"/>
  <c r="J98" i="9" s="1"/>
  <c r="M99" i="9"/>
  <c r="L98" i="9"/>
  <c r="L99" i="9" s="1"/>
  <c r="G98" i="9"/>
  <c r="G99" i="9" s="1"/>
  <c r="M99" i="7"/>
  <c r="G98" i="7"/>
  <c r="G99" i="7" s="1"/>
  <c r="L98" i="7"/>
  <c r="L99" i="7" s="1"/>
  <c r="N99" i="7"/>
  <c r="H98" i="7"/>
  <c r="O98" i="7"/>
  <c r="J98" i="7" s="1"/>
  <c r="M99" i="2"/>
  <c r="L98" i="2"/>
  <c r="L99" i="2" s="1"/>
  <c r="G98" i="2"/>
  <c r="G99" i="2" s="1"/>
  <c r="N99" i="2"/>
  <c r="H98" i="2"/>
  <c r="O98" i="2"/>
  <c r="J98" i="2" s="1"/>
  <c r="H3" i="1"/>
  <c r="F3" i="1" s="1"/>
  <c r="L3" i="1"/>
  <c r="K3" i="1"/>
  <c r="H99" i="9" l="1"/>
  <c r="F98" i="9"/>
  <c r="F99" i="9" s="1"/>
  <c r="O99" i="9"/>
  <c r="H99" i="7"/>
  <c r="F98" i="7"/>
  <c r="F99" i="7" s="1"/>
  <c r="O99" i="7"/>
  <c r="H99" i="2"/>
  <c r="F98" i="2"/>
  <c r="F99" i="2" s="1"/>
  <c r="O99" i="2"/>
  <c r="C4" i="1"/>
  <c r="I4" i="1" s="1"/>
  <c r="K104" i="9" l="1"/>
  <c r="J99" i="9"/>
  <c r="K98" i="9"/>
  <c r="K99" i="9" s="1"/>
  <c r="K105" i="9"/>
  <c r="K102" i="9"/>
  <c r="K103" i="9"/>
  <c r="K104" i="7"/>
  <c r="J99" i="7"/>
  <c r="K98" i="7"/>
  <c r="K99" i="7" s="1"/>
  <c r="K103" i="7"/>
  <c r="K102" i="7"/>
  <c r="K105" i="7"/>
  <c r="K104" i="2"/>
  <c r="J99" i="2"/>
  <c r="K98" i="2"/>
  <c r="K99" i="2" s="1"/>
  <c r="K103" i="2"/>
  <c r="K102" i="2"/>
  <c r="K105" i="2"/>
  <c r="D4" i="1"/>
  <c r="N4" i="1" s="1"/>
  <c r="H4" i="1" l="1"/>
  <c r="M4" i="1"/>
  <c r="G4" i="1" l="1"/>
  <c r="F4" i="1"/>
  <c r="L4" i="1"/>
  <c r="O4" i="1"/>
  <c r="J4" i="1" s="1"/>
  <c r="K4" i="1" l="1"/>
  <c r="C5" i="1"/>
  <c r="I5" i="1" s="1"/>
  <c r="D5" i="1" l="1"/>
  <c r="N5" i="1" s="1"/>
  <c r="H5" i="1" l="1"/>
  <c r="F5" i="1" s="1"/>
  <c r="M5" i="1"/>
  <c r="L5" i="1" l="1"/>
  <c r="G5" i="1"/>
  <c r="O5" i="1"/>
  <c r="J5" i="1" s="1"/>
  <c r="C6" i="1" l="1"/>
  <c r="I6" i="1" s="1"/>
  <c r="K5" i="1" l="1"/>
  <c r="D6" i="1"/>
  <c r="N6" i="1" s="1"/>
  <c r="H6" i="1" l="1"/>
  <c r="M6" i="1"/>
  <c r="G6" i="1" l="1"/>
  <c r="F6" i="1"/>
  <c r="L6" i="1"/>
  <c r="O6" i="1"/>
  <c r="J6" i="1" s="1"/>
  <c r="C7" i="1" l="1"/>
  <c r="I7" i="1" s="1"/>
  <c r="K6" i="1" l="1"/>
  <c r="D7" i="1"/>
  <c r="N7" i="1" s="1"/>
  <c r="H7" i="1" l="1"/>
  <c r="M7" i="1"/>
  <c r="G7" i="1" l="1"/>
  <c r="F7" i="1"/>
  <c r="L7" i="1"/>
  <c r="O7" i="1"/>
  <c r="J7" i="1" s="1"/>
  <c r="C8" i="1" l="1"/>
  <c r="I8" i="1" s="1"/>
  <c r="K7" i="1" l="1"/>
  <c r="D8" i="1"/>
  <c r="N8" i="1" s="1"/>
  <c r="H8" i="1" l="1"/>
  <c r="F8" i="1" s="1"/>
  <c r="M8" i="1"/>
  <c r="O8" i="1"/>
  <c r="J8" i="1" l="1"/>
  <c r="L8" i="1"/>
  <c r="G8" i="1"/>
  <c r="K8" i="1" l="1"/>
  <c r="C9" i="1"/>
  <c r="I9" i="1" s="1"/>
  <c r="D9" i="1" l="1"/>
  <c r="N9" i="1" s="1"/>
  <c r="M9" i="1"/>
  <c r="L9" i="1" l="1"/>
  <c r="H9" i="1"/>
  <c r="F9" i="1" s="1"/>
  <c r="O9" i="1"/>
  <c r="J9" i="1" s="1"/>
  <c r="G9" i="1"/>
  <c r="C10" i="1" l="1"/>
  <c r="I10" i="1" s="1"/>
  <c r="K9" i="1" l="1"/>
  <c r="D10" i="1"/>
  <c r="M10" i="1"/>
  <c r="L10" i="1" l="1"/>
  <c r="G10" i="1"/>
  <c r="N10" i="1"/>
  <c r="H10" i="1" s="1"/>
  <c r="F10" i="1" l="1"/>
  <c r="O10" i="1"/>
  <c r="J10" i="1" s="1"/>
  <c r="C11" i="1" l="1"/>
  <c r="I11" i="1" s="1"/>
  <c r="K10" i="1" l="1"/>
  <c r="M11" i="1"/>
  <c r="D11" i="1"/>
  <c r="G11" i="1" l="1"/>
  <c r="L11" i="1"/>
  <c r="N11" i="1"/>
  <c r="O11" i="1" s="1"/>
  <c r="J11" i="1" s="1"/>
  <c r="H11" i="1" l="1"/>
  <c r="F11" i="1" s="1"/>
  <c r="C12" i="1"/>
  <c r="I12" i="1" s="1"/>
  <c r="K11" i="1" l="1"/>
  <c r="D12" i="1"/>
  <c r="M12" i="1"/>
  <c r="L12" i="1" l="1"/>
  <c r="G12" i="1"/>
  <c r="N12" i="1"/>
  <c r="O12" i="1" s="1"/>
  <c r="J12" i="1" s="1"/>
  <c r="H12" i="1" l="1"/>
  <c r="F12" i="1" s="1"/>
  <c r="C13" i="1"/>
  <c r="I13" i="1" s="1"/>
  <c r="K12" i="1" l="1"/>
  <c r="D13" i="1"/>
  <c r="M13" i="1"/>
  <c r="L13" i="1" l="1"/>
  <c r="G13" i="1"/>
  <c r="N13" i="1"/>
  <c r="O13" i="1" s="1"/>
  <c r="J13" i="1" s="1"/>
  <c r="H13" i="1" l="1"/>
  <c r="F13" i="1" s="1"/>
  <c r="C14" i="1"/>
  <c r="I14" i="1" s="1"/>
  <c r="K13" i="1" l="1"/>
  <c r="D14" i="1"/>
  <c r="M14" i="1"/>
  <c r="L14" i="1" l="1"/>
  <c r="G14" i="1"/>
  <c r="N14" i="1"/>
  <c r="O14" i="1" s="1"/>
  <c r="J14" i="1" s="1"/>
  <c r="H14" i="1" l="1"/>
  <c r="F14" i="1" s="1"/>
  <c r="C15" i="1"/>
  <c r="I15" i="1" s="1"/>
  <c r="K14" i="1" l="1"/>
  <c r="D15" i="1"/>
  <c r="M15" i="1"/>
  <c r="L15" i="1" l="1"/>
  <c r="G15" i="1"/>
  <c r="N15" i="1"/>
  <c r="O15" i="1" s="1"/>
  <c r="J15" i="1" s="1"/>
  <c r="H15" i="1" l="1"/>
  <c r="F15" i="1" s="1"/>
  <c r="C16" i="1"/>
  <c r="I16" i="1" s="1"/>
  <c r="K15" i="1" l="1"/>
  <c r="M16" i="1"/>
  <c r="J16" i="1" s="1"/>
  <c r="D16" i="1"/>
  <c r="N16" i="1" s="1"/>
  <c r="O16" i="1" s="1"/>
  <c r="K16" i="1" l="1"/>
  <c r="L16" i="1"/>
  <c r="H16" i="1"/>
  <c r="F16" i="1" s="1"/>
  <c r="C17" i="1"/>
  <c r="I17" i="1" s="1"/>
  <c r="G16" i="1"/>
  <c r="D17" i="1" l="1"/>
  <c r="M17" i="1"/>
  <c r="L17" i="1" l="1"/>
  <c r="G17" i="1"/>
  <c r="N17" i="1"/>
  <c r="O17" i="1" s="1"/>
  <c r="J17" i="1" s="1"/>
  <c r="H17" i="1" l="1"/>
  <c r="F17" i="1" s="1"/>
  <c r="C18" i="1"/>
  <c r="I18" i="1" s="1"/>
  <c r="K17" i="1" l="1"/>
  <c r="M18" i="1"/>
  <c r="D18" i="1"/>
  <c r="L18" i="1" l="1"/>
  <c r="G18" i="1"/>
  <c r="N18" i="1"/>
  <c r="O18" i="1" s="1"/>
  <c r="J18" i="1" s="1"/>
  <c r="H18" i="1" l="1"/>
  <c r="F18" i="1" s="1"/>
  <c r="C19" i="1"/>
  <c r="I19" i="1" s="1"/>
  <c r="K18" i="1" l="1"/>
  <c r="D19" i="1"/>
  <c r="M19" i="1"/>
  <c r="L19" i="1" l="1"/>
  <c r="G19" i="1"/>
  <c r="N19" i="1"/>
  <c r="O19" i="1" l="1"/>
  <c r="J19" i="1" s="1"/>
  <c r="H19" i="1"/>
  <c r="F19" i="1" s="1"/>
  <c r="C20" i="1"/>
  <c r="I20" i="1" s="1"/>
  <c r="D20" i="1" l="1"/>
  <c r="M20" i="1"/>
  <c r="L20" i="1" s="1"/>
  <c r="K19" i="1" l="1"/>
  <c r="N20" i="1"/>
  <c r="H20" i="1" s="1"/>
  <c r="F20" i="1" s="1"/>
  <c r="G20" i="1"/>
  <c r="O20" i="1" l="1"/>
  <c r="J20" i="1" s="1"/>
  <c r="C21" i="1" l="1"/>
  <c r="K20" i="1"/>
  <c r="C22" i="1"/>
  <c r="I22" i="1" s="1"/>
  <c r="D21" i="1" l="1"/>
  <c r="I21" i="1"/>
  <c r="M21" i="1" s="1"/>
  <c r="D22" i="1"/>
  <c r="N21" i="1" l="1"/>
  <c r="L21" i="1"/>
  <c r="G21" i="1"/>
  <c r="O21" i="1" l="1"/>
  <c r="J21" i="1" s="1"/>
  <c r="H21" i="1"/>
  <c r="F21" i="1" s="1"/>
  <c r="C23" i="1" l="1"/>
  <c r="I23" i="1" s="1"/>
  <c r="K21" i="1" l="1"/>
  <c r="M22" i="1"/>
  <c r="N22" i="1"/>
  <c r="D23" i="1"/>
  <c r="H22" i="1" l="1"/>
  <c r="F22" i="1" s="1"/>
  <c r="O22" i="1"/>
  <c r="J22" i="1" s="1"/>
  <c r="G22" i="1"/>
  <c r="L22" i="1"/>
  <c r="M23" i="1" l="1"/>
  <c r="K22" i="1"/>
  <c r="N23" i="1"/>
  <c r="H23" i="1" s="1"/>
  <c r="F23" i="1" s="1"/>
  <c r="C24" i="1"/>
  <c r="I24" i="1" s="1"/>
  <c r="O23" i="1" l="1"/>
  <c r="J23" i="1" s="1"/>
  <c r="L23" i="1"/>
  <c r="G23" i="1"/>
  <c r="D24" i="1"/>
  <c r="M24" i="1" l="1"/>
  <c r="N24" i="1"/>
  <c r="H24" i="1" s="1"/>
  <c r="F24" i="1" s="1"/>
  <c r="K23" i="1"/>
  <c r="G24" i="1"/>
  <c r="L24" i="1" l="1"/>
  <c r="O24" i="1"/>
  <c r="J24" i="1" s="1"/>
  <c r="C25" i="1"/>
  <c r="I25" i="1" s="1"/>
  <c r="K24" i="1" l="1"/>
  <c r="D25" i="1"/>
  <c r="N25" i="1" s="1"/>
  <c r="M25" i="1"/>
  <c r="L25" i="1" s="1"/>
  <c r="H25" i="1" l="1"/>
  <c r="F25" i="1" s="1"/>
  <c r="G25" i="1"/>
  <c r="O25" i="1"/>
  <c r="J25" i="1" s="1"/>
  <c r="C26" i="1" l="1"/>
  <c r="I26" i="1" s="1"/>
  <c r="K25" i="1" l="1"/>
  <c r="D26" i="1"/>
  <c r="N26" i="1" s="1"/>
  <c r="O26" i="1" s="1"/>
  <c r="M26" i="1"/>
  <c r="J26" i="1" s="1"/>
  <c r="L26" i="1" l="1"/>
  <c r="H26" i="1"/>
  <c r="F26" i="1" s="1"/>
  <c r="G26" i="1"/>
  <c r="K26" i="1"/>
  <c r="C27" i="1" l="1"/>
  <c r="I27" i="1" s="1"/>
  <c r="D27" i="1" l="1"/>
  <c r="N27" i="1" s="1"/>
  <c r="M27" i="1"/>
  <c r="L27" i="1" l="1"/>
  <c r="H27" i="1"/>
  <c r="F27" i="1" s="1"/>
  <c r="G27" i="1"/>
  <c r="O27" i="1"/>
  <c r="J27" i="1" s="1"/>
  <c r="C28" i="1" l="1"/>
  <c r="I28" i="1" s="1"/>
  <c r="K27" i="1" l="1"/>
  <c r="D28" i="1"/>
  <c r="N28" i="1" s="1"/>
  <c r="M28" i="1"/>
  <c r="L28" i="1" l="1"/>
  <c r="H28" i="1"/>
  <c r="F28" i="1" s="1"/>
  <c r="G28" i="1"/>
  <c r="O28" i="1"/>
  <c r="J28" i="1" s="1"/>
  <c r="C29" i="1" l="1"/>
  <c r="K28" i="1" l="1"/>
  <c r="D29" i="1"/>
  <c r="I29" i="1"/>
  <c r="M29" i="1" s="1"/>
  <c r="L29" i="1" l="1"/>
  <c r="N29" i="1"/>
  <c r="G29" i="1"/>
  <c r="O29" i="1" l="1"/>
  <c r="J29" i="1" s="1"/>
  <c r="H29" i="1"/>
  <c r="F29" i="1" s="1"/>
  <c r="C30" i="1"/>
  <c r="I30" i="1" s="1"/>
  <c r="D30" i="1" l="1"/>
  <c r="N30" i="1" s="1"/>
  <c r="M30" i="1"/>
  <c r="L30" i="1" l="1"/>
  <c r="K29" i="1"/>
  <c r="H30" i="1"/>
  <c r="F30" i="1" s="1"/>
  <c r="G30" i="1"/>
  <c r="O30" i="1"/>
  <c r="J30" i="1" s="1"/>
  <c r="C31" i="1" l="1"/>
  <c r="I31" i="1" s="1"/>
  <c r="K30" i="1" l="1"/>
  <c r="D31" i="1"/>
  <c r="N31" i="1" s="1"/>
  <c r="M31" i="1"/>
  <c r="L31" i="1" l="1"/>
  <c r="H31" i="1"/>
  <c r="F31" i="1" s="1"/>
  <c r="G31" i="1"/>
  <c r="O31" i="1"/>
  <c r="J31" i="1" s="1"/>
  <c r="C32" i="1" l="1"/>
  <c r="K31" i="1" l="1"/>
  <c r="I32" i="1"/>
  <c r="M32" i="1" s="1"/>
  <c r="D32" i="1"/>
  <c r="N32" i="1" l="1"/>
  <c r="H32" i="1" s="1"/>
  <c r="F32" i="1" s="1"/>
  <c r="L32" i="1"/>
  <c r="G32" i="1"/>
  <c r="O32" i="1" l="1"/>
  <c r="J32" i="1" s="1"/>
  <c r="C33" i="1"/>
  <c r="K32" i="1" l="1"/>
  <c r="I33" i="1"/>
  <c r="M33" i="1" s="1"/>
  <c r="D33" i="1"/>
  <c r="L33" i="1" l="1"/>
  <c r="G33" i="1"/>
  <c r="N33" i="1"/>
  <c r="H33" i="1" s="1"/>
  <c r="F33" i="1" s="1"/>
  <c r="O33" i="1" l="1"/>
  <c r="J33" i="1" s="1"/>
  <c r="C34" i="1"/>
  <c r="I34" i="1" s="1"/>
  <c r="K33" i="1" l="1"/>
  <c r="D34" i="1"/>
  <c r="N34" i="1" s="1"/>
  <c r="M34" i="1"/>
  <c r="L34" i="1" s="1"/>
  <c r="H34" i="1" l="1"/>
  <c r="F34" i="1" s="1"/>
  <c r="G34" i="1"/>
  <c r="O34" i="1"/>
  <c r="J34" i="1" s="1"/>
  <c r="C35" i="1" l="1"/>
  <c r="K34" i="1" l="1"/>
  <c r="I35" i="1"/>
  <c r="M35" i="1" s="1"/>
  <c r="D35" i="1"/>
  <c r="N35" i="1" s="1"/>
  <c r="O35" i="1" s="1"/>
  <c r="J35" i="1" l="1"/>
  <c r="L35" i="1"/>
  <c r="H35" i="1"/>
  <c r="F35" i="1" s="1"/>
  <c r="G35" i="1"/>
  <c r="C36" i="1"/>
  <c r="I36" i="1" s="1"/>
  <c r="K35" i="1" l="1"/>
  <c r="D36" i="1"/>
  <c r="N36" i="1" s="1"/>
  <c r="M36" i="1"/>
  <c r="L36" i="1" l="1"/>
  <c r="H36" i="1"/>
  <c r="G36" i="1"/>
  <c r="F36" i="1" l="1"/>
  <c r="O36" i="1"/>
  <c r="J36" i="1" s="1"/>
  <c r="C37" i="1" l="1"/>
  <c r="K36" i="1" l="1"/>
  <c r="I37" i="1"/>
  <c r="M37" i="1" s="1"/>
  <c r="D37" i="1"/>
  <c r="N37" i="1" s="1"/>
  <c r="L37" i="1" l="1"/>
  <c r="H37" i="1"/>
  <c r="F37" i="1" s="1"/>
  <c r="G37" i="1"/>
  <c r="O37" i="1"/>
  <c r="J37" i="1" s="1"/>
  <c r="K37" i="1" l="1"/>
  <c r="C38" i="1"/>
  <c r="D38" i="1" l="1"/>
  <c r="I38" i="1"/>
  <c r="M38" i="1" s="1"/>
  <c r="L38" i="1" l="1"/>
  <c r="N38" i="1"/>
  <c r="G38" i="1"/>
  <c r="H38" i="1" l="1"/>
  <c r="F38" i="1" s="1"/>
  <c r="O38" i="1"/>
  <c r="J38" i="1" s="1"/>
  <c r="C39" i="1"/>
  <c r="I39" i="1" l="1"/>
  <c r="D39" i="1"/>
  <c r="N39" i="1" l="1"/>
  <c r="H39" i="1" s="1"/>
  <c r="F39" i="1" s="1"/>
  <c r="M39" i="1"/>
  <c r="K38" i="1"/>
  <c r="O39" i="1"/>
  <c r="J39" i="1" l="1"/>
  <c r="G39" i="1"/>
  <c r="L39" i="1"/>
  <c r="K39" i="1"/>
  <c r="C40" i="1"/>
  <c r="I40" i="1" l="1"/>
  <c r="M40" i="1" s="1"/>
  <c r="D40" i="1"/>
  <c r="N40" i="1" s="1"/>
  <c r="G40" i="1" l="1"/>
  <c r="H40" i="1"/>
  <c r="F40" i="1" s="1"/>
  <c r="L40" i="1"/>
  <c r="O40" i="1"/>
  <c r="J40" i="1" s="1"/>
  <c r="K40" i="1" l="1"/>
  <c r="C41" i="1"/>
  <c r="I41" i="1" l="1"/>
  <c r="M41" i="1" s="1"/>
  <c r="D41" i="1"/>
  <c r="N41" i="1" s="1"/>
  <c r="L41" i="1" l="1"/>
  <c r="H41" i="1"/>
  <c r="F41" i="1" s="1"/>
  <c r="G41" i="1"/>
  <c r="O41" i="1"/>
  <c r="J41" i="1" s="1"/>
  <c r="C42" i="1" l="1"/>
  <c r="K41" i="1" l="1"/>
  <c r="I42" i="1"/>
  <c r="M42" i="1" s="1"/>
  <c r="D42" i="1"/>
  <c r="N42" i="1" s="1"/>
  <c r="L42" i="1" l="1"/>
  <c r="H42" i="1"/>
  <c r="F42" i="1" s="1"/>
  <c r="G42" i="1"/>
  <c r="O42" i="1"/>
  <c r="J42" i="1" s="1"/>
  <c r="C43" i="1" l="1"/>
  <c r="K42" i="1" l="1"/>
  <c r="I43" i="1"/>
  <c r="M43" i="1" s="1"/>
  <c r="D43" i="1"/>
  <c r="L43" i="1" l="1"/>
  <c r="N43" i="1"/>
  <c r="G43" i="1"/>
  <c r="O43" i="1" l="1"/>
  <c r="J43" i="1" s="1"/>
  <c r="H43" i="1"/>
  <c r="F43" i="1" s="1"/>
  <c r="C44" i="1"/>
  <c r="I44" i="1" l="1"/>
  <c r="D44" i="1"/>
  <c r="N44" i="1" l="1"/>
  <c r="H44" i="1" s="1"/>
  <c r="F44" i="1" s="1"/>
  <c r="M44" i="1"/>
  <c r="K43" i="1"/>
  <c r="O44" i="1" l="1"/>
  <c r="J44" i="1" s="1"/>
  <c r="G44" i="1"/>
  <c r="L44" i="1"/>
  <c r="C45" i="1"/>
  <c r="D45" i="1" s="1"/>
  <c r="N45" i="1" l="1"/>
  <c r="K44" i="1"/>
  <c r="I45" i="1"/>
  <c r="M45" i="1" s="1"/>
  <c r="H45" i="1"/>
  <c r="L45" i="1" l="1"/>
  <c r="G45" i="1"/>
  <c r="F45" i="1"/>
  <c r="O45" i="1"/>
  <c r="J45" i="1" s="1"/>
  <c r="C46" i="1" l="1"/>
  <c r="K45" i="1" l="1"/>
  <c r="D46" i="1"/>
  <c r="I46" i="1"/>
  <c r="M46" i="1" s="1"/>
  <c r="L46" i="1" l="1"/>
  <c r="N46" i="1"/>
  <c r="G46" i="1"/>
  <c r="H46" i="1" l="1"/>
  <c r="F46" i="1" s="1"/>
  <c r="O46" i="1"/>
  <c r="J46" i="1" s="1"/>
  <c r="C47" i="1"/>
  <c r="I47" i="1" l="1"/>
  <c r="D47" i="1"/>
  <c r="N47" i="1" l="1"/>
  <c r="M47" i="1"/>
  <c r="K46" i="1"/>
  <c r="H47" i="1"/>
  <c r="F47" i="1" s="1"/>
  <c r="O47" i="1"/>
  <c r="J47" i="1" l="1"/>
  <c r="L47" i="1"/>
  <c r="G47" i="1"/>
  <c r="C48" i="1"/>
  <c r="K47" i="1" l="1"/>
  <c r="I48" i="1"/>
  <c r="M48" i="1" s="1"/>
  <c r="D48" i="1"/>
  <c r="N48" i="1" s="1"/>
  <c r="L48" i="1" l="1"/>
  <c r="H48" i="1"/>
  <c r="F48" i="1" s="1"/>
  <c r="G48" i="1"/>
  <c r="O48" i="1"/>
  <c r="J48" i="1" s="1"/>
  <c r="C49" i="1" l="1"/>
  <c r="K48" i="1" l="1"/>
  <c r="I49" i="1"/>
  <c r="M49" i="1"/>
  <c r="D49" i="1"/>
  <c r="N49" i="1" s="1"/>
  <c r="L49" i="1" l="1"/>
  <c r="H49" i="1"/>
  <c r="F49" i="1" s="1"/>
  <c r="G49" i="1"/>
  <c r="O49" i="1"/>
  <c r="J49" i="1" s="1"/>
  <c r="C50" i="1" l="1"/>
  <c r="K49" i="1" l="1"/>
  <c r="I50" i="1"/>
  <c r="M50" i="1" s="1"/>
  <c r="D50" i="1"/>
  <c r="N50" i="1" s="1"/>
  <c r="L50" i="1" l="1"/>
  <c r="H50" i="1"/>
  <c r="F50" i="1" s="1"/>
  <c r="G50" i="1"/>
  <c r="O50" i="1"/>
  <c r="J50" i="1" s="1"/>
  <c r="C51" i="1" l="1"/>
  <c r="I51" i="1" s="1"/>
  <c r="K50" i="1" l="1"/>
  <c r="D51" i="1"/>
  <c r="N51" i="1" s="1"/>
  <c r="M51" i="1"/>
  <c r="L51" i="1" l="1"/>
  <c r="H51" i="1"/>
  <c r="F51" i="1" s="1"/>
  <c r="G51" i="1"/>
  <c r="O51" i="1"/>
  <c r="J51" i="1" s="1"/>
  <c r="C52" i="1" l="1"/>
  <c r="I52" i="1" s="1"/>
  <c r="K51" i="1" l="1"/>
  <c r="D52" i="1"/>
  <c r="N52" i="1" s="1"/>
  <c r="M52" i="1"/>
  <c r="L52" i="1" l="1"/>
  <c r="H52" i="1"/>
  <c r="F52" i="1" s="1"/>
  <c r="G52" i="1"/>
  <c r="O52" i="1"/>
  <c r="J52" i="1" s="1"/>
  <c r="C53" i="1" l="1"/>
  <c r="I53" i="1" s="1"/>
  <c r="M53" i="1" s="1"/>
  <c r="L53" i="1" s="1"/>
  <c r="K52" i="1" l="1"/>
  <c r="D53" i="1"/>
  <c r="N53" i="1" s="1"/>
  <c r="G53" i="1" l="1"/>
  <c r="H53" i="1"/>
  <c r="F53" i="1" s="1"/>
  <c r="O53" i="1"/>
  <c r="J53" i="1" s="1"/>
  <c r="C54" i="1" l="1"/>
  <c r="I54" i="1" s="1"/>
  <c r="K53" i="1" l="1"/>
  <c r="D54" i="1"/>
  <c r="N54" i="1" s="1"/>
  <c r="M54" i="1"/>
  <c r="L54" i="1" l="1"/>
  <c r="H54" i="1"/>
  <c r="F54" i="1" s="1"/>
  <c r="G54" i="1"/>
  <c r="O54" i="1"/>
  <c r="J54" i="1" s="1"/>
  <c r="C55" i="1" l="1"/>
  <c r="I55" i="1" s="1"/>
  <c r="K54" i="1" l="1"/>
  <c r="D55" i="1"/>
  <c r="N55" i="1" s="1"/>
  <c r="M55" i="1"/>
  <c r="L55" i="1" l="1"/>
  <c r="H55" i="1"/>
  <c r="F55" i="1" s="1"/>
  <c r="G55" i="1"/>
  <c r="O55" i="1"/>
  <c r="J55" i="1" s="1"/>
  <c r="C56" i="1" l="1"/>
  <c r="I56" i="1" s="1"/>
  <c r="K55" i="1" l="1"/>
  <c r="D56" i="1"/>
  <c r="N56" i="1" s="1"/>
  <c r="M56" i="1"/>
  <c r="L56" i="1" l="1"/>
  <c r="H56" i="1"/>
  <c r="F56" i="1" s="1"/>
  <c r="G56" i="1"/>
  <c r="O56" i="1"/>
  <c r="J56" i="1" s="1"/>
  <c r="C57" i="1" l="1"/>
  <c r="I57" i="1" s="1"/>
  <c r="K56" i="1" l="1"/>
  <c r="M57" i="1"/>
  <c r="D57" i="1"/>
  <c r="N57" i="1" s="1"/>
  <c r="L57" i="1" l="1"/>
  <c r="H57" i="1"/>
  <c r="F57" i="1" s="1"/>
  <c r="G57" i="1"/>
  <c r="O57" i="1"/>
  <c r="J57" i="1" s="1"/>
  <c r="C58" i="1" l="1"/>
  <c r="K57" i="1" l="1"/>
  <c r="I58" i="1"/>
  <c r="M58" i="1" s="1"/>
  <c r="D58" i="1"/>
  <c r="L58" i="1" l="1"/>
  <c r="N58" i="1"/>
  <c r="G58" i="1"/>
  <c r="O58" i="1" l="1"/>
  <c r="J58" i="1" s="1"/>
  <c r="H58" i="1"/>
  <c r="F58" i="1" s="1"/>
  <c r="C59" i="1"/>
  <c r="I59" i="1" s="1"/>
  <c r="D59" i="1" l="1"/>
  <c r="M59" i="1" l="1"/>
  <c r="N59" i="1"/>
  <c r="H59" i="1" s="1"/>
  <c r="F59" i="1" s="1"/>
  <c r="K58" i="1"/>
  <c r="O59" i="1" l="1"/>
  <c r="J59" i="1" s="1"/>
  <c r="L59" i="1"/>
  <c r="G59" i="1"/>
  <c r="C60" i="1"/>
  <c r="I60" i="1" s="1"/>
  <c r="K59" i="1" l="1"/>
  <c r="M60" i="1"/>
  <c r="D60" i="1"/>
  <c r="N60" i="1" s="1"/>
  <c r="L60" i="1" l="1"/>
  <c r="H60" i="1"/>
  <c r="F60" i="1" s="1"/>
  <c r="G60" i="1"/>
  <c r="O60" i="1"/>
  <c r="J60" i="1" s="1"/>
  <c r="C61" i="1" l="1"/>
  <c r="I61" i="1" s="1"/>
  <c r="K60" i="1" l="1"/>
  <c r="D61" i="1"/>
  <c r="N61" i="1" s="1"/>
  <c r="M61" i="1"/>
  <c r="L61" i="1" l="1"/>
  <c r="H61" i="1"/>
  <c r="F61" i="1" s="1"/>
  <c r="G61" i="1"/>
  <c r="O61" i="1"/>
  <c r="J61" i="1" s="1"/>
  <c r="C62" i="1" l="1"/>
  <c r="I62" i="1" s="1"/>
  <c r="K61" i="1" l="1"/>
  <c r="D62" i="1"/>
  <c r="N62" i="1" s="1"/>
  <c r="M62" i="1"/>
  <c r="G62" i="1" l="1"/>
  <c r="H62" i="1"/>
  <c r="F62" i="1" s="1"/>
  <c r="L62" i="1"/>
  <c r="O62" i="1"/>
  <c r="J62" i="1" s="1"/>
  <c r="C63" i="1" l="1"/>
  <c r="I63" i="1" s="1"/>
  <c r="K62" i="1" l="1"/>
  <c r="D63" i="1"/>
  <c r="N63" i="1" s="1"/>
  <c r="M63" i="1"/>
  <c r="L63" i="1" l="1"/>
  <c r="H63" i="1"/>
  <c r="F63" i="1" s="1"/>
  <c r="G63" i="1"/>
  <c r="O63" i="1"/>
  <c r="J63" i="1" s="1"/>
  <c r="C64" i="1" l="1"/>
  <c r="K63" i="1" l="1"/>
  <c r="I64" i="1"/>
  <c r="M64" i="1" s="1"/>
  <c r="D64" i="1"/>
  <c r="N64" i="1" s="1"/>
  <c r="L64" i="1" l="1"/>
  <c r="O64" i="1"/>
  <c r="J64" i="1" s="1"/>
  <c r="H64" i="1"/>
  <c r="F64" i="1" s="1"/>
  <c r="G64" i="1"/>
  <c r="C65" i="1" l="1"/>
  <c r="I65" i="1" s="1"/>
  <c r="K64" i="1" l="1"/>
  <c r="D65" i="1"/>
  <c r="N65" i="1" s="1"/>
  <c r="M65" i="1"/>
  <c r="L65" i="1" l="1"/>
  <c r="H65" i="1"/>
  <c r="F65" i="1" s="1"/>
  <c r="G65" i="1"/>
  <c r="O65" i="1"/>
  <c r="J65" i="1" s="1"/>
  <c r="C66" i="1" l="1"/>
  <c r="I66" i="1" s="1"/>
  <c r="K65" i="1" l="1"/>
  <c r="D66" i="1"/>
  <c r="N66" i="1" s="1"/>
  <c r="M66" i="1"/>
  <c r="L66" i="1" l="1"/>
  <c r="H66" i="1"/>
  <c r="F66" i="1" s="1"/>
  <c r="G66" i="1"/>
  <c r="O66" i="1"/>
  <c r="J66" i="1" s="1"/>
  <c r="C67" i="1" l="1"/>
  <c r="I67" i="1" s="1"/>
  <c r="K66" i="1" l="1"/>
  <c r="D67" i="1"/>
  <c r="N67" i="1" s="1"/>
  <c r="M67" i="1"/>
  <c r="L67" i="1" l="1"/>
  <c r="H67" i="1"/>
  <c r="F67" i="1" s="1"/>
  <c r="G67" i="1"/>
  <c r="O67" i="1"/>
  <c r="J67" i="1" s="1"/>
  <c r="C68" i="1" l="1"/>
  <c r="I68" i="1" s="1"/>
  <c r="K67" i="1" l="1"/>
  <c r="D68" i="1"/>
  <c r="N68" i="1" s="1"/>
  <c r="M68" i="1"/>
  <c r="L68" i="1" l="1"/>
  <c r="H68" i="1"/>
  <c r="F68" i="1" s="1"/>
  <c r="G68" i="1"/>
  <c r="O68" i="1"/>
  <c r="J68" i="1" s="1"/>
  <c r="C69" i="1" l="1"/>
  <c r="I69" i="1" s="1"/>
  <c r="K68" i="1" l="1"/>
  <c r="D69" i="1"/>
  <c r="N69" i="1" s="1"/>
  <c r="M69" i="1"/>
  <c r="L69" i="1" l="1"/>
  <c r="H69" i="1"/>
  <c r="F69" i="1" s="1"/>
  <c r="G69" i="1"/>
  <c r="O69" i="1"/>
  <c r="J69" i="1" s="1"/>
  <c r="C70" i="1" l="1"/>
  <c r="I70" i="1" s="1"/>
  <c r="K69" i="1" l="1"/>
  <c r="D70" i="1"/>
  <c r="N70" i="1" s="1"/>
  <c r="M70" i="1"/>
  <c r="L70" i="1" l="1"/>
  <c r="H70" i="1"/>
  <c r="F70" i="1" s="1"/>
  <c r="G70" i="1"/>
  <c r="O70" i="1"/>
  <c r="J70" i="1" s="1"/>
  <c r="C71" i="1" l="1"/>
  <c r="I71" i="1" s="1"/>
  <c r="K70" i="1" l="1"/>
  <c r="D71" i="1"/>
  <c r="N71" i="1" s="1"/>
  <c r="M71" i="1"/>
  <c r="L71" i="1" l="1"/>
  <c r="H71" i="1"/>
  <c r="F71" i="1" s="1"/>
  <c r="G71" i="1"/>
  <c r="O71" i="1"/>
  <c r="J71" i="1" s="1"/>
  <c r="C72" i="1" l="1"/>
  <c r="I72" i="1" s="1"/>
  <c r="K71" i="1" l="1"/>
  <c r="M72" i="1"/>
  <c r="D72" i="1"/>
  <c r="N72" i="1" s="1"/>
  <c r="L72" i="1" l="1"/>
  <c r="H72" i="1"/>
  <c r="F72" i="1" s="1"/>
  <c r="G72" i="1"/>
  <c r="O72" i="1"/>
  <c r="J72" i="1" s="1"/>
  <c r="C73" i="1" l="1"/>
  <c r="I73" i="1" s="1"/>
  <c r="K72" i="1" l="1"/>
  <c r="D73" i="1"/>
  <c r="N73" i="1" s="1"/>
  <c r="M73" i="1"/>
  <c r="L73" i="1" l="1"/>
  <c r="H73" i="1"/>
  <c r="F73" i="1" s="1"/>
  <c r="G73" i="1"/>
  <c r="O73" i="1"/>
  <c r="J73" i="1" s="1"/>
  <c r="C74" i="1" l="1"/>
  <c r="I74" i="1" s="1"/>
  <c r="K73" i="1" l="1"/>
  <c r="M74" i="1"/>
  <c r="D74" i="1"/>
  <c r="N74" i="1" s="1"/>
  <c r="L74" i="1" l="1"/>
  <c r="H74" i="1"/>
  <c r="F74" i="1" s="1"/>
  <c r="G74" i="1"/>
  <c r="O74" i="1"/>
  <c r="J74" i="1" s="1"/>
  <c r="C75" i="1" l="1"/>
  <c r="I75" i="1" s="1"/>
  <c r="K74" i="1" l="1"/>
  <c r="D75" i="1"/>
  <c r="N75" i="1" s="1"/>
  <c r="M75" i="1"/>
  <c r="L75" i="1" l="1"/>
  <c r="H75" i="1"/>
  <c r="F75" i="1" s="1"/>
  <c r="G75" i="1"/>
  <c r="O75" i="1"/>
  <c r="J75" i="1" s="1"/>
  <c r="C76" i="1" l="1"/>
  <c r="I76" i="1" s="1"/>
  <c r="M76" i="1" s="1"/>
  <c r="L76" i="1" s="1"/>
  <c r="K75" i="1" l="1"/>
  <c r="D76" i="1"/>
  <c r="N76" i="1" s="1"/>
  <c r="G76" i="1" l="1"/>
  <c r="H76" i="1"/>
  <c r="F76" i="1" s="1"/>
  <c r="O76" i="1"/>
  <c r="J76" i="1" s="1"/>
  <c r="C77" i="1" l="1"/>
  <c r="I77" i="1" s="1"/>
  <c r="K76" i="1" l="1"/>
  <c r="D77" i="1"/>
  <c r="N77" i="1" s="1"/>
  <c r="M77" i="1"/>
  <c r="L77" i="1" l="1"/>
  <c r="H77" i="1"/>
  <c r="F77" i="1" s="1"/>
  <c r="G77" i="1"/>
  <c r="O77" i="1"/>
  <c r="J77" i="1" s="1"/>
  <c r="C78" i="1" l="1"/>
  <c r="I78" i="1" s="1"/>
  <c r="K77" i="1" l="1"/>
  <c r="M78" i="1"/>
  <c r="D78" i="1"/>
  <c r="N78" i="1" s="1"/>
  <c r="L78" i="1" l="1"/>
  <c r="H78" i="1"/>
  <c r="F78" i="1" s="1"/>
  <c r="G78" i="1"/>
  <c r="O78" i="1"/>
  <c r="J78" i="1" s="1"/>
  <c r="C79" i="1" l="1"/>
  <c r="I79" i="1" s="1"/>
  <c r="K78" i="1" l="1"/>
  <c r="D79" i="1"/>
  <c r="N79" i="1" s="1"/>
  <c r="M79" i="1"/>
  <c r="L79" i="1" l="1"/>
  <c r="H79" i="1"/>
  <c r="F79" i="1" s="1"/>
  <c r="G79" i="1"/>
  <c r="O79" i="1"/>
  <c r="J79" i="1" s="1"/>
  <c r="C80" i="1" l="1"/>
  <c r="I80" i="1" s="1"/>
  <c r="M80" i="1" s="1"/>
  <c r="L80" i="1" s="1"/>
  <c r="K79" i="1" l="1"/>
  <c r="D80" i="1"/>
  <c r="N80" i="1" s="1"/>
  <c r="H80" i="1" l="1"/>
  <c r="F80" i="1" s="1"/>
  <c r="G80" i="1"/>
  <c r="O80" i="1"/>
  <c r="J80" i="1" s="1"/>
  <c r="C81" i="1" l="1"/>
  <c r="K80" i="1" l="1"/>
  <c r="I81" i="1"/>
  <c r="M81" i="1" s="1"/>
  <c r="D81" i="1"/>
  <c r="L81" i="1" l="1"/>
  <c r="N81" i="1"/>
  <c r="G81" i="1"/>
  <c r="O81" i="1" l="1"/>
  <c r="J81" i="1" s="1"/>
  <c r="H81" i="1"/>
  <c r="F81" i="1" s="1"/>
  <c r="C82" i="1"/>
  <c r="I82" i="1" s="1"/>
  <c r="M82" i="1" l="1"/>
  <c r="L82" i="1" s="1"/>
  <c r="D82" i="1"/>
  <c r="N82" i="1" l="1"/>
  <c r="H82" i="1" s="1"/>
  <c r="F82" i="1" s="1"/>
  <c r="K81" i="1"/>
  <c r="G82" i="1"/>
  <c r="O82" i="1" l="1"/>
  <c r="J82" i="1" s="1"/>
  <c r="C83" i="1"/>
  <c r="I83" i="1" s="1"/>
  <c r="M83" i="1" l="1"/>
  <c r="K82" i="1"/>
  <c r="D83" i="1"/>
  <c r="L83" i="1" l="1"/>
  <c r="N83" i="1"/>
  <c r="G83" i="1"/>
  <c r="H83" i="1" l="1"/>
  <c r="F83" i="1" s="1"/>
  <c r="O83" i="1"/>
  <c r="J83" i="1" s="1"/>
  <c r="C84" i="1"/>
  <c r="I84" i="1" s="1"/>
  <c r="D84" i="1" l="1"/>
  <c r="M84" i="1"/>
  <c r="L84" i="1" l="1"/>
  <c r="N84" i="1"/>
  <c r="H84" i="1" s="1"/>
  <c r="F84" i="1" s="1"/>
  <c r="K83" i="1"/>
  <c r="G84" i="1"/>
  <c r="O84" i="1" l="1"/>
  <c r="J84" i="1" s="1"/>
  <c r="C85" i="1"/>
  <c r="I85" i="1" s="1"/>
  <c r="K84" i="1" l="1"/>
  <c r="M85" i="1"/>
  <c r="D85" i="1"/>
  <c r="N85" i="1" s="1"/>
  <c r="L85" i="1" l="1"/>
  <c r="G85" i="1"/>
  <c r="H85" i="1"/>
  <c r="F85" i="1" s="1"/>
  <c r="O85" i="1"/>
  <c r="J85" i="1" s="1"/>
  <c r="C86" i="1" l="1"/>
  <c r="I86" i="1" s="1"/>
  <c r="M86" i="1" l="1"/>
  <c r="K85" i="1"/>
  <c r="D86" i="1"/>
  <c r="L86" i="1" l="1"/>
  <c r="N86" i="1"/>
  <c r="G86" i="1"/>
  <c r="H86" i="1" l="1"/>
  <c r="F86" i="1" s="1"/>
  <c r="O86" i="1"/>
  <c r="J86" i="1" s="1"/>
  <c r="C87" i="1"/>
  <c r="I87" i="1" s="1"/>
  <c r="D87" i="1" l="1"/>
  <c r="M87" i="1" l="1"/>
  <c r="N87" i="1"/>
  <c r="H87" i="1" s="1"/>
  <c r="F87" i="1" s="1"/>
  <c r="K86" i="1"/>
  <c r="G87" i="1" l="1"/>
  <c r="L87" i="1"/>
  <c r="O87" i="1"/>
  <c r="J87" i="1" s="1"/>
  <c r="C88" i="1"/>
  <c r="I88" i="1" s="1"/>
  <c r="D88" i="1" l="1"/>
  <c r="N88" i="1" l="1"/>
  <c r="M88" i="1"/>
  <c r="K87" i="1"/>
  <c r="H88" i="1"/>
  <c r="F88" i="1" s="1"/>
  <c r="O88" i="1"/>
  <c r="J88" i="1" l="1"/>
  <c r="L88" i="1"/>
  <c r="G88" i="1"/>
  <c r="C89" i="1"/>
  <c r="I89" i="1" s="1"/>
  <c r="K88" i="1" l="1"/>
  <c r="D89" i="1"/>
  <c r="N89" i="1" s="1"/>
  <c r="M89" i="1"/>
  <c r="L89" i="1" l="1"/>
  <c r="H89" i="1"/>
  <c r="F89" i="1" s="1"/>
  <c r="G89" i="1"/>
  <c r="O89" i="1"/>
  <c r="J89" i="1" s="1"/>
  <c r="C90" i="1" l="1"/>
  <c r="I90" i="1" s="1"/>
  <c r="K89" i="1" l="1"/>
  <c r="D90" i="1"/>
  <c r="N90" i="1" s="1"/>
  <c r="H90" i="1" l="1"/>
  <c r="F90" i="1" s="1"/>
  <c r="M90" i="1"/>
  <c r="J90" i="1" s="1"/>
  <c r="O90" i="1"/>
  <c r="K90" i="1" l="1"/>
  <c r="L90" i="1"/>
  <c r="G90" i="1"/>
  <c r="C91" i="1" l="1"/>
  <c r="I91" i="1" s="1"/>
  <c r="D91" i="1" l="1"/>
  <c r="N91" i="1" s="1"/>
  <c r="H91" i="1" l="1"/>
  <c r="F91" i="1" s="1"/>
  <c r="M91" i="1"/>
  <c r="J91" i="1" s="1"/>
  <c r="O91" i="1"/>
  <c r="L91" i="1" l="1"/>
  <c r="K91" i="1"/>
  <c r="G91" i="1"/>
  <c r="C92" i="1" l="1"/>
  <c r="I92" i="1" s="1"/>
  <c r="D92" i="1" l="1"/>
  <c r="N92" i="1" s="1"/>
  <c r="H92" i="1" s="1"/>
  <c r="M92" i="1"/>
  <c r="G92" i="1" l="1"/>
  <c r="L92" i="1"/>
  <c r="F92" i="1" l="1"/>
  <c r="O92" i="1"/>
  <c r="J92" i="1" s="1"/>
  <c r="C93" i="1" l="1"/>
  <c r="I93" i="1" s="1"/>
  <c r="K92" i="1" l="1"/>
  <c r="D93" i="1"/>
  <c r="N93" i="1" s="1"/>
  <c r="H93" i="1" l="1"/>
  <c r="F93" i="1" s="1"/>
  <c r="M93" i="1"/>
  <c r="J93" i="1" s="1"/>
  <c r="O93" i="1"/>
  <c r="K93" i="1" l="1"/>
  <c r="L93" i="1"/>
  <c r="G93" i="1"/>
  <c r="C94" i="1" l="1"/>
  <c r="I94" i="1" s="1"/>
  <c r="D94" i="1" l="1"/>
  <c r="N94" i="1" s="1"/>
  <c r="H94" i="1" l="1"/>
  <c r="F94" i="1" s="1"/>
  <c r="M94" i="1"/>
  <c r="O94" i="1"/>
  <c r="J94" i="1" l="1"/>
  <c r="K94" i="1" s="1"/>
  <c r="L94" i="1"/>
  <c r="G94" i="1"/>
  <c r="C95" i="1" l="1"/>
  <c r="I95" i="1" l="1"/>
  <c r="M95" i="1" s="1"/>
  <c r="D95" i="1"/>
  <c r="L95" i="1" l="1"/>
  <c r="N95" i="1"/>
  <c r="G95" i="1"/>
  <c r="O95" i="1" l="1"/>
  <c r="J95" i="1" s="1"/>
  <c r="H95" i="1"/>
  <c r="F95" i="1" s="1"/>
  <c r="C96" i="1"/>
  <c r="I96" i="1" s="1"/>
  <c r="D96" i="1" l="1"/>
  <c r="N96" i="1" s="1"/>
  <c r="M96" i="1"/>
  <c r="L96" i="1" l="1"/>
  <c r="K95" i="1"/>
  <c r="H96" i="1"/>
  <c r="F96" i="1" s="1"/>
  <c r="G96" i="1"/>
  <c r="O96" i="1"/>
  <c r="J96" i="1" s="1"/>
  <c r="C97" i="1" l="1"/>
  <c r="I97" i="1" s="1"/>
  <c r="K96" i="1" l="1"/>
  <c r="D97" i="1"/>
  <c r="N97" i="1" s="1"/>
  <c r="M97" i="1"/>
  <c r="L97" i="1" l="1"/>
  <c r="H97" i="1"/>
  <c r="F97" i="1" s="1"/>
  <c r="G97" i="1"/>
  <c r="O97" i="1"/>
  <c r="J97" i="1" s="1"/>
  <c r="C98" i="1" l="1"/>
  <c r="P99" i="1"/>
  <c r="K97" i="1" l="1"/>
  <c r="I98" i="1"/>
  <c r="C99" i="1"/>
  <c r="D98" i="1"/>
  <c r="N98" i="1" s="1"/>
  <c r="H98" i="1" l="1"/>
  <c r="I99" i="1"/>
  <c r="M98" i="1"/>
  <c r="G98" i="1" l="1"/>
  <c r="F98" i="1"/>
  <c r="F99" i="1" s="1"/>
  <c r="L98" i="1"/>
  <c r="M99" i="1"/>
  <c r="H99" i="1"/>
  <c r="O98" i="1"/>
  <c r="O99" i="1" s="1"/>
  <c r="N99" i="1"/>
  <c r="J98" i="1" l="1"/>
  <c r="D99" i="1"/>
  <c r="D102" i="1" s="1"/>
  <c r="L99" i="1"/>
  <c r="G99" i="1"/>
  <c r="J99" i="1" l="1"/>
  <c r="K104" i="1"/>
  <c r="K98" i="1"/>
  <c r="K99" i="1" s="1"/>
  <c r="K103" i="1"/>
  <c r="K102" i="1"/>
  <c r="K1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Pech</author>
  </authors>
  <commentList>
    <comment ref="J2" authorId="0" shapeId="0" xr:uid="{61062CA8-517A-4455-B52F-EDC39BF731DB}">
      <text>
        <r>
          <rPr>
            <b/>
            <sz val="9"/>
            <color indexed="81"/>
            <rFont val="Tahoma"/>
            <family val="2"/>
            <charset val="238"/>
          </rPr>
          <t>Pavel Pech: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Pech</author>
  </authors>
  <commentList>
    <comment ref="J2" authorId="0" shapeId="0" xr:uid="{70C3CCAC-15AB-46A0-A69F-E243DA7BDFD5}">
      <text>
        <r>
          <rPr>
            <b/>
            <sz val="9"/>
            <color indexed="81"/>
            <rFont val="Tahoma"/>
            <family val="2"/>
            <charset val="238"/>
          </rPr>
          <t>Pavel Pech: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Pech</author>
  </authors>
  <commentList>
    <comment ref="J2" authorId="0" shapeId="0" xr:uid="{F605C171-7622-4C71-B31F-07D29592A367}">
      <text>
        <r>
          <rPr>
            <b/>
            <sz val="9"/>
            <color indexed="81"/>
            <rFont val="Tahoma"/>
            <family val="2"/>
            <charset val="238"/>
          </rPr>
          <t>Pavel Pech: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Pech</author>
  </authors>
  <commentList>
    <comment ref="J2" authorId="0" shapeId="0" xr:uid="{2C79B7DA-3CC3-40D8-BD4F-DD10DE0AF916}">
      <text>
        <r>
          <rPr>
            <b/>
            <sz val="9"/>
            <color indexed="81"/>
            <rFont val="Tahoma"/>
            <family val="2"/>
            <charset val="238"/>
          </rPr>
          <t>Pavel Pech: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Pech</author>
  </authors>
  <commentList>
    <comment ref="J2" authorId="0" shapeId="0" xr:uid="{289245D6-0DF4-434D-B6D6-61D966E9A01B}">
      <text>
        <r>
          <rPr>
            <b/>
            <sz val="9"/>
            <color indexed="81"/>
            <rFont val="Tahoma"/>
            <family val="2"/>
            <charset val="238"/>
          </rPr>
          <t>Pavel Pech: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 Pech</author>
  </authors>
  <commentList>
    <comment ref="J2" authorId="0" shapeId="0" xr:uid="{FB77734F-42FE-45AB-84BD-577850EC2A52}">
      <text>
        <r>
          <rPr>
            <b/>
            <sz val="9"/>
            <color indexed="81"/>
            <rFont val="Tahoma"/>
            <family val="2"/>
            <charset val="238"/>
          </rPr>
          <t>Pavel Pech: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<sst xmlns="http://schemas.openxmlformats.org/spreadsheetml/2006/main" count="1675" uniqueCount="317">
  <si>
    <t>Spotřeba</t>
  </si>
  <si>
    <t>Výroba FVE</t>
  </si>
  <si>
    <t>Odběr z DS</t>
  </si>
  <si>
    <t>Přetok do DS</t>
  </si>
  <si>
    <t>kWh</t>
  </si>
  <si>
    <t xml:space="preserve">Σ </t>
  </si>
  <si>
    <t>Bilance</t>
  </si>
  <si>
    <t>Stav baterie</t>
  </si>
  <si>
    <t>Kapacita baterie</t>
  </si>
  <si>
    <t>DOD</t>
  </si>
  <si>
    <t>Soc Max</t>
  </si>
  <si>
    <t>Soc Min</t>
  </si>
  <si>
    <t>Stridac limit</t>
  </si>
  <si>
    <t>Účinnost cyklu</t>
  </si>
  <si>
    <t>CAPEX</t>
  </si>
  <si>
    <t>OPEX</t>
  </si>
  <si>
    <t>Životnost</t>
  </si>
  <si>
    <t>Diskontní sazba</t>
  </si>
  <si>
    <t>Degradace</t>
  </si>
  <si>
    <t>Roční výroba</t>
  </si>
  <si>
    <t xml:space="preserve">Roční výroba </t>
  </si>
  <si>
    <t>Kč/kWh</t>
  </si>
  <si>
    <t>LCOE</t>
  </si>
  <si>
    <t>Amortizace</t>
  </si>
  <si>
    <t>Cena kWh z baterie</t>
  </si>
  <si>
    <t xml:space="preserve">(LCOE/Úč. Cyklu) </t>
  </si>
  <si>
    <t xml:space="preserve">Soběstačnost </t>
  </si>
  <si>
    <t>Nabíjení (Netto)</t>
  </si>
  <si>
    <t>Nabíjení (Brutto)</t>
  </si>
  <si>
    <t>Vybíjení (Netto)</t>
  </si>
  <si>
    <t>Vybíjení (Brutto)</t>
  </si>
  <si>
    <t>1000.0,25</t>
  </si>
  <si>
    <t>vysavač R</t>
  </si>
  <si>
    <t>30.0,25</t>
  </si>
  <si>
    <t>vysavač F</t>
  </si>
  <si>
    <t>1500.0,25</t>
  </si>
  <si>
    <t>Sušička</t>
  </si>
  <si>
    <t>v</t>
  </si>
  <si>
    <t>2100.0,25</t>
  </si>
  <si>
    <t xml:space="preserve">Pračka </t>
  </si>
  <si>
    <t>2200.0,25</t>
  </si>
  <si>
    <t xml:space="preserve">Myčka </t>
  </si>
  <si>
    <t>1 polt. 1,500</t>
  </si>
  <si>
    <t>6000.0,25</t>
  </si>
  <si>
    <t xml:space="preserve">Elektrický sporák </t>
  </si>
  <si>
    <t>3000.0,25</t>
  </si>
  <si>
    <t xml:space="preserve">Trouba Gorenje </t>
  </si>
  <si>
    <t>120.0,25</t>
  </si>
  <si>
    <t xml:space="preserve">Chladnička Siemens </t>
  </si>
  <si>
    <t>Mikrovlnka Whirlpool</t>
  </si>
  <si>
    <t>800.0,25</t>
  </si>
  <si>
    <t>Topinkovač WMF</t>
  </si>
  <si>
    <t>1300.0,25</t>
  </si>
  <si>
    <t xml:space="preserve">Kávovár </t>
  </si>
  <si>
    <t>100.0,25</t>
  </si>
  <si>
    <t>Notebook</t>
  </si>
  <si>
    <t>250.0,25</t>
  </si>
  <si>
    <t>Počítač HAL300</t>
  </si>
  <si>
    <t>21.25</t>
  </si>
  <si>
    <t>85.0,25</t>
  </si>
  <si>
    <t>Televize</t>
  </si>
  <si>
    <t>200.0,25</t>
  </si>
  <si>
    <t>Elektrické žaluzie</t>
  </si>
  <si>
    <t>20.0,25</t>
  </si>
  <si>
    <t>Radio</t>
  </si>
  <si>
    <t>15.0,25</t>
  </si>
  <si>
    <t>Tablet</t>
  </si>
  <si>
    <t>60.0,25</t>
  </si>
  <si>
    <t xml:space="preserve">Mobilni telefony </t>
  </si>
  <si>
    <t>90. 0,25</t>
  </si>
  <si>
    <t>Led osvětlení</t>
  </si>
  <si>
    <t>W</t>
  </si>
  <si>
    <t>Plynový kotel + ohřev vody + topení</t>
  </si>
  <si>
    <t xml:space="preserve">klidová spotřeba </t>
  </si>
  <si>
    <t xml:space="preserve"> 23:45h</t>
  </si>
  <si>
    <t xml:space="preserve"> 23:30h</t>
  </si>
  <si>
    <t xml:space="preserve"> 23:15h</t>
  </si>
  <si>
    <t xml:space="preserve"> 23:00h</t>
  </si>
  <si>
    <t xml:space="preserve"> 22:45h</t>
  </si>
  <si>
    <t xml:space="preserve"> 22:30h</t>
  </si>
  <si>
    <t xml:space="preserve"> 22:15h</t>
  </si>
  <si>
    <t xml:space="preserve"> 22:00h</t>
  </si>
  <si>
    <t xml:space="preserve"> 21:45h</t>
  </si>
  <si>
    <t xml:space="preserve"> 21:30h</t>
  </si>
  <si>
    <t xml:space="preserve"> 21:15h</t>
  </si>
  <si>
    <t xml:space="preserve"> 21:00h</t>
  </si>
  <si>
    <t xml:space="preserve"> 20:45h</t>
  </si>
  <si>
    <t xml:space="preserve"> 20:30h</t>
  </si>
  <si>
    <t xml:space="preserve"> 20:15h</t>
  </si>
  <si>
    <t>20:00h</t>
  </si>
  <si>
    <t xml:space="preserve"> 19:45h</t>
  </si>
  <si>
    <t xml:space="preserve"> 19:30h</t>
  </si>
  <si>
    <t xml:space="preserve"> 19:15h</t>
  </si>
  <si>
    <t xml:space="preserve"> 19:00h</t>
  </si>
  <si>
    <t xml:space="preserve"> 18:45h</t>
  </si>
  <si>
    <t xml:space="preserve"> 18:30h</t>
  </si>
  <si>
    <t>18:15h</t>
  </si>
  <si>
    <t xml:space="preserve"> 18:00h</t>
  </si>
  <si>
    <t>17:45h</t>
  </si>
  <si>
    <t xml:space="preserve"> 17:30h</t>
  </si>
  <si>
    <t xml:space="preserve"> 17:15h</t>
  </si>
  <si>
    <t xml:space="preserve"> 17:00h</t>
  </si>
  <si>
    <t xml:space="preserve"> 16:45h</t>
  </si>
  <si>
    <t xml:space="preserve"> 16:30h</t>
  </si>
  <si>
    <t xml:space="preserve"> 16:15h</t>
  </si>
  <si>
    <t xml:space="preserve"> 16:00h</t>
  </si>
  <si>
    <t xml:space="preserve"> 15:45h</t>
  </si>
  <si>
    <t xml:space="preserve"> 15:30h</t>
  </si>
  <si>
    <t>15:15h</t>
  </si>
  <si>
    <t xml:space="preserve"> 15:00h</t>
  </si>
  <si>
    <t xml:space="preserve"> 14:45h</t>
  </si>
  <si>
    <t>14:30h</t>
  </si>
  <si>
    <t>14:15h</t>
  </si>
  <si>
    <t>14:00h</t>
  </si>
  <si>
    <t xml:space="preserve"> 13:45h</t>
  </si>
  <si>
    <t>13:30h</t>
  </si>
  <si>
    <t xml:space="preserve"> 13:15h</t>
  </si>
  <si>
    <t>13:00h</t>
  </si>
  <si>
    <t xml:space="preserve"> 12:45h</t>
  </si>
  <si>
    <t xml:space="preserve"> 12:30h</t>
  </si>
  <si>
    <t xml:space="preserve"> 12:15h</t>
  </si>
  <si>
    <t xml:space="preserve"> 12:00h</t>
  </si>
  <si>
    <t xml:space="preserve"> 11:45h</t>
  </si>
  <si>
    <t xml:space="preserve"> 11:30h</t>
  </si>
  <si>
    <t xml:space="preserve"> 11:15h</t>
  </si>
  <si>
    <t xml:space="preserve"> 11:00h</t>
  </si>
  <si>
    <t xml:space="preserve"> 10:45h</t>
  </si>
  <si>
    <t xml:space="preserve"> 10:30h</t>
  </si>
  <si>
    <t xml:space="preserve"> 10:15h</t>
  </si>
  <si>
    <t xml:space="preserve"> 10:00h</t>
  </si>
  <si>
    <t xml:space="preserve"> 9:45h</t>
  </si>
  <si>
    <t xml:space="preserve"> 9:30h</t>
  </si>
  <si>
    <t>9:15h</t>
  </si>
  <si>
    <t xml:space="preserve"> 9:00h</t>
  </si>
  <si>
    <t xml:space="preserve"> 8:45h</t>
  </si>
  <si>
    <t>8:30h</t>
  </si>
  <si>
    <t xml:space="preserve"> 8:15h</t>
  </si>
  <si>
    <t xml:space="preserve"> 8:00h</t>
  </si>
  <si>
    <t xml:space="preserve"> 7:45h</t>
  </si>
  <si>
    <t xml:space="preserve"> 7:30h</t>
  </si>
  <si>
    <t>7:15h</t>
  </si>
  <si>
    <t>7:00h</t>
  </si>
  <si>
    <t xml:space="preserve"> 6:45h</t>
  </si>
  <si>
    <t xml:space="preserve"> 6:30h</t>
  </si>
  <si>
    <t xml:space="preserve"> 6:15h</t>
  </si>
  <si>
    <t xml:space="preserve"> 6:00h</t>
  </si>
  <si>
    <t>5:45h</t>
  </si>
  <si>
    <t>5:30h</t>
  </si>
  <si>
    <t xml:space="preserve"> 5:15h</t>
  </si>
  <si>
    <t xml:space="preserve"> 5:00h</t>
  </si>
  <si>
    <t xml:space="preserve"> 4:45h</t>
  </si>
  <si>
    <t xml:space="preserve"> 4:30h</t>
  </si>
  <si>
    <t>4:15h</t>
  </si>
  <si>
    <t xml:space="preserve"> 4:00h</t>
  </si>
  <si>
    <t xml:space="preserve"> 3:45h</t>
  </si>
  <si>
    <t xml:space="preserve"> 3:30h</t>
  </si>
  <si>
    <t xml:space="preserve"> 3:15h</t>
  </si>
  <si>
    <t xml:space="preserve"> 3:00h</t>
  </si>
  <si>
    <t xml:space="preserve"> 2:45h</t>
  </si>
  <si>
    <t xml:space="preserve"> 2:30h</t>
  </si>
  <si>
    <t xml:space="preserve"> 2:15h</t>
  </si>
  <si>
    <t xml:space="preserve"> 2:00h</t>
  </si>
  <si>
    <t xml:space="preserve"> 1:45h</t>
  </si>
  <si>
    <t xml:space="preserve"> 1:30h</t>
  </si>
  <si>
    <t xml:space="preserve"> 1:15h</t>
  </si>
  <si>
    <t xml:space="preserve"> 1:00h</t>
  </si>
  <si>
    <t>0:45h</t>
  </si>
  <si>
    <t>0:30h</t>
  </si>
  <si>
    <t>0:15h</t>
  </si>
  <si>
    <t>0:00h</t>
  </si>
  <si>
    <t xml:space="preserve">Spotřeba domácnosti </t>
  </si>
  <si>
    <t xml:space="preserve">Vysavač </t>
  </si>
  <si>
    <t>Topinkovač</t>
  </si>
  <si>
    <t xml:space="preserve"> Notebook</t>
  </si>
  <si>
    <t xml:space="preserve">Kávovar </t>
  </si>
  <si>
    <t xml:space="preserve"> Osvětlení</t>
  </si>
  <si>
    <t>Počítače</t>
  </si>
  <si>
    <t>Elektrická trouba</t>
  </si>
  <si>
    <t>Mikrovlnka</t>
  </si>
  <si>
    <t>Elektrický sporák</t>
  </si>
  <si>
    <t>Mobilní telefon</t>
  </si>
  <si>
    <t xml:space="preserve"> Tablet</t>
  </si>
  <si>
    <t xml:space="preserve">klidové spotřeby domu </t>
  </si>
  <si>
    <t>Čas</t>
  </si>
  <si>
    <t>Datum</t>
  </si>
  <si>
    <t>Soc Kriticke</t>
  </si>
  <si>
    <t>Hybridní střídač</t>
  </si>
  <si>
    <t>Smart meter</t>
  </si>
  <si>
    <t>BMS</t>
  </si>
  <si>
    <t>Datalogger</t>
  </si>
  <si>
    <t xml:space="preserve">Vlastní Spotřeba </t>
  </si>
  <si>
    <t>Vlastní spotřeba</t>
  </si>
  <si>
    <t>1-0,5</t>
  </si>
  <si>
    <t xml:space="preserve"> 3 - 5 w </t>
  </si>
  <si>
    <t xml:space="preserve">leden </t>
  </si>
  <si>
    <t xml:space="preserve"> 2 - 3 w</t>
  </si>
  <si>
    <t xml:space="preserve">říjen </t>
  </si>
  <si>
    <t xml:space="preserve">12 - 16 w </t>
  </si>
  <si>
    <t xml:space="preserve">červenec </t>
  </si>
  <si>
    <t xml:space="preserve"> </t>
  </si>
  <si>
    <t>Spotřeba z baterie</t>
  </si>
  <si>
    <t xml:space="preserve">Soc </t>
  </si>
  <si>
    <t>%</t>
  </si>
  <si>
    <t>Přímá vlastní spotřeba z FVE</t>
  </si>
  <si>
    <t>Popisky řádků</t>
  </si>
  <si>
    <t>(prázdné)</t>
  </si>
  <si>
    <t>Celkový součet</t>
  </si>
  <si>
    <t>Součet z Přímá vlastní spotřeba z FVE</t>
  </si>
  <si>
    <t>Položka ceníku</t>
  </si>
  <si>
    <t>Jednotka</t>
  </si>
  <si>
    <t>1. OBCHODNÍ CENA ZA DODÁVKU ELEKTŘINY (SILOVÁ ELEKTŘINA)</t>
  </si>
  <si>
    <t>Kč/MWh</t>
  </si>
  <si>
    <t>Kč/měsíc</t>
  </si>
  <si>
    <t>Daň z elektřiny</t>
  </si>
  <si>
    <t xml:space="preserve">Distribuční sazba </t>
  </si>
  <si>
    <t>Cena ve  vysokém tarigu  (VT)</t>
  </si>
  <si>
    <t>Cena v nźkém tarifu (NT)</t>
  </si>
  <si>
    <t>Stalý měsíční plat</t>
  </si>
  <si>
    <t xml:space="preserve">Klasika </t>
  </si>
  <si>
    <t>D01d</t>
  </si>
  <si>
    <t>D02d</t>
  </si>
  <si>
    <t>Aku</t>
  </si>
  <si>
    <t>Kombi</t>
  </si>
  <si>
    <t>Přímotop</t>
  </si>
  <si>
    <t>Víkend</t>
  </si>
  <si>
    <t>D25d</t>
  </si>
  <si>
    <t>D26d</t>
  </si>
  <si>
    <t>D27d</t>
  </si>
  <si>
    <t>D35d</t>
  </si>
  <si>
    <t>D45d</t>
  </si>
  <si>
    <t>D56d</t>
  </si>
  <si>
    <t>D57d</t>
  </si>
  <si>
    <t>D61d</t>
  </si>
  <si>
    <t xml:space="preserve">2. REGULOVANÁ CENA ZA DISTRIBUCI (ÚZEMÍ EG.D)	</t>
  </si>
  <si>
    <t xml:space="preserve">Cena za distribuci </t>
  </si>
  <si>
    <t>Měsíční plat za příkon dle hodnoty hlavního jističe:</t>
  </si>
  <si>
    <t xml:space="preserve"> do 3x10 A a do 1x25 A včetně</t>
  </si>
  <si>
    <t>nad 3x10 A do 3x16 A včetně</t>
  </si>
  <si>
    <t>nad 3x16 A do 3x20 A včetně</t>
  </si>
  <si>
    <t>nad 3x20 A do 3x25 A včetně</t>
  </si>
  <si>
    <t>nad 3x25 A do 3x32 A včetně</t>
  </si>
  <si>
    <t>nad 3x40 A do 3x50 A včetně</t>
  </si>
  <si>
    <t>nad 3x50 A do 3x63 A včetně</t>
  </si>
  <si>
    <t>nad 3x32 A do 3x40 A včetně</t>
  </si>
  <si>
    <t>nad 3x63 A  do 3x80 A včetně</t>
  </si>
  <si>
    <t>nad 3x80 A  do 3x100 A včetně</t>
  </si>
  <si>
    <t>nad 3x100 A  do 3x125 A včetně</t>
  </si>
  <si>
    <t>nad 3x125 A  do 3x160 A včetně</t>
  </si>
  <si>
    <t xml:space="preserve">nad 3x63 A  do 3x80 A za A na 3x160 A za A pro D 57 d </t>
  </si>
  <si>
    <t xml:space="preserve">nad 1x25 A za A </t>
  </si>
  <si>
    <t>3. OSTATNÍ REGULOVANÉ SLUŽBY A DANĚ</t>
  </si>
  <si>
    <t xml:space="preserve">Cena za systémové služby </t>
  </si>
  <si>
    <t xml:space="preserve">Cena za provoz nesitovane infrastruktury </t>
  </si>
  <si>
    <t xml:space="preserve">Cena na podporu ( POZE ) </t>
  </si>
  <si>
    <t xml:space="preserve">4. CELKOVÁ JEDNOTKOVÁ CENA ELEKTŘINY (SOUHRN)	</t>
  </si>
  <si>
    <t>Cena ve vysokém tarifu (VT)</t>
  </si>
  <si>
    <t>Cena v nizkém tarifu (NT)</t>
  </si>
  <si>
    <t xml:space="preserve">Měsíční platby </t>
  </si>
  <si>
    <t>34,24 ( 28,30)</t>
  </si>
  <si>
    <t>257,51 (212,82)</t>
  </si>
  <si>
    <t>11,18 (9,24)</t>
  </si>
  <si>
    <t>Kč/odběrné</t>
  </si>
  <si>
    <t>místo/ měsíc</t>
  </si>
  <si>
    <t>Kč/ A / měsíc</t>
  </si>
  <si>
    <t xml:space="preserve">Kč/ MWh </t>
  </si>
  <si>
    <t>102,49 (84,70)</t>
  </si>
  <si>
    <t>598,95 (495,0)</t>
  </si>
  <si>
    <t>Ceník</t>
  </si>
  <si>
    <t>/</t>
  </si>
  <si>
    <t>145(120) + plat dle příslušné hodnoty hlavního jističe + 11,18 (9,24)</t>
  </si>
  <si>
    <t>, 379</t>
  </si>
  <si>
    <t>&lt;00.01.1900</t>
  </si>
  <si>
    <t>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</si>
  <si>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</si>
  <si>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</si>
  <si>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</si>
  <si>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</si>
  <si>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</si>
  <si>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</si>
  <si>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</si>
  <si>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</si>
  <si>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</si>
  <si>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</si>
  <si>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</si>
  <si>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</si>
  <si>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</si>
  <si>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</si>
  <si>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</si>
  <si>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</si>
  <si>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</si>
  <si>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</si>
  <si>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</si>
  <si>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</si>
  <si>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</si>
  <si>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</si>
  <si>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</si>
  <si>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</si>
  <si>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Součet z Spotřeba</t>
  </si>
  <si>
    <t>Součet z Výroba FVE</t>
  </si>
  <si>
    <t>Součet z Odběr z DS</t>
  </si>
  <si>
    <t>Součet z Přetok do DS</t>
  </si>
  <si>
    <t>Součet z Spotřeba z baterie</t>
  </si>
  <si>
    <t>Součet z Bilance</t>
  </si>
  <si>
    <t xml:space="preserve">Součet z Soc </t>
  </si>
  <si>
    <t>Součet z Nabíjení (Netto)</t>
  </si>
  <si>
    <t>Součet z Nabíjení (Brutto)</t>
  </si>
  <si>
    <t>Součet z Vybíjení (Netto)</t>
  </si>
  <si>
    <t>Součet z Vybíjení (Brutto)</t>
  </si>
  <si>
    <t>Součet z Vlastní spotřeba</t>
  </si>
  <si>
    <t>kwh</t>
  </si>
  <si>
    <t>Počet z Stav baterie</t>
  </si>
  <si>
    <t>Součet z Stav baterie</t>
  </si>
  <si>
    <t xml:space="preserve">max </t>
  </si>
  <si>
    <t>min</t>
  </si>
  <si>
    <t>rozdil 24h</t>
  </si>
  <si>
    <t>DoD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</si>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</sst>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\ hh:mm"/>
    <numFmt numFmtId="165" formatCode="0.000"/>
    <numFmt numFmtId="166" formatCode="h:mm;@"/>
  </numFmts>
  <fonts count="1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  <charset val="238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charset val="238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8" fillId="0" borderId="0" applyFont="0" applyFill="0" applyBorder="0" applyAlignment="0" applyProtection="0"/>
  </cellStyleXfs>
  <cellXfs count="9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64" fontId="0" fillId="0" borderId="0" xfId="0" applyNumberFormat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4" xfId="0" applyFill="1" applyBorder="1"/>
    <xf numFmtId="14" fontId="0" fillId="0" borderId="1" xfId="0" applyNumberFormat="1" applyBorder="1"/>
    <xf numFmtId="0" fontId="4" fillId="0" borderId="4" xfId="0" applyFont="1" applyBorder="1"/>
    <xf numFmtId="2" fontId="4" fillId="0" borderId="4" xfId="0" applyNumberFormat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7" borderId="1" xfId="0" applyFill="1" applyBorder="1"/>
    <xf numFmtId="0" fontId="0" fillId="8" borderId="1" xfId="0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0" fillId="10" borderId="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14" fontId="0" fillId="0" borderId="0" xfId="0" applyNumberFormat="1"/>
    <xf numFmtId="14" fontId="0" fillId="11" borderId="1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14" fontId="0" fillId="11" borderId="1" xfId="0" applyNumberForma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right"/>
    </xf>
    <xf numFmtId="165" fontId="0" fillId="0" borderId="0" xfId="0" applyNumberFormat="1"/>
    <xf numFmtId="165" fontId="2" fillId="2" borderId="0" xfId="0" applyNumberFormat="1" applyFont="1" applyFill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9" fontId="0" fillId="0" borderId="0" xfId="2" applyFont="1"/>
    <xf numFmtId="14" fontId="1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9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" fontId="0" fillId="0" borderId="1" xfId="0" applyNumberFormat="1" applyBorder="1"/>
    <xf numFmtId="0" fontId="11" fillId="0" borderId="1" xfId="0" applyFont="1" applyBorder="1" applyAlignment="1">
      <alignment horizontal="left" vertical="center" wrapText="1" indent="1"/>
    </xf>
    <xf numFmtId="3" fontId="0" fillId="0" borderId="1" xfId="0" applyNumberForma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13" borderId="1" xfId="0" applyFill="1" applyBorder="1"/>
    <xf numFmtId="0" fontId="0" fillId="13" borderId="0" xfId="0" applyFill="1"/>
    <xf numFmtId="0" fontId="0" fillId="0" borderId="1" xfId="0" pivotButton="1" applyBorder="1"/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11" borderId="1" xfId="0" applyFill="1" applyBorder="1"/>
    <xf numFmtId="0" fontId="12" fillId="0" borderId="1" xfId="0" applyFont="1" applyBorder="1"/>
    <xf numFmtId="0" fontId="15" fillId="0" borderId="1" xfId="0" applyFont="1" applyBorder="1"/>
    <xf numFmtId="165" fontId="15" fillId="0" borderId="1" xfId="0" applyNumberFormat="1" applyFont="1" applyBorder="1"/>
    <xf numFmtId="0" fontId="0" fillId="2" borderId="1" xfId="0" applyFill="1" applyBorder="1"/>
    <xf numFmtId="0" fontId="0" fillId="2" borderId="0" xfId="0" applyFill="1"/>
    <xf numFmtId="165" fontId="0" fillId="14" borderId="1" xfId="0" applyNumberFormat="1" applyFill="1" applyBorder="1" applyAlignment="1">
      <alignment horizontal="center"/>
    </xf>
    <xf numFmtId="166" fontId="2" fillId="0" borderId="5" xfId="1" applyNumberFormat="1" applyFont="1" applyBorder="1" applyAlignment="1">
      <alignment horizontal="center"/>
    </xf>
    <xf numFmtId="166" fontId="2" fillId="0" borderId="7" xfId="1" applyNumberFormat="1" applyFont="1" applyBorder="1" applyAlignment="1">
      <alignment horizontal="center"/>
    </xf>
    <xf numFmtId="14" fontId="2" fillId="0" borderId="5" xfId="1" applyNumberFormat="1" applyFont="1" applyBorder="1" applyAlignment="1">
      <alignment horizontal="center"/>
    </xf>
    <xf numFmtId="14" fontId="2" fillId="0" borderId="7" xfId="1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3">
    <cellStyle name="Normální" xfId="0" builtinId="0"/>
    <cellStyle name="Normální 2" xfId="1" xr:uid="{57ADE8EC-992A-4E7A-AB1C-646C62183B74}"/>
    <cellStyle name="Procenta" xfId="2" builtinId="5"/>
  </cellStyles>
  <dxfs count="70"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</dxfs>
  <tableStyles count="1" defaultTableStyle="TableStyleMedium2" defaultPivotStyle="PivotStyleLight16">
    <tableStyle name="Styl tabulky 1" pivot="0" count="0" xr9:uid="{7A931E8B-A7E9-45A1-8E9D-2A93389BDF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[projekt-FVE-domacnost4.xlsx]Leden kontig!Kontingenční tabulka2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'Leden kontig'!$B$1</c:f>
              <c:strCache>
                <c:ptCount val="1"/>
                <c:pt idx="0">
                  <c:v>Součet z Přímá vlastní spotřeba z FVE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kontig'!$B$2:$B$30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1.9E-2</c:v>
                </c:pt>
                <c:pt idx="9">
                  <c:v>0.10124999999999999</c:v>
                </c:pt>
                <c:pt idx="10">
                  <c:v>0.10299999999999999</c:v>
                </c:pt>
                <c:pt idx="11">
                  <c:v>1.103</c:v>
                </c:pt>
                <c:pt idx="12">
                  <c:v>0.10299999999999999</c:v>
                </c:pt>
                <c:pt idx="13">
                  <c:v>0.10299999999999999</c:v>
                </c:pt>
                <c:pt idx="14">
                  <c:v>0.36524999999999996</c:v>
                </c:pt>
                <c:pt idx="15">
                  <c:v>4.2000000000000003E-2</c:v>
                </c:pt>
                <c:pt idx="16">
                  <c:v>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B-4D4F-B7A9-734C2F037BB0}"/>
            </c:ext>
          </c:extLst>
        </c:ser>
        <c:ser>
          <c:idx val="1"/>
          <c:order val="1"/>
          <c:tx>
            <c:strRef>
              <c:f>'Leden kontig'!$C$1</c:f>
              <c:strCache>
                <c:ptCount val="1"/>
                <c:pt idx="0">
                  <c:v>Součet z Výroba FVE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kontig'!$C$2:$C$30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1.9E-2</c:v>
                </c:pt>
                <c:pt idx="9">
                  <c:v>0.33400000000000002</c:v>
                </c:pt>
                <c:pt idx="10">
                  <c:v>2.411</c:v>
                </c:pt>
                <c:pt idx="11">
                  <c:v>6.8279999999999994</c:v>
                </c:pt>
                <c:pt idx="12">
                  <c:v>7.6640000000000006</c:v>
                </c:pt>
                <c:pt idx="13">
                  <c:v>3.4119999999999999</c:v>
                </c:pt>
                <c:pt idx="14">
                  <c:v>0.59799999999999998</c:v>
                </c:pt>
                <c:pt idx="15">
                  <c:v>4.2000000000000003E-2</c:v>
                </c:pt>
                <c:pt idx="16">
                  <c:v>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B-4D4F-B7A9-734C2F037BB0}"/>
            </c:ext>
          </c:extLst>
        </c:ser>
        <c:ser>
          <c:idx val="2"/>
          <c:order val="2"/>
          <c:tx>
            <c:strRef>
              <c:f>'Leden kontig'!$D$1</c:f>
              <c:strCache>
                <c:ptCount val="1"/>
                <c:pt idx="0">
                  <c:v>Součet z Vybíjení (Netto)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kontig'!$D$2:$D$30</c:f>
              <c:numCache>
                <c:formatCode>General</c:formatCode>
                <c:ptCount val="25"/>
                <c:pt idx="0">
                  <c:v>2.2509999999999999</c:v>
                </c:pt>
                <c:pt idx="1">
                  <c:v>2.2509999999999999</c:v>
                </c:pt>
                <c:pt idx="2">
                  <c:v>2.19475</c:v>
                </c:pt>
                <c:pt idx="3">
                  <c:v>1.4382777777777804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3.6499999999999998E-2</c:v>
                </c:pt>
                <c:pt idx="10">
                  <c:v>7.2999999999999995E-2</c:v>
                </c:pt>
                <c:pt idx="11">
                  <c:v>7.2999999999999995E-2</c:v>
                </c:pt>
                <c:pt idx="12">
                  <c:v>7.2999999999999995E-2</c:v>
                </c:pt>
                <c:pt idx="13">
                  <c:v>7.2999999999999995E-2</c:v>
                </c:pt>
                <c:pt idx="14">
                  <c:v>0.81075000000000008</c:v>
                </c:pt>
                <c:pt idx="15">
                  <c:v>0.13400000000000001</c:v>
                </c:pt>
                <c:pt idx="16">
                  <c:v>4.2725000000000009</c:v>
                </c:pt>
                <c:pt idx="17">
                  <c:v>8.1140000000000008</c:v>
                </c:pt>
                <c:pt idx="18">
                  <c:v>2.4022253086419711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DB-4D4F-B7A9-734C2F037BB0}"/>
            </c:ext>
          </c:extLst>
        </c:ser>
        <c:ser>
          <c:idx val="3"/>
          <c:order val="3"/>
          <c:tx>
            <c:strRef>
              <c:f>'Leden kontig'!$E$1</c:f>
              <c:strCache>
                <c:ptCount val="1"/>
                <c:pt idx="0">
                  <c:v>Součet z Odběr z 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kontig'!$E$2:$E$30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0.7012222222222193</c:v>
                </c:pt>
                <c:pt idx="4">
                  <c:v>2.1029999999999998</c:v>
                </c:pt>
                <c:pt idx="5">
                  <c:v>2.1079999999999997</c:v>
                </c:pt>
                <c:pt idx="6">
                  <c:v>4.7214999999999998</c:v>
                </c:pt>
                <c:pt idx="7">
                  <c:v>4.2240000000000002</c:v>
                </c:pt>
                <c:pt idx="8">
                  <c:v>0.59200000000000008</c:v>
                </c:pt>
                <c:pt idx="9">
                  <c:v>1.7499999999999981E-3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7.8547746913580294</c:v>
                </c:pt>
                <c:pt idx="19">
                  <c:v>3.66</c:v>
                </c:pt>
                <c:pt idx="20">
                  <c:v>3.0219999999999998</c:v>
                </c:pt>
                <c:pt idx="21">
                  <c:v>6.2190000000000012</c:v>
                </c:pt>
                <c:pt idx="22">
                  <c:v>4.1184999999999992</c:v>
                </c:pt>
                <c:pt idx="23">
                  <c:v>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DB-4D4F-B7A9-734C2F037BB0}"/>
            </c:ext>
          </c:extLst>
        </c:ser>
        <c:ser>
          <c:idx val="4"/>
          <c:order val="4"/>
          <c:tx>
            <c:strRef>
              <c:f>'Leden kontig'!$F$1</c:f>
              <c:strCache>
                <c:ptCount val="1"/>
                <c:pt idx="0">
                  <c:v>Součet z Vybíjení (Brutto)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kontig'!$F$2:$F$30</c:f>
              <c:numCache>
                <c:formatCode>General</c:formatCode>
                <c:ptCount val="25"/>
                <c:pt idx="0">
                  <c:v>2.5011111111111108</c:v>
                </c:pt>
                <c:pt idx="1">
                  <c:v>2.5011111111111108</c:v>
                </c:pt>
                <c:pt idx="2">
                  <c:v>2.4386111111111108</c:v>
                </c:pt>
                <c:pt idx="3">
                  <c:v>1.5980864197530893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4.0555555555555553E-2</c:v>
                </c:pt>
                <c:pt idx="10">
                  <c:v>8.1111111111111106E-2</c:v>
                </c:pt>
                <c:pt idx="11">
                  <c:v>8.1111111111111106E-2</c:v>
                </c:pt>
                <c:pt idx="12">
                  <c:v>8.1111111111111106E-2</c:v>
                </c:pt>
                <c:pt idx="13">
                  <c:v>8.1111111111111106E-2</c:v>
                </c:pt>
                <c:pt idx="14">
                  <c:v>0.90083333333333326</c:v>
                </c:pt>
                <c:pt idx="15">
                  <c:v>0.14888888888888888</c:v>
                </c:pt>
                <c:pt idx="16">
                  <c:v>4.7472222222222236</c:v>
                </c:pt>
                <c:pt idx="17">
                  <c:v>9.0155555555555544</c:v>
                </c:pt>
                <c:pt idx="18">
                  <c:v>2.6691392318244125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DB-4D4F-B7A9-734C2F037BB0}"/>
            </c:ext>
          </c:extLst>
        </c:ser>
        <c:ser>
          <c:idx val="5"/>
          <c:order val="5"/>
          <c:tx>
            <c:strRef>
              <c:f>'Leden kontig'!$G$1</c:f>
              <c:strCache>
                <c:ptCount val="1"/>
                <c:pt idx="0">
                  <c:v>Součet z Přetok do 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kontig'!$G$2:$G$30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1.7852561728395009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DB-4D4F-B7A9-734C2F037BB0}"/>
            </c:ext>
          </c:extLst>
        </c:ser>
        <c:ser>
          <c:idx val="6"/>
          <c:order val="6"/>
          <c:tx>
            <c:strRef>
              <c:f>'Leden kontig'!$H$1</c:f>
              <c:strCache>
                <c:ptCount val="1"/>
                <c:pt idx="0">
                  <c:v>Součet z Spotřeba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kontig'!$H$2:$H$30</c:f>
              <c:numCache>
                <c:formatCode>General</c:formatCode>
                <c:ptCount val="25"/>
                <c:pt idx="0">
                  <c:v>2.1779999999999999</c:v>
                </c:pt>
                <c:pt idx="1">
                  <c:v>2.1779999999999999</c:v>
                </c:pt>
                <c:pt idx="2">
                  <c:v>2.1217499999999996</c:v>
                </c:pt>
                <c:pt idx="3">
                  <c:v>2.1029999999999998</c:v>
                </c:pt>
                <c:pt idx="4">
                  <c:v>2.1029999999999998</c:v>
                </c:pt>
                <c:pt idx="5">
                  <c:v>2.1079999999999997</c:v>
                </c:pt>
                <c:pt idx="6">
                  <c:v>4.7214999999999998</c:v>
                </c:pt>
                <c:pt idx="7">
                  <c:v>4.2240000000000002</c:v>
                </c:pt>
                <c:pt idx="8">
                  <c:v>0.6110000000000001</c:v>
                </c:pt>
                <c:pt idx="9">
                  <c:v>0.10299999999999999</c:v>
                </c:pt>
                <c:pt idx="10">
                  <c:v>0.10299999999999999</c:v>
                </c:pt>
                <c:pt idx="11">
                  <c:v>1.103</c:v>
                </c:pt>
                <c:pt idx="12">
                  <c:v>0.10299999999999999</c:v>
                </c:pt>
                <c:pt idx="13">
                  <c:v>0.10299999999999999</c:v>
                </c:pt>
                <c:pt idx="14">
                  <c:v>1.103</c:v>
                </c:pt>
                <c:pt idx="15">
                  <c:v>0.10299999999999999</c:v>
                </c:pt>
                <c:pt idx="16">
                  <c:v>4.2004999999999999</c:v>
                </c:pt>
                <c:pt idx="17">
                  <c:v>8.0410000000000004</c:v>
                </c:pt>
                <c:pt idx="18">
                  <c:v>10.257</c:v>
                </c:pt>
                <c:pt idx="19">
                  <c:v>3.66</c:v>
                </c:pt>
                <c:pt idx="20">
                  <c:v>3.0219999999999998</c:v>
                </c:pt>
                <c:pt idx="21">
                  <c:v>6.2190000000000012</c:v>
                </c:pt>
                <c:pt idx="22">
                  <c:v>4.1184999999999992</c:v>
                </c:pt>
                <c:pt idx="23">
                  <c:v>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DB-4D4F-B7A9-734C2F037BB0}"/>
            </c:ext>
          </c:extLst>
        </c:ser>
        <c:ser>
          <c:idx val="7"/>
          <c:order val="7"/>
          <c:tx>
            <c:strRef>
              <c:f>'Leden kontig'!$I$1</c:f>
              <c:strCache>
                <c:ptCount val="1"/>
                <c:pt idx="0">
                  <c:v>Součet z Spotřeba z baterie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kontig'!$I$2:$I$30</c:f>
              <c:numCache>
                <c:formatCode>General</c:formatCode>
                <c:ptCount val="25"/>
                <c:pt idx="0">
                  <c:v>2.1779999999999999</c:v>
                </c:pt>
                <c:pt idx="1">
                  <c:v>2.1779999999999999</c:v>
                </c:pt>
                <c:pt idx="2">
                  <c:v>2.1217499999999996</c:v>
                </c:pt>
                <c:pt idx="3">
                  <c:v>1.4017777777777805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0.73775000000000013</c:v>
                </c:pt>
                <c:pt idx="15">
                  <c:v>6.0999999999999992E-2</c:v>
                </c:pt>
                <c:pt idx="16">
                  <c:v>4.1995000000000005</c:v>
                </c:pt>
                <c:pt idx="17">
                  <c:v>8.0410000000000004</c:v>
                </c:pt>
                <c:pt idx="18">
                  <c:v>2.4022253086419711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DB-4D4F-B7A9-734C2F037BB0}"/>
            </c:ext>
          </c:extLst>
        </c:ser>
        <c:ser>
          <c:idx val="8"/>
          <c:order val="8"/>
          <c:tx>
            <c:strRef>
              <c:f>'Leden kontig'!$J$1</c:f>
              <c:strCache>
                <c:ptCount val="1"/>
                <c:pt idx="0">
                  <c:v>Součet z Bilance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kontig'!$J$2:$J$30</c:f>
              <c:numCache>
                <c:formatCode>General</c:formatCode>
                <c:ptCount val="25"/>
                <c:pt idx="0">
                  <c:v>-2.1779999999999999</c:v>
                </c:pt>
                <c:pt idx="1">
                  <c:v>-2.1779999999999999</c:v>
                </c:pt>
                <c:pt idx="2">
                  <c:v>-2.1217499999999996</c:v>
                </c:pt>
                <c:pt idx="3">
                  <c:v>-2.1029999999999998</c:v>
                </c:pt>
                <c:pt idx="4">
                  <c:v>-2.1029999999999998</c:v>
                </c:pt>
                <c:pt idx="5">
                  <c:v>-2.1079999999999997</c:v>
                </c:pt>
                <c:pt idx="6">
                  <c:v>-4.7214999999999998</c:v>
                </c:pt>
                <c:pt idx="7">
                  <c:v>-4.2240000000000002</c:v>
                </c:pt>
                <c:pt idx="8">
                  <c:v>-0.59200000000000008</c:v>
                </c:pt>
                <c:pt idx="9">
                  <c:v>0.23100000000000004</c:v>
                </c:pt>
                <c:pt idx="10">
                  <c:v>2.3079999999999998</c:v>
                </c:pt>
                <c:pt idx="11">
                  <c:v>5.7249999999999996</c:v>
                </c:pt>
                <c:pt idx="12">
                  <c:v>7.5609999999999999</c:v>
                </c:pt>
                <c:pt idx="13">
                  <c:v>3.3089999999999997</c:v>
                </c:pt>
                <c:pt idx="14">
                  <c:v>-0.50500000000000012</c:v>
                </c:pt>
                <c:pt idx="15">
                  <c:v>-6.0999999999999992E-2</c:v>
                </c:pt>
                <c:pt idx="16">
                  <c:v>-4.1995000000000005</c:v>
                </c:pt>
                <c:pt idx="17">
                  <c:v>-8.0410000000000004</c:v>
                </c:pt>
                <c:pt idx="18">
                  <c:v>-10.257</c:v>
                </c:pt>
                <c:pt idx="19">
                  <c:v>-3.66</c:v>
                </c:pt>
                <c:pt idx="20">
                  <c:v>-3.0219999999999998</c:v>
                </c:pt>
                <c:pt idx="21">
                  <c:v>-6.2190000000000012</c:v>
                </c:pt>
                <c:pt idx="22">
                  <c:v>-4.1184999999999992</c:v>
                </c:pt>
                <c:pt idx="23">
                  <c:v>-3.2112499999999997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DB-4D4F-B7A9-734C2F037BB0}"/>
            </c:ext>
          </c:extLst>
        </c:ser>
        <c:ser>
          <c:idx val="9"/>
          <c:order val="9"/>
          <c:tx>
            <c:strRef>
              <c:f>'Leden kontig'!$K$1</c:f>
              <c:strCache>
                <c:ptCount val="1"/>
                <c:pt idx="0">
                  <c:v>Počet z Stav baterie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kontig'!$K$2:$K$30</c:f>
              <c:numCache>
                <c:formatCode>General</c:formatCode>
                <c:ptCount val="2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DB-4D4F-B7A9-734C2F037BB0}"/>
            </c:ext>
          </c:extLst>
        </c:ser>
        <c:ser>
          <c:idx val="10"/>
          <c:order val="10"/>
          <c:tx>
            <c:strRef>
              <c:f>'Leden kontig'!$L$1</c:f>
              <c:strCache>
                <c:ptCount val="1"/>
                <c:pt idx="0">
                  <c:v>Součet z Soc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kontig'!$L$2:$L$30</c:f>
              <c:numCache>
                <c:formatCode>General</c:formatCode>
                <c:ptCount val="25"/>
                <c:pt idx="0">
                  <c:v>2.0021127450980396</c:v>
                </c:pt>
                <c:pt idx="1">
                  <c:v>1.443040849673203</c:v>
                </c:pt>
                <c:pt idx="2">
                  <c:v>0.8874616013071901</c:v>
                </c:pt>
                <c:pt idx="3">
                  <c:v>0.36005637254902007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0.20511168300653596</c:v>
                </c:pt>
                <c:pt idx="10">
                  <c:v>0.36578120915032675</c:v>
                </c:pt>
                <c:pt idx="11">
                  <c:v>1.0578034313725488</c:v>
                </c:pt>
                <c:pt idx="12">
                  <c:v>2.6781433006535944</c:v>
                </c:pt>
                <c:pt idx="13">
                  <c:v>3.9054703431372539</c:v>
                </c:pt>
                <c:pt idx="14">
                  <c:v>3.8715162944807551</c:v>
                </c:pt>
                <c:pt idx="15">
                  <c:v>3.8363895787944804</c:v>
                </c:pt>
                <c:pt idx="16">
                  <c:v>3.4205627814088593</c:v>
                </c:pt>
                <c:pt idx="17">
                  <c:v>2.2531183369644148</c:v>
                </c:pt>
                <c:pt idx="18">
                  <c:v>0.33424200254175718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DB-4D4F-B7A9-734C2F037BB0}"/>
            </c:ext>
          </c:extLst>
        </c:ser>
        <c:ser>
          <c:idx val="11"/>
          <c:order val="11"/>
          <c:tx>
            <c:strRef>
              <c:f>'Leden kontig'!$M$1</c:f>
              <c:strCache>
                <c:ptCount val="1"/>
                <c:pt idx="0">
                  <c:v>Součet z Nabíjení (Netto)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kontig'!$M$2:$M$30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0.20947500000000002</c:v>
                </c:pt>
                <c:pt idx="10">
                  <c:v>2.0771999999999999</c:v>
                </c:pt>
                <c:pt idx="11">
                  <c:v>5.1524999999999999</c:v>
                </c:pt>
                <c:pt idx="12">
                  <c:v>6.8048999999999999</c:v>
                </c:pt>
                <c:pt idx="13">
                  <c:v>1.3713694444444491</c:v>
                </c:pt>
                <c:pt idx="14">
                  <c:v>0.20947500000000002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EDB-4D4F-B7A9-734C2F037BB0}"/>
            </c:ext>
          </c:extLst>
        </c:ser>
        <c:ser>
          <c:idx val="12"/>
          <c:order val="12"/>
          <c:tx>
            <c:strRef>
              <c:f>'Leden kontig'!$N$1</c:f>
              <c:strCache>
                <c:ptCount val="1"/>
                <c:pt idx="0">
                  <c:v>Součet z Nabíjení (Brutto)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kontig'!$N$2:$N$30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0.23275000000000001</c:v>
                </c:pt>
                <c:pt idx="10">
                  <c:v>2.3079999999999998</c:v>
                </c:pt>
                <c:pt idx="11">
                  <c:v>5.7249999999999996</c:v>
                </c:pt>
                <c:pt idx="12">
                  <c:v>7.5609999999999999</c:v>
                </c:pt>
                <c:pt idx="13">
                  <c:v>1.5237438271604991</c:v>
                </c:pt>
                <c:pt idx="14">
                  <c:v>0.23275000000000001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EDB-4D4F-B7A9-734C2F037BB0}"/>
            </c:ext>
          </c:extLst>
        </c:ser>
        <c:ser>
          <c:idx val="13"/>
          <c:order val="13"/>
          <c:tx>
            <c:strRef>
              <c:f>'Leden kontig'!$O$1</c:f>
              <c:strCache>
                <c:ptCount val="1"/>
                <c:pt idx="0">
                  <c:v>Součet z Vlastní spotřeba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'Leden kontig'!$A$2:$A$30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01.01.2026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'Leden kontig'!$O$2:$O$30</c:f>
              <c:numCache>
                <c:formatCode>General</c:formatCode>
                <c:ptCount val="25"/>
                <c:pt idx="0">
                  <c:v>7.2999999999999995E-2</c:v>
                </c:pt>
                <c:pt idx="1">
                  <c:v>7.2999999999999995E-2</c:v>
                </c:pt>
                <c:pt idx="2">
                  <c:v>7.2999999999999995E-2</c:v>
                </c:pt>
                <c:pt idx="3">
                  <c:v>7.2999999999999995E-2</c:v>
                </c:pt>
                <c:pt idx="4">
                  <c:v>7.2999999999999995E-2</c:v>
                </c:pt>
                <c:pt idx="5">
                  <c:v>7.2999999999999995E-2</c:v>
                </c:pt>
                <c:pt idx="6">
                  <c:v>7.2999999999999995E-2</c:v>
                </c:pt>
                <c:pt idx="7">
                  <c:v>7.2999999999999995E-2</c:v>
                </c:pt>
                <c:pt idx="8">
                  <c:v>7.2999999999999995E-2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7.2999999999999995E-2</c:v>
                </c:pt>
                <c:pt idx="12">
                  <c:v>7.2999999999999995E-2</c:v>
                </c:pt>
                <c:pt idx="13">
                  <c:v>7.2999999999999995E-2</c:v>
                </c:pt>
                <c:pt idx="14">
                  <c:v>7.2999999999999995E-2</c:v>
                </c:pt>
                <c:pt idx="15">
                  <c:v>7.2999999999999995E-2</c:v>
                </c:pt>
                <c:pt idx="16">
                  <c:v>7.2999999999999995E-2</c:v>
                </c:pt>
                <c:pt idx="17">
                  <c:v>7.2999999999999995E-2</c:v>
                </c:pt>
                <c:pt idx="18">
                  <c:v>7.2999999999999995E-2</c:v>
                </c:pt>
                <c:pt idx="19">
                  <c:v>7.2999999999999995E-2</c:v>
                </c:pt>
                <c:pt idx="20">
                  <c:v>7.2999999999999995E-2</c:v>
                </c:pt>
                <c:pt idx="21">
                  <c:v>7.2999999999999995E-2</c:v>
                </c:pt>
                <c:pt idx="22">
                  <c:v>7.2999999999999995E-2</c:v>
                </c:pt>
                <c:pt idx="23">
                  <c:v>7.2999999999999995E-2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EDB-4D4F-B7A9-734C2F037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735152"/>
        <c:axId val="795412368"/>
      </c:lineChart>
      <c:catAx>
        <c:axId val="114273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95412368"/>
        <c:crosses val="autoZero"/>
        <c:auto val="1"/>
        <c:lblAlgn val="ctr"/>
        <c:lblOffset val="100"/>
        <c:noMultiLvlLbl val="0"/>
      </c:catAx>
      <c:valAx>
        <c:axId val="79541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27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Leden!$C$1:$C$2</c:f>
              <c:strCache>
                <c:ptCount val="2"/>
                <c:pt idx="0">
                  <c:v>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Leden!$C$3:$C$98</c:f>
              <c:numCache>
                <c:formatCode>0.000</c:formatCode>
                <c:ptCount val="96"/>
                <c:pt idx="0">
                  <c:v>0.54449999999999998</c:v>
                </c:pt>
                <c:pt idx="1">
                  <c:v>0.54449999999999998</c:v>
                </c:pt>
                <c:pt idx="2">
                  <c:v>0.54449999999999998</c:v>
                </c:pt>
                <c:pt idx="3">
                  <c:v>0.54449999999999998</c:v>
                </c:pt>
                <c:pt idx="4">
                  <c:v>0.54449999999999998</c:v>
                </c:pt>
                <c:pt idx="5">
                  <c:v>0.54449999999999998</c:v>
                </c:pt>
                <c:pt idx="6">
                  <c:v>0.54449999999999998</c:v>
                </c:pt>
                <c:pt idx="7">
                  <c:v>0.54449999999999998</c:v>
                </c:pt>
                <c:pt idx="8">
                  <c:v>0.54449999999999998</c:v>
                </c:pt>
                <c:pt idx="9">
                  <c:v>0.52574999999999994</c:v>
                </c:pt>
                <c:pt idx="10">
                  <c:v>0.52574999999999994</c:v>
                </c:pt>
                <c:pt idx="11">
                  <c:v>0.52574999999999994</c:v>
                </c:pt>
                <c:pt idx="12">
                  <c:v>0.52574999999999994</c:v>
                </c:pt>
                <c:pt idx="13">
                  <c:v>0.52574999999999994</c:v>
                </c:pt>
                <c:pt idx="14">
                  <c:v>0.52574999999999994</c:v>
                </c:pt>
                <c:pt idx="15">
                  <c:v>0.52574999999999994</c:v>
                </c:pt>
                <c:pt idx="16">
                  <c:v>0.52574999999999994</c:v>
                </c:pt>
                <c:pt idx="17">
                  <c:v>0.52574999999999994</c:v>
                </c:pt>
                <c:pt idx="18">
                  <c:v>0.52574999999999994</c:v>
                </c:pt>
                <c:pt idx="19">
                  <c:v>0.52574999999999994</c:v>
                </c:pt>
                <c:pt idx="20">
                  <c:v>0.52574999999999994</c:v>
                </c:pt>
                <c:pt idx="21">
                  <c:v>0.52574999999999994</c:v>
                </c:pt>
                <c:pt idx="22">
                  <c:v>0.52574999999999994</c:v>
                </c:pt>
                <c:pt idx="23">
                  <c:v>0.53074999999999994</c:v>
                </c:pt>
                <c:pt idx="24">
                  <c:v>0.53174999999999994</c:v>
                </c:pt>
                <c:pt idx="25">
                  <c:v>0.54074999999999995</c:v>
                </c:pt>
                <c:pt idx="26">
                  <c:v>0.73324999999999996</c:v>
                </c:pt>
                <c:pt idx="27">
                  <c:v>2.9157500000000001</c:v>
                </c:pt>
                <c:pt idx="28">
                  <c:v>2.5467500000000003</c:v>
                </c:pt>
                <c:pt idx="29">
                  <c:v>0.54674999999999996</c:v>
                </c:pt>
                <c:pt idx="30">
                  <c:v>0.59675</c:v>
                </c:pt>
                <c:pt idx="31">
                  <c:v>0.53374999999999995</c:v>
                </c:pt>
                <c:pt idx="32">
                  <c:v>0.53374999999999995</c:v>
                </c:pt>
                <c:pt idx="33">
                  <c:v>2.5749999999999999E-2</c:v>
                </c:pt>
                <c:pt idx="34">
                  <c:v>2.5749999999999999E-2</c:v>
                </c:pt>
                <c:pt idx="35">
                  <c:v>2.5749999999999999E-2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1.0257500000000002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1.0257500000000002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2.5749999999999999E-2</c:v>
                </c:pt>
                <c:pt idx="61">
                  <c:v>2.5749999999999999E-2</c:v>
                </c:pt>
                <c:pt idx="62">
                  <c:v>2.5749999999999999E-2</c:v>
                </c:pt>
                <c:pt idx="63">
                  <c:v>2.5749999999999999E-2</c:v>
                </c:pt>
                <c:pt idx="64">
                  <c:v>1.0257500000000002</c:v>
                </c:pt>
                <c:pt idx="65">
                  <c:v>1.0307500000000001</c:v>
                </c:pt>
                <c:pt idx="66">
                  <c:v>1.0807500000000001</c:v>
                </c:pt>
                <c:pt idx="67">
                  <c:v>1.06325</c:v>
                </c:pt>
                <c:pt idx="68">
                  <c:v>1.0707499999999999</c:v>
                </c:pt>
                <c:pt idx="69">
                  <c:v>1.0707499999999999</c:v>
                </c:pt>
                <c:pt idx="70">
                  <c:v>2.5747499999999999</c:v>
                </c:pt>
                <c:pt idx="71">
                  <c:v>3.3247499999999999</c:v>
                </c:pt>
                <c:pt idx="72">
                  <c:v>3.3247499999999999</c:v>
                </c:pt>
                <c:pt idx="73">
                  <c:v>3.3097500000000002</c:v>
                </c:pt>
                <c:pt idx="74">
                  <c:v>1.80975</c:v>
                </c:pt>
                <c:pt idx="75">
                  <c:v>1.8127500000000001</c:v>
                </c:pt>
                <c:pt idx="76">
                  <c:v>1.839</c:v>
                </c:pt>
                <c:pt idx="77">
                  <c:v>0.56399999999999995</c:v>
                </c:pt>
                <c:pt idx="78">
                  <c:v>0.62649999999999995</c:v>
                </c:pt>
                <c:pt idx="79">
                  <c:v>0.63049999999999995</c:v>
                </c:pt>
                <c:pt idx="80">
                  <c:v>0.63049999999999995</c:v>
                </c:pt>
                <c:pt idx="81">
                  <c:v>0.63049999999999995</c:v>
                </c:pt>
                <c:pt idx="82">
                  <c:v>0.63049999999999995</c:v>
                </c:pt>
                <c:pt idx="83">
                  <c:v>1.1305000000000001</c:v>
                </c:pt>
                <c:pt idx="84">
                  <c:v>1.6805000000000001</c:v>
                </c:pt>
                <c:pt idx="85">
                  <c:v>1.6745000000000001</c:v>
                </c:pt>
                <c:pt idx="86">
                  <c:v>1.6820000000000002</c:v>
                </c:pt>
                <c:pt idx="87">
                  <c:v>1.1819999999999999</c:v>
                </c:pt>
                <c:pt idx="88">
                  <c:v>1.1819999999999999</c:v>
                </c:pt>
                <c:pt idx="89">
                  <c:v>1.1779999999999999</c:v>
                </c:pt>
                <c:pt idx="90">
                  <c:v>1.1855</c:v>
                </c:pt>
                <c:pt idx="91">
                  <c:v>0.57299999999999995</c:v>
                </c:pt>
                <c:pt idx="92">
                  <c:v>1.073</c:v>
                </c:pt>
                <c:pt idx="93">
                  <c:v>1.05175</c:v>
                </c:pt>
                <c:pt idx="94">
                  <c:v>0.54574999999999996</c:v>
                </c:pt>
                <c:pt idx="95">
                  <c:v>0.54074999999999995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E-4EB8-BC11-45CA171F3704}"/>
            </c:ext>
          </c:extLst>
        </c:ser>
        <c:ser>
          <c:idx val="1"/>
          <c:order val="1"/>
          <c:tx>
            <c:strRef>
              <c:f>Leden!$D$1:$D$2</c:f>
              <c:strCache>
                <c:ptCount val="2"/>
                <c:pt idx="0">
                  <c:v>Přímá vlastní spotřeba z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Leden!$D$3:$D$98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2E-3</c:v>
                </c:pt>
                <c:pt idx="34">
                  <c:v>5.0000000000000001E-3</c:v>
                </c:pt>
                <c:pt idx="35">
                  <c:v>1.0999999999999999E-2</c:v>
                </c:pt>
                <c:pt idx="36">
                  <c:v>2.4E-2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1.0257500000000002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0.28799999999999998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2.4E-2</c:v>
                </c:pt>
                <c:pt idx="61">
                  <c:v>1.0999999999999999E-2</c:v>
                </c:pt>
                <c:pt idx="62">
                  <c:v>5.0000000000000001E-3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E-4EB8-BC11-45CA171F3704}"/>
            </c:ext>
          </c:extLst>
        </c:ser>
        <c:ser>
          <c:idx val="2"/>
          <c:order val="2"/>
          <c:tx>
            <c:strRef>
              <c:f>Leden!$E$1:$E$2</c:f>
              <c:strCache>
                <c:ptCount val="2"/>
                <c:pt idx="0">
                  <c:v>Výroba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Leden!$E$3:$E$98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2E-3</c:v>
                </c:pt>
                <c:pt idx="34">
                  <c:v>5.0000000000000001E-3</c:v>
                </c:pt>
                <c:pt idx="35">
                  <c:v>1.0999999999999999E-2</c:v>
                </c:pt>
                <c:pt idx="36">
                  <c:v>2.4E-2</c:v>
                </c:pt>
                <c:pt idx="37">
                  <c:v>4.8000000000000001E-2</c:v>
                </c:pt>
                <c:pt idx="38">
                  <c:v>9.2999999999999999E-2</c:v>
                </c:pt>
                <c:pt idx="39">
                  <c:v>0.16900000000000001</c:v>
                </c:pt>
                <c:pt idx="40">
                  <c:v>0.28799999999999998</c:v>
                </c:pt>
                <c:pt idx="41">
                  <c:v>0.46</c:v>
                </c:pt>
                <c:pt idx="42">
                  <c:v>0.69</c:v>
                </c:pt>
                <c:pt idx="43">
                  <c:v>0.97299999999999998</c:v>
                </c:pt>
                <c:pt idx="44">
                  <c:v>1.2889999999999999</c:v>
                </c:pt>
                <c:pt idx="45">
                  <c:v>1.6040000000000001</c:v>
                </c:pt>
                <c:pt idx="46">
                  <c:v>1.875</c:v>
                </c:pt>
                <c:pt idx="47">
                  <c:v>2.06</c:v>
                </c:pt>
                <c:pt idx="48">
                  <c:v>2.125</c:v>
                </c:pt>
                <c:pt idx="49">
                  <c:v>2.06</c:v>
                </c:pt>
                <c:pt idx="50">
                  <c:v>1.875</c:v>
                </c:pt>
                <c:pt idx="51">
                  <c:v>1.6040000000000001</c:v>
                </c:pt>
                <c:pt idx="52">
                  <c:v>1.2889999999999999</c:v>
                </c:pt>
                <c:pt idx="53">
                  <c:v>0.97299999999999998</c:v>
                </c:pt>
                <c:pt idx="54">
                  <c:v>0.69</c:v>
                </c:pt>
                <c:pt idx="55">
                  <c:v>0.46</c:v>
                </c:pt>
                <c:pt idx="56">
                  <c:v>0.28799999999999998</c:v>
                </c:pt>
                <c:pt idx="57">
                  <c:v>0.16900000000000001</c:v>
                </c:pt>
                <c:pt idx="58">
                  <c:v>9.2999999999999999E-2</c:v>
                </c:pt>
                <c:pt idx="59">
                  <c:v>4.8000000000000001E-2</c:v>
                </c:pt>
                <c:pt idx="60">
                  <c:v>2.4E-2</c:v>
                </c:pt>
                <c:pt idx="61">
                  <c:v>1.0999999999999999E-2</c:v>
                </c:pt>
                <c:pt idx="62">
                  <c:v>5.0000000000000001E-3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BE-4EB8-BC11-45CA171F3704}"/>
            </c:ext>
          </c:extLst>
        </c:ser>
        <c:ser>
          <c:idx val="3"/>
          <c:order val="3"/>
          <c:tx>
            <c:strRef>
              <c:f>Leden!$F$1:$F$2</c:f>
              <c:strCache>
                <c:ptCount val="2"/>
                <c:pt idx="0">
                  <c:v>Odběr z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Leden!$F$3:$F$98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2.1895000000000016</c:v>
                </c:pt>
                <c:pt idx="28">
                  <c:v>1.8387500000000019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1.2312225651577355</c:v>
                </c:pt>
                <c:pt idx="73">
                  <c:v>2.3280000000000003</c:v>
                </c:pt>
                <c:pt idx="74">
                  <c:v>0.84625000000000017</c:v>
                </c:pt>
                <c:pt idx="75">
                  <c:v>0.86750000000000038</c:v>
                </c:pt>
                <c:pt idx="76">
                  <c:v>0.91200000000000037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0.33125000000000115</c:v>
                </c:pt>
                <c:pt idx="84">
                  <c:v>0.8995000000000013</c:v>
                </c:pt>
                <c:pt idx="85">
                  <c:v>0.91175000000000139</c:v>
                </c:pt>
                <c:pt idx="86">
                  <c:v>0.93750000000000155</c:v>
                </c:pt>
                <c:pt idx="87">
                  <c:v>0.45575000000000143</c:v>
                </c:pt>
                <c:pt idx="88">
                  <c:v>0.47400000000000153</c:v>
                </c:pt>
                <c:pt idx="89">
                  <c:v>0.48825000000000163</c:v>
                </c:pt>
                <c:pt idx="90">
                  <c:v>0.51400000000000179</c:v>
                </c:pt>
                <c:pt idx="91">
                  <c:v>0</c:v>
                </c:pt>
                <c:pt idx="92">
                  <c:v>0.43800000000000194</c:v>
                </c:pt>
                <c:pt idx="93">
                  <c:v>0.43500000000000205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BE-4EB8-BC11-45CA171F3704}"/>
            </c:ext>
          </c:extLst>
        </c:ser>
        <c:ser>
          <c:idx val="4"/>
          <c:order val="4"/>
          <c:tx>
            <c:strRef>
              <c:f>Leden!$G$1:$G$2</c:f>
              <c:strCache>
                <c:ptCount val="2"/>
                <c:pt idx="0">
                  <c:v>Přetok do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Leden!$G$3:$G$98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3.4330246913574669E-2</c:v>
                </c:pt>
                <c:pt idx="53">
                  <c:v>0.94724999999999993</c:v>
                </c:pt>
                <c:pt idx="54">
                  <c:v>0.62144135802469258</c:v>
                </c:pt>
                <c:pt idx="55">
                  <c:v>0.3961978737997251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BE-4EB8-BC11-45CA171F3704}"/>
            </c:ext>
          </c:extLst>
        </c:ser>
        <c:ser>
          <c:idx val="5"/>
          <c:order val="5"/>
          <c:tx>
            <c:strRef>
              <c:f>Leden!$H$1:$H$2</c:f>
              <c:strCache>
                <c:ptCount val="2"/>
                <c:pt idx="0">
                  <c:v>Spotřeba z baterie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Leden!$H$3:$H$98</c:f>
              <c:numCache>
                <c:formatCode>0.000</c:formatCode>
                <c:ptCount val="96"/>
                <c:pt idx="0">
                  <c:v>0.54449999999999998</c:v>
                </c:pt>
                <c:pt idx="1">
                  <c:v>0.54449999999999998</c:v>
                </c:pt>
                <c:pt idx="2">
                  <c:v>0.54449999999999998</c:v>
                </c:pt>
                <c:pt idx="3">
                  <c:v>0.54449999999999998</c:v>
                </c:pt>
                <c:pt idx="4">
                  <c:v>0.54449999999999998</c:v>
                </c:pt>
                <c:pt idx="5">
                  <c:v>0.54449999999999998</c:v>
                </c:pt>
                <c:pt idx="6">
                  <c:v>0.54449999999999998</c:v>
                </c:pt>
                <c:pt idx="7">
                  <c:v>0.54449999999999998</c:v>
                </c:pt>
                <c:pt idx="8">
                  <c:v>0.54449999999999998</c:v>
                </c:pt>
                <c:pt idx="9">
                  <c:v>0.52574999999999994</c:v>
                </c:pt>
                <c:pt idx="10">
                  <c:v>0.52574999999999994</c:v>
                </c:pt>
                <c:pt idx="11">
                  <c:v>0.52574999999999994</c:v>
                </c:pt>
                <c:pt idx="12">
                  <c:v>0.52574999999999994</c:v>
                </c:pt>
                <c:pt idx="13">
                  <c:v>0.52574999999999994</c:v>
                </c:pt>
                <c:pt idx="14">
                  <c:v>0.52574999999999994</c:v>
                </c:pt>
                <c:pt idx="15">
                  <c:v>0.52574999999999994</c:v>
                </c:pt>
                <c:pt idx="16">
                  <c:v>0.52574999999999994</c:v>
                </c:pt>
                <c:pt idx="17">
                  <c:v>0.52574999999999994</c:v>
                </c:pt>
                <c:pt idx="18">
                  <c:v>0.52574999999999994</c:v>
                </c:pt>
                <c:pt idx="19">
                  <c:v>0.52574999999999994</c:v>
                </c:pt>
                <c:pt idx="20">
                  <c:v>0.52574999999999994</c:v>
                </c:pt>
                <c:pt idx="21">
                  <c:v>0.52574999999999994</c:v>
                </c:pt>
                <c:pt idx="22">
                  <c:v>0.52574999999999994</c:v>
                </c:pt>
                <c:pt idx="23">
                  <c:v>0.53074999999999994</c:v>
                </c:pt>
                <c:pt idx="24">
                  <c:v>0.53174999999999994</c:v>
                </c:pt>
                <c:pt idx="25">
                  <c:v>0.54074999999999995</c:v>
                </c:pt>
                <c:pt idx="26">
                  <c:v>0.73324999999999996</c:v>
                </c:pt>
                <c:pt idx="27">
                  <c:v>0.72624999999999851</c:v>
                </c:pt>
                <c:pt idx="28">
                  <c:v>0.70799999999999841</c:v>
                </c:pt>
                <c:pt idx="29">
                  <c:v>0.54674999999999996</c:v>
                </c:pt>
                <c:pt idx="30">
                  <c:v>0.59675</c:v>
                </c:pt>
                <c:pt idx="31">
                  <c:v>0.53374999999999995</c:v>
                </c:pt>
                <c:pt idx="32">
                  <c:v>0.53274999999999995</c:v>
                </c:pt>
                <c:pt idx="33">
                  <c:v>2.375E-2</c:v>
                </c:pt>
                <c:pt idx="34">
                  <c:v>2.0749999999999998E-2</c:v>
                </c:pt>
                <c:pt idx="35">
                  <c:v>1.4749999999999999E-2</c:v>
                </c:pt>
                <c:pt idx="36">
                  <c:v>1.7499999999999981E-3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0.73775000000000013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1.7499999999999981E-3</c:v>
                </c:pt>
                <c:pt idx="61">
                  <c:v>1.4749999999999999E-2</c:v>
                </c:pt>
                <c:pt idx="62">
                  <c:v>2.0749999999999998E-2</c:v>
                </c:pt>
                <c:pt idx="63">
                  <c:v>2.375E-2</c:v>
                </c:pt>
                <c:pt idx="64">
                  <c:v>1.0247500000000003</c:v>
                </c:pt>
                <c:pt idx="65">
                  <c:v>1.0307500000000001</c:v>
                </c:pt>
                <c:pt idx="66">
                  <c:v>1.0807500000000001</c:v>
                </c:pt>
                <c:pt idx="67">
                  <c:v>1.06325</c:v>
                </c:pt>
                <c:pt idx="68">
                  <c:v>1.0707499999999999</c:v>
                </c:pt>
                <c:pt idx="69">
                  <c:v>1.0707499999999999</c:v>
                </c:pt>
                <c:pt idx="70">
                  <c:v>2.5747499999999999</c:v>
                </c:pt>
                <c:pt idx="71">
                  <c:v>3.3247499999999999</c:v>
                </c:pt>
                <c:pt idx="72">
                  <c:v>2.0935274348422643</c:v>
                </c:pt>
                <c:pt idx="73">
                  <c:v>0.9817499999999999</c:v>
                </c:pt>
                <c:pt idx="74">
                  <c:v>0.9634999999999998</c:v>
                </c:pt>
                <c:pt idx="75">
                  <c:v>0.9452499999999997</c:v>
                </c:pt>
                <c:pt idx="76">
                  <c:v>0.9269999999999996</c:v>
                </c:pt>
                <c:pt idx="77">
                  <c:v>0.56399999999999995</c:v>
                </c:pt>
                <c:pt idx="78">
                  <c:v>0.62649999999999995</c:v>
                </c:pt>
                <c:pt idx="79">
                  <c:v>0.63049999999999995</c:v>
                </c:pt>
                <c:pt idx="80">
                  <c:v>0.63049999999999995</c:v>
                </c:pt>
                <c:pt idx="81">
                  <c:v>0.63049999999999995</c:v>
                </c:pt>
                <c:pt idx="82">
                  <c:v>0.63049999999999995</c:v>
                </c:pt>
                <c:pt idx="83">
                  <c:v>0.79924999999999891</c:v>
                </c:pt>
                <c:pt idx="84">
                  <c:v>0.78099999999999881</c:v>
                </c:pt>
                <c:pt idx="85">
                  <c:v>0.76274999999999871</c:v>
                </c:pt>
                <c:pt idx="86">
                  <c:v>0.74449999999999861</c:v>
                </c:pt>
                <c:pt idx="87">
                  <c:v>0.72624999999999851</c:v>
                </c:pt>
                <c:pt idx="88">
                  <c:v>0.70799999999999841</c:v>
                </c:pt>
                <c:pt idx="89">
                  <c:v>0.68974999999999831</c:v>
                </c:pt>
                <c:pt idx="90">
                  <c:v>0.67149999999999821</c:v>
                </c:pt>
                <c:pt idx="91">
                  <c:v>0.57299999999999995</c:v>
                </c:pt>
                <c:pt idx="92">
                  <c:v>0.63499999999999801</c:v>
                </c:pt>
                <c:pt idx="93">
                  <c:v>0.61674999999999791</c:v>
                </c:pt>
                <c:pt idx="94">
                  <c:v>0.54574999999999996</c:v>
                </c:pt>
                <c:pt idx="95">
                  <c:v>0.54074999999999995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BE-4EB8-BC11-45CA171F3704}"/>
            </c:ext>
          </c:extLst>
        </c:ser>
        <c:ser>
          <c:idx val="6"/>
          <c:order val="6"/>
          <c:tx>
            <c:strRef>
              <c:f>Leden!$I$1:$I$2</c:f>
              <c:strCache>
                <c:ptCount val="2"/>
                <c:pt idx="0">
                  <c:v>Bilance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Leden!$I$3:$I$98</c:f>
              <c:numCache>
                <c:formatCode>0.000</c:formatCode>
                <c:ptCount val="96"/>
                <c:pt idx="0">
                  <c:v>-0.54449999999999998</c:v>
                </c:pt>
                <c:pt idx="1">
                  <c:v>-0.54449999999999998</c:v>
                </c:pt>
                <c:pt idx="2">
                  <c:v>-0.54449999999999998</c:v>
                </c:pt>
                <c:pt idx="3">
                  <c:v>-0.54449999999999998</c:v>
                </c:pt>
                <c:pt idx="4">
                  <c:v>-0.54449999999999998</c:v>
                </c:pt>
                <c:pt idx="5">
                  <c:v>-0.54449999999999998</c:v>
                </c:pt>
                <c:pt idx="6">
                  <c:v>-0.54449999999999998</c:v>
                </c:pt>
                <c:pt idx="7">
                  <c:v>-0.54449999999999998</c:v>
                </c:pt>
                <c:pt idx="8">
                  <c:v>-0.54449999999999998</c:v>
                </c:pt>
                <c:pt idx="9">
                  <c:v>-0.52574999999999994</c:v>
                </c:pt>
                <c:pt idx="10">
                  <c:v>-0.52574999999999994</c:v>
                </c:pt>
                <c:pt idx="11">
                  <c:v>-0.52574999999999994</c:v>
                </c:pt>
                <c:pt idx="12">
                  <c:v>-0.52574999999999994</c:v>
                </c:pt>
                <c:pt idx="13">
                  <c:v>-0.52574999999999994</c:v>
                </c:pt>
                <c:pt idx="14">
                  <c:v>-0.52574999999999994</c:v>
                </c:pt>
                <c:pt idx="15">
                  <c:v>-0.52574999999999994</c:v>
                </c:pt>
                <c:pt idx="16">
                  <c:v>-0.52574999999999994</c:v>
                </c:pt>
                <c:pt idx="17">
                  <c:v>-0.52574999999999994</c:v>
                </c:pt>
                <c:pt idx="18">
                  <c:v>-0.52574999999999994</c:v>
                </c:pt>
                <c:pt idx="19">
                  <c:v>-0.52574999999999994</c:v>
                </c:pt>
                <c:pt idx="20">
                  <c:v>-0.52574999999999994</c:v>
                </c:pt>
                <c:pt idx="21">
                  <c:v>-0.52574999999999994</c:v>
                </c:pt>
                <c:pt idx="22">
                  <c:v>-0.52574999999999994</c:v>
                </c:pt>
                <c:pt idx="23">
                  <c:v>-0.53074999999999994</c:v>
                </c:pt>
                <c:pt idx="24">
                  <c:v>-0.53174999999999994</c:v>
                </c:pt>
                <c:pt idx="25">
                  <c:v>-0.54074999999999995</c:v>
                </c:pt>
                <c:pt idx="26">
                  <c:v>-0.73324999999999996</c:v>
                </c:pt>
                <c:pt idx="27">
                  <c:v>-2.9157500000000001</c:v>
                </c:pt>
                <c:pt idx="28">
                  <c:v>-2.5467500000000003</c:v>
                </c:pt>
                <c:pt idx="29">
                  <c:v>-0.54674999999999996</c:v>
                </c:pt>
                <c:pt idx="30">
                  <c:v>-0.59675</c:v>
                </c:pt>
                <c:pt idx="31">
                  <c:v>-0.53374999999999995</c:v>
                </c:pt>
                <c:pt idx="32">
                  <c:v>-0.53274999999999995</c:v>
                </c:pt>
                <c:pt idx="33">
                  <c:v>-2.375E-2</c:v>
                </c:pt>
                <c:pt idx="34">
                  <c:v>-2.0749999999999998E-2</c:v>
                </c:pt>
                <c:pt idx="35">
                  <c:v>-1.4749999999999999E-2</c:v>
                </c:pt>
                <c:pt idx="36">
                  <c:v>-1.7499999999999981E-3</c:v>
                </c:pt>
                <c:pt idx="37">
                  <c:v>2.2250000000000002E-2</c:v>
                </c:pt>
                <c:pt idx="38">
                  <c:v>6.7250000000000004E-2</c:v>
                </c:pt>
                <c:pt idx="39">
                  <c:v>0.14325000000000002</c:v>
                </c:pt>
                <c:pt idx="40">
                  <c:v>0.26224999999999998</c:v>
                </c:pt>
                <c:pt idx="41">
                  <c:v>0.43425000000000002</c:v>
                </c:pt>
                <c:pt idx="42">
                  <c:v>0.6642499999999999</c:v>
                </c:pt>
                <c:pt idx="43">
                  <c:v>0.94724999999999993</c:v>
                </c:pt>
                <c:pt idx="44">
                  <c:v>0.26324999999999976</c:v>
                </c:pt>
                <c:pt idx="45">
                  <c:v>1.5782500000000002</c:v>
                </c:pt>
                <c:pt idx="46">
                  <c:v>1.8492500000000001</c:v>
                </c:pt>
                <c:pt idx="47">
                  <c:v>2.0342500000000001</c:v>
                </c:pt>
                <c:pt idx="48">
                  <c:v>2.0992500000000001</c:v>
                </c:pt>
                <c:pt idx="49">
                  <c:v>2.0342500000000001</c:v>
                </c:pt>
                <c:pt idx="50">
                  <c:v>1.8492500000000001</c:v>
                </c:pt>
                <c:pt idx="51">
                  <c:v>1.5782500000000002</c:v>
                </c:pt>
                <c:pt idx="52">
                  <c:v>1.26325</c:v>
                </c:pt>
                <c:pt idx="53">
                  <c:v>0.94724999999999993</c:v>
                </c:pt>
                <c:pt idx="54">
                  <c:v>0.6642499999999999</c:v>
                </c:pt>
                <c:pt idx="55">
                  <c:v>0.43425000000000002</c:v>
                </c:pt>
                <c:pt idx="56">
                  <c:v>-0.73775000000000013</c:v>
                </c:pt>
                <c:pt idx="57">
                  <c:v>0.14325000000000002</c:v>
                </c:pt>
                <c:pt idx="58">
                  <c:v>6.7250000000000004E-2</c:v>
                </c:pt>
                <c:pt idx="59">
                  <c:v>2.2250000000000002E-2</c:v>
                </c:pt>
                <c:pt idx="60">
                  <c:v>-1.7499999999999981E-3</c:v>
                </c:pt>
                <c:pt idx="61">
                  <c:v>-1.4749999999999999E-2</c:v>
                </c:pt>
                <c:pt idx="62">
                  <c:v>-2.0749999999999998E-2</c:v>
                </c:pt>
                <c:pt idx="63">
                  <c:v>-2.375E-2</c:v>
                </c:pt>
                <c:pt idx="64">
                  <c:v>-1.0247500000000003</c:v>
                </c:pt>
                <c:pt idx="65">
                  <c:v>-1.0307500000000001</c:v>
                </c:pt>
                <c:pt idx="66">
                  <c:v>-1.0807500000000001</c:v>
                </c:pt>
                <c:pt idx="67">
                  <c:v>-1.06325</c:v>
                </c:pt>
                <c:pt idx="68">
                  <c:v>-1.0707499999999999</c:v>
                </c:pt>
                <c:pt idx="69">
                  <c:v>-1.0707499999999999</c:v>
                </c:pt>
                <c:pt idx="70">
                  <c:v>-2.5747499999999999</c:v>
                </c:pt>
                <c:pt idx="71">
                  <c:v>-3.3247499999999999</c:v>
                </c:pt>
                <c:pt idx="72">
                  <c:v>-3.3247499999999999</c:v>
                </c:pt>
                <c:pt idx="73">
                  <c:v>-3.3097500000000002</c:v>
                </c:pt>
                <c:pt idx="74">
                  <c:v>-1.80975</c:v>
                </c:pt>
                <c:pt idx="75">
                  <c:v>-1.8127500000000001</c:v>
                </c:pt>
                <c:pt idx="76">
                  <c:v>-1.839</c:v>
                </c:pt>
                <c:pt idx="77">
                  <c:v>-0.56399999999999995</c:v>
                </c:pt>
                <c:pt idx="78">
                  <c:v>-0.62649999999999995</c:v>
                </c:pt>
                <c:pt idx="79">
                  <c:v>-0.63049999999999995</c:v>
                </c:pt>
                <c:pt idx="80">
                  <c:v>-0.63049999999999995</c:v>
                </c:pt>
                <c:pt idx="81">
                  <c:v>-0.63049999999999995</c:v>
                </c:pt>
                <c:pt idx="82">
                  <c:v>-0.63049999999999995</c:v>
                </c:pt>
                <c:pt idx="83">
                  <c:v>-1.1305000000000001</c:v>
                </c:pt>
                <c:pt idx="84">
                  <c:v>-1.6805000000000001</c:v>
                </c:pt>
                <c:pt idx="85">
                  <c:v>-1.6745000000000001</c:v>
                </c:pt>
                <c:pt idx="86">
                  <c:v>-1.6820000000000002</c:v>
                </c:pt>
                <c:pt idx="87">
                  <c:v>-1.1819999999999999</c:v>
                </c:pt>
                <c:pt idx="88">
                  <c:v>-1.1819999999999999</c:v>
                </c:pt>
                <c:pt idx="89">
                  <c:v>-1.1779999999999999</c:v>
                </c:pt>
                <c:pt idx="90">
                  <c:v>-1.1855</c:v>
                </c:pt>
                <c:pt idx="91">
                  <c:v>-0.57299999999999995</c:v>
                </c:pt>
                <c:pt idx="92">
                  <c:v>-1.073</c:v>
                </c:pt>
                <c:pt idx="93">
                  <c:v>-1.05175</c:v>
                </c:pt>
                <c:pt idx="94">
                  <c:v>-0.54574999999999996</c:v>
                </c:pt>
                <c:pt idx="95">
                  <c:v>-0.54074999999999995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BE-4EB8-BC11-45CA171F3704}"/>
            </c:ext>
          </c:extLst>
        </c:ser>
        <c:ser>
          <c:idx val="7"/>
          <c:order val="7"/>
          <c:tx>
            <c:strRef>
              <c:f>Leden!$J$1:$J$2</c:f>
              <c:strCache>
                <c:ptCount val="2"/>
                <c:pt idx="0">
                  <c:v>Stav baterie</c:v>
                </c:pt>
                <c:pt idx="1">
                  <c:v>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Leden!$J$3:$J$98</c:f>
              <c:numCache>
                <c:formatCode>0.000</c:formatCode>
                <c:ptCount val="96"/>
                <c:pt idx="0">
                  <c:v>9.356472222222223</c:v>
                </c:pt>
                <c:pt idx="1">
                  <c:v>8.7129444444444459</c:v>
                </c:pt>
                <c:pt idx="2">
                  <c:v>8.0694166666666689</c:v>
                </c:pt>
                <c:pt idx="3">
                  <c:v>7.425888888888891</c:v>
                </c:pt>
                <c:pt idx="4">
                  <c:v>6.7823611111111131</c:v>
                </c:pt>
                <c:pt idx="5">
                  <c:v>6.1388333333333351</c:v>
                </c:pt>
                <c:pt idx="6">
                  <c:v>5.4953055555555572</c:v>
                </c:pt>
                <c:pt idx="7">
                  <c:v>4.8517777777777793</c:v>
                </c:pt>
                <c:pt idx="8">
                  <c:v>4.2082500000000014</c:v>
                </c:pt>
                <c:pt idx="9">
                  <c:v>3.5855555555555569</c:v>
                </c:pt>
                <c:pt idx="10">
                  <c:v>2.9628611111111125</c:v>
                </c:pt>
                <c:pt idx="11">
                  <c:v>2.3401666666666681</c:v>
                </c:pt>
                <c:pt idx="12">
                  <c:v>1.9817499999999999</c:v>
                </c:pt>
                <c:pt idx="13">
                  <c:v>1.9634999999999998</c:v>
                </c:pt>
                <c:pt idx="14">
                  <c:v>1.9452499999999997</c:v>
                </c:pt>
                <c:pt idx="15">
                  <c:v>1.9269999999999996</c:v>
                </c:pt>
                <c:pt idx="16">
                  <c:v>1.9087499999999995</c:v>
                </c:pt>
                <c:pt idx="17">
                  <c:v>1.8904999999999994</c:v>
                </c:pt>
                <c:pt idx="18">
                  <c:v>1.8722499999999993</c:v>
                </c:pt>
                <c:pt idx="19">
                  <c:v>1.8539999999999992</c:v>
                </c:pt>
                <c:pt idx="20">
                  <c:v>1.8357499999999991</c:v>
                </c:pt>
                <c:pt idx="21">
                  <c:v>1.817499999999999</c:v>
                </c:pt>
                <c:pt idx="22">
                  <c:v>1.7992499999999989</c:v>
                </c:pt>
                <c:pt idx="23">
                  <c:v>1.7809999999999988</c:v>
                </c:pt>
                <c:pt idx="24">
                  <c:v>1.7627499999999987</c:v>
                </c:pt>
                <c:pt idx="25">
                  <c:v>1.7444999999999986</c:v>
                </c:pt>
                <c:pt idx="26">
                  <c:v>1.7262499999999985</c:v>
                </c:pt>
                <c:pt idx="27">
                  <c:v>1.7079999999999984</c:v>
                </c:pt>
                <c:pt idx="28">
                  <c:v>1.6897499999999983</c:v>
                </c:pt>
                <c:pt idx="29">
                  <c:v>1.6714999999999982</c:v>
                </c:pt>
                <c:pt idx="30">
                  <c:v>1.6532499999999981</c:v>
                </c:pt>
                <c:pt idx="31">
                  <c:v>1.634999999999998</c:v>
                </c:pt>
                <c:pt idx="32">
                  <c:v>1.6167499999999979</c:v>
                </c:pt>
                <c:pt idx="33">
                  <c:v>1.5984999999999978</c:v>
                </c:pt>
                <c:pt idx="34">
                  <c:v>1.5802499999999977</c:v>
                </c:pt>
                <c:pt idx="35">
                  <c:v>1.5619999999999976</c:v>
                </c:pt>
                <c:pt idx="36">
                  <c:v>1.5437499999999975</c:v>
                </c:pt>
                <c:pt idx="37">
                  <c:v>1.5477499999999975</c:v>
                </c:pt>
                <c:pt idx="38">
                  <c:v>1.5967499999999974</c:v>
                </c:pt>
                <c:pt idx="39">
                  <c:v>1.7217499999999974</c:v>
                </c:pt>
                <c:pt idx="40">
                  <c:v>1.9657499999999972</c:v>
                </c:pt>
                <c:pt idx="41">
                  <c:v>2.3817499999999971</c:v>
                </c:pt>
                <c:pt idx="42">
                  <c:v>3.0074722222222192</c:v>
                </c:pt>
                <c:pt idx="43">
                  <c:v>3.9161944444444412</c:v>
                </c:pt>
                <c:pt idx="44">
                  <c:v>4.140916666666663</c:v>
                </c:pt>
                <c:pt idx="45">
                  <c:v>5.6806388888888852</c:v>
                </c:pt>
                <c:pt idx="46">
                  <c:v>7.4913611111111083</c:v>
                </c:pt>
                <c:pt idx="47">
                  <c:v>9.4870833333333291</c:v>
                </c:pt>
                <c:pt idx="48">
                  <c:v>11.54780555555555</c:v>
                </c:pt>
                <c:pt idx="49">
                  <c:v>13.543527777777772</c:v>
                </c:pt>
                <c:pt idx="50">
                  <c:v>15.354249999999993</c:v>
                </c:pt>
                <c:pt idx="51">
                  <c:v>16.893972222222217</c:v>
                </c:pt>
                <c:pt idx="52">
                  <c:v>18</c:v>
                </c:pt>
                <c:pt idx="53">
                  <c:v>17.961472222222223</c:v>
                </c:pt>
                <c:pt idx="54">
                  <c:v>17.965753086419753</c:v>
                </c:pt>
                <c:pt idx="55">
                  <c:v>17.96527743484225</c:v>
                </c:pt>
                <c:pt idx="56">
                  <c:v>17.107027434842252</c:v>
                </c:pt>
                <c:pt idx="57">
                  <c:v>17.211749657064473</c:v>
                </c:pt>
                <c:pt idx="58">
                  <c:v>17.240471879286698</c:v>
                </c:pt>
                <c:pt idx="59">
                  <c:v>17.224194101508921</c:v>
                </c:pt>
                <c:pt idx="60">
                  <c:v>17.183721879286701</c:v>
                </c:pt>
                <c:pt idx="61">
                  <c:v>17.128805212620037</c:v>
                </c:pt>
                <c:pt idx="62">
                  <c:v>17.067221879286706</c:v>
                </c:pt>
                <c:pt idx="63">
                  <c:v>17.00230521262004</c:v>
                </c:pt>
                <c:pt idx="64">
                  <c:v>15.825166323731152</c:v>
                </c:pt>
                <c:pt idx="65">
                  <c:v>14.641360768175597</c:v>
                </c:pt>
                <c:pt idx="66">
                  <c:v>13.401999657064485</c:v>
                </c:pt>
                <c:pt idx="67">
                  <c:v>12.182082990397818</c:v>
                </c:pt>
                <c:pt idx="68">
                  <c:v>10.953832990397819</c:v>
                </c:pt>
                <c:pt idx="69">
                  <c:v>9.7255829903978199</c:v>
                </c:pt>
                <c:pt idx="70">
                  <c:v>6.8262218792867086</c:v>
                </c:pt>
                <c:pt idx="71">
                  <c:v>3.0935274348422643</c:v>
                </c:pt>
                <c:pt idx="72">
                  <c:v>1.9817499999999999</c:v>
                </c:pt>
                <c:pt idx="73">
                  <c:v>1.9634999999999998</c:v>
                </c:pt>
                <c:pt idx="74">
                  <c:v>1.9452499999999997</c:v>
                </c:pt>
                <c:pt idx="75">
                  <c:v>1.9269999999999996</c:v>
                </c:pt>
                <c:pt idx="76">
                  <c:v>1.9087499999999995</c:v>
                </c:pt>
                <c:pt idx="77">
                  <c:v>1.8904999999999994</c:v>
                </c:pt>
                <c:pt idx="78">
                  <c:v>1.8722499999999993</c:v>
                </c:pt>
                <c:pt idx="79">
                  <c:v>1.8539999999999992</c:v>
                </c:pt>
                <c:pt idx="80">
                  <c:v>1.8357499999999991</c:v>
                </c:pt>
                <c:pt idx="81">
                  <c:v>1.817499999999999</c:v>
                </c:pt>
                <c:pt idx="82">
                  <c:v>1.7992499999999989</c:v>
                </c:pt>
                <c:pt idx="83">
                  <c:v>1.7809999999999988</c:v>
                </c:pt>
                <c:pt idx="84">
                  <c:v>1.7627499999999987</c:v>
                </c:pt>
                <c:pt idx="85">
                  <c:v>1.7444999999999986</c:v>
                </c:pt>
                <c:pt idx="86">
                  <c:v>1.7262499999999985</c:v>
                </c:pt>
                <c:pt idx="87">
                  <c:v>1.7079999999999984</c:v>
                </c:pt>
                <c:pt idx="88">
                  <c:v>1.6897499999999983</c:v>
                </c:pt>
                <c:pt idx="89">
                  <c:v>1.6714999999999982</c:v>
                </c:pt>
                <c:pt idx="90">
                  <c:v>1.6532499999999981</c:v>
                </c:pt>
                <c:pt idx="91">
                  <c:v>1.634999999999998</c:v>
                </c:pt>
                <c:pt idx="92">
                  <c:v>1.6167499999999979</c:v>
                </c:pt>
                <c:pt idx="93">
                  <c:v>1.5984999999999978</c:v>
                </c:pt>
                <c:pt idx="94">
                  <c:v>1.5802499999999977</c:v>
                </c:pt>
                <c:pt idx="95">
                  <c:v>1.5619999999999976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BE-4EB8-BC11-45CA171F3704}"/>
            </c:ext>
          </c:extLst>
        </c:ser>
        <c:ser>
          <c:idx val="8"/>
          <c:order val="8"/>
          <c:tx>
            <c:strRef>
              <c:f>Leden!$K$1:$K$2</c:f>
              <c:strCache>
                <c:ptCount val="2"/>
                <c:pt idx="0">
                  <c:v>Soc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Leden!$K$3:$K$98</c:f>
              <c:numCache>
                <c:formatCode>0%</c:formatCode>
                <c:ptCount val="96"/>
                <c:pt idx="0">
                  <c:v>0.46782361111111115</c:v>
                </c:pt>
                <c:pt idx="1">
                  <c:v>0.4356472222222223</c:v>
                </c:pt>
                <c:pt idx="2">
                  <c:v>0.40347083333333345</c:v>
                </c:pt>
                <c:pt idx="3">
                  <c:v>0.37129444444444454</c:v>
                </c:pt>
                <c:pt idx="4">
                  <c:v>0.33911805555555563</c:v>
                </c:pt>
                <c:pt idx="5">
                  <c:v>0.30694166666666678</c:v>
                </c:pt>
                <c:pt idx="6">
                  <c:v>0.27476527777777787</c:v>
                </c:pt>
                <c:pt idx="7">
                  <c:v>0.24258888888888896</c:v>
                </c:pt>
                <c:pt idx="8">
                  <c:v>0.21041250000000006</c:v>
                </c:pt>
                <c:pt idx="9">
                  <c:v>0.17927777777777784</c:v>
                </c:pt>
                <c:pt idx="10">
                  <c:v>0.14814305555555562</c:v>
                </c:pt>
                <c:pt idx="11">
                  <c:v>0.11700833333333341</c:v>
                </c:pt>
                <c:pt idx="12">
                  <c:v>9.9087499999999995E-2</c:v>
                </c:pt>
                <c:pt idx="13">
                  <c:v>9.8174999999999985E-2</c:v>
                </c:pt>
                <c:pt idx="14">
                  <c:v>9.7262499999999988E-2</c:v>
                </c:pt>
                <c:pt idx="15">
                  <c:v>9.6349999999999977E-2</c:v>
                </c:pt>
                <c:pt idx="16">
                  <c:v>9.5437499999999981E-2</c:v>
                </c:pt>
                <c:pt idx="17">
                  <c:v>9.452499999999997E-2</c:v>
                </c:pt>
                <c:pt idx="18">
                  <c:v>9.361249999999996E-2</c:v>
                </c:pt>
                <c:pt idx="19">
                  <c:v>9.2699999999999963E-2</c:v>
                </c:pt>
                <c:pt idx="20">
                  <c:v>9.1787499999999952E-2</c:v>
                </c:pt>
                <c:pt idx="21">
                  <c:v>9.0874999999999956E-2</c:v>
                </c:pt>
                <c:pt idx="22">
                  <c:v>8.9962499999999945E-2</c:v>
                </c:pt>
                <c:pt idx="23">
                  <c:v>8.9049999999999935E-2</c:v>
                </c:pt>
                <c:pt idx="24">
                  <c:v>8.8137499999999938E-2</c:v>
                </c:pt>
                <c:pt idx="25">
                  <c:v>8.7224999999999928E-2</c:v>
                </c:pt>
                <c:pt idx="26">
                  <c:v>8.6312499999999931E-2</c:v>
                </c:pt>
                <c:pt idx="27">
                  <c:v>8.539999999999992E-2</c:v>
                </c:pt>
                <c:pt idx="28">
                  <c:v>8.448749999999991E-2</c:v>
                </c:pt>
                <c:pt idx="29">
                  <c:v>8.3574999999999913E-2</c:v>
                </c:pt>
                <c:pt idx="30">
                  <c:v>8.2662499999999903E-2</c:v>
                </c:pt>
                <c:pt idx="31">
                  <c:v>8.1749999999999906E-2</c:v>
                </c:pt>
                <c:pt idx="32">
                  <c:v>8.0837499999999896E-2</c:v>
                </c:pt>
                <c:pt idx="33">
                  <c:v>7.9924999999999885E-2</c:v>
                </c:pt>
                <c:pt idx="34">
                  <c:v>7.9012499999999888E-2</c:v>
                </c:pt>
                <c:pt idx="35">
                  <c:v>7.8099999999999878E-2</c:v>
                </c:pt>
                <c:pt idx="36">
                  <c:v>7.7187499999999881E-2</c:v>
                </c:pt>
                <c:pt idx="37">
                  <c:v>7.7387499999999873E-2</c:v>
                </c:pt>
                <c:pt idx="38">
                  <c:v>7.9837499999999867E-2</c:v>
                </c:pt>
                <c:pt idx="39">
                  <c:v>8.6087499999999872E-2</c:v>
                </c:pt>
                <c:pt idx="40">
                  <c:v>9.8287499999999861E-2</c:v>
                </c:pt>
                <c:pt idx="41">
                  <c:v>0.11908749999999986</c:v>
                </c:pt>
                <c:pt idx="42">
                  <c:v>0.15037361111111097</c:v>
                </c:pt>
                <c:pt idx="43">
                  <c:v>0.19580972222222207</c:v>
                </c:pt>
                <c:pt idx="44">
                  <c:v>0.20704583333333315</c:v>
                </c:pt>
                <c:pt idx="45">
                  <c:v>0.28403194444444424</c:v>
                </c:pt>
                <c:pt idx="46">
                  <c:v>0.37456805555555539</c:v>
                </c:pt>
                <c:pt idx="47">
                  <c:v>0.47435416666666647</c:v>
                </c:pt>
                <c:pt idx="48">
                  <c:v>0.57739027777777752</c:v>
                </c:pt>
                <c:pt idx="49">
                  <c:v>0.67717638888888865</c:v>
                </c:pt>
                <c:pt idx="50">
                  <c:v>0.76771249999999969</c:v>
                </c:pt>
                <c:pt idx="51">
                  <c:v>0.84469861111111089</c:v>
                </c:pt>
                <c:pt idx="52">
                  <c:v>0.9</c:v>
                </c:pt>
                <c:pt idx="53">
                  <c:v>0.89807361111111117</c:v>
                </c:pt>
                <c:pt idx="54">
                  <c:v>0.89828765432098767</c:v>
                </c:pt>
                <c:pt idx="55">
                  <c:v>0.89826387174211253</c:v>
                </c:pt>
                <c:pt idx="56">
                  <c:v>0.85535137174211262</c:v>
                </c:pt>
                <c:pt idx="57">
                  <c:v>0.86058748285322362</c:v>
                </c:pt>
                <c:pt idx="58">
                  <c:v>0.86202359396433492</c:v>
                </c:pt>
                <c:pt idx="59">
                  <c:v>0.86120970507544603</c:v>
                </c:pt>
                <c:pt idx="60">
                  <c:v>0.85918609396433498</c:v>
                </c:pt>
                <c:pt idx="61">
                  <c:v>0.85644026063100187</c:v>
                </c:pt>
                <c:pt idx="62">
                  <c:v>0.85336109396433524</c:v>
                </c:pt>
                <c:pt idx="63">
                  <c:v>0.85011526063100207</c:v>
                </c:pt>
                <c:pt idx="64">
                  <c:v>0.79125831618655762</c:v>
                </c:pt>
                <c:pt idx="65">
                  <c:v>0.73206803840877988</c:v>
                </c:pt>
                <c:pt idx="66">
                  <c:v>0.67009998285322425</c:v>
                </c:pt>
                <c:pt idx="67">
                  <c:v>0.60910414951989089</c:v>
                </c:pt>
                <c:pt idx="68">
                  <c:v>0.54769164951989091</c:v>
                </c:pt>
                <c:pt idx="69">
                  <c:v>0.48627914951989099</c:v>
                </c:pt>
                <c:pt idx="70">
                  <c:v>0.34131109396433545</c:v>
                </c:pt>
                <c:pt idx="71">
                  <c:v>0.15467637174211321</c:v>
                </c:pt>
                <c:pt idx="72">
                  <c:v>9.9087499999999995E-2</c:v>
                </c:pt>
                <c:pt idx="73">
                  <c:v>9.8174999999999985E-2</c:v>
                </c:pt>
                <c:pt idx="74">
                  <c:v>9.7262499999999988E-2</c:v>
                </c:pt>
                <c:pt idx="75">
                  <c:v>9.6349999999999977E-2</c:v>
                </c:pt>
                <c:pt idx="76">
                  <c:v>9.5437499999999981E-2</c:v>
                </c:pt>
                <c:pt idx="77">
                  <c:v>9.452499999999997E-2</c:v>
                </c:pt>
                <c:pt idx="78">
                  <c:v>9.361249999999996E-2</c:v>
                </c:pt>
                <c:pt idx="79">
                  <c:v>9.2699999999999963E-2</c:v>
                </c:pt>
                <c:pt idx="80">
                  <c:v>9.1787499999999952E-2</c:v>
                </c:pt>
                <c:pt idx="81">
                  <c:v>9.0874999999999956E-2</c:v>
                </c:pt>
                <c:pt idx="82">
                  <c:v>8.9962499999999945E-2</c:v>
                </c:pt>
                <c:pt idx="83">
                  <c:v>8.9049999999999935E-2</c:v>
                </c:pt>
                <c:pt idx="84">
                  <c:v>8.8137499999999938E-2</c:v>
                </c:pt>
                <c:pt idx="85">
                  <c:v>8.7224999999999928E-2</c:v>
                </c:pt>
                <c:pt idx="86">
                  <c:v>8.6312499999999931E-2</c:v>
                </c:pt>
                <c:pt idx="87">
                  <c:v>8.539999999999992E-2</c:v>
                </c:pt>
                <c:pt idx="88">
                  <c:v>8.448749999999991E-2</c:v>
                </c:pt>
                <c:pt idx="89">
                  <c:v>8.3574999999999913E-2</c:v>
                </c:pt>
                <c:pt idx="90">
                  <c:v>8.2662499999999903E-2</c:v>
                </c:pt>
                <c:pt idx="91">
                  <c:v>8.1749999999999906E-2</c:v>
                </c:pt>
                <c:pt idx="92">
                  <c:v>8.0837499999999896E-2</c:v>
                </c:pt>
                <c:pt idx="93">
                  <c:v>7.9924999999999885E-2</c:v>
                </c:pt>
                <c:pt idx="94">
                  <c:v>7.9012499999999888E-2</c:v>
                </c:pt>
                <c:pt idx="95">
                  <c:v>7.8099999999999878E-2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BE-4EB8-BC11-45CA171F3704}"/>
            </c:ext>
          </c:extLst>
        </c:ser>
        <c:ser>
          <c:idx val="9"/>
          <c:order val="9"/>
          <c:tx>
            <c:strRef>
              <c:f>Leden!$L$1:$L$2</c:f>
              <c:strCache>
                <c:ptCount val="2"/>
                <c:pt idx="0">
                  <c:v>Nabíjení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Leden!$L$3:$L$98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2.0025000000000001E-2</c:v>
                </c:pt>
                <c:pt idx="38">
                  <c:v>6.0525000000000002E-2</c:v>
                </c:pt>
                <c:pt idx="39">
                  <c:v>0.12892500000000001</c:v>
                </c:pt>
                <c:pt idx="40">
                  <c:v>0.23602499999999998</c:v>
                </c:pt>
                <c:pt idx="41">
                  <c:v>0.39082500000000003</c:v>
                </c:pt>
                <c:pt idx="42">
                  <c:v>0.59782499999999994</c:v>
                </c:pt>
                <c:pt idx="43">
                  <c:v>0.85252499999999998</c:v>
                </c:pt>
                <c:pt idx="44">
                  <c:v>0.2369249999999998</c:v>
                </c:pt>
                <c:pt idx="45">
                  <c:v>1.4204250000000003</c:v>
                </c:pt>
                <c:pt idx="46">
                  <c:v>1.6643250000000001</c:v>
                </c:pt>
                <c:pt idx="47">
                  <c:v>1.8308250000000001</c:v>
                </c:pt>
                <c:pt idx="48">
                  <c:v>1.8893250000000001</c:v>
                </c:pt>
                <c:pt idx="49">
                  <c:v>1.8308250000000001</c:v>
                </c:pt>
                <c:pt idx="50">
                  <c:v>1.6643250000000001</c:v>
                </c:pt>
                <c:pt idx="51">
                  <c:v>1.4204250000000003</c:v>
                </c:pt>
                <c:pt idx="52">
                  <c:v>1.1060277777777827</c:v>
                </c:pt>
                <c:pt idx="53">
                  <c:v>0</c:v>
                </c:pt>
                <c:pt idx="54">
                  <c:v>3.8527777777776606E-2</c:v>
                </c:pt>
                <c:pt idx="55">
                  <c:v>3.4246913580247451E-2</c:v>
                </c:pt>
                <c:pt idx="56">
                  <c:v>0</c:v>
                </c:pt>
                <c:pt idx="57">
                  <c:v>0.12892500000000001</c:v>
                </c:pt>
                <c:pt idx="58">
                  <c:v>6.0525000000000002E-2</c:v>
                </c:pt>
                <c:pt idx="59">
                  <c:v>2.0025000000000001E-2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BE-4EB8-BC11-45CA171F3704}"/>
            </c:ext>
          </c:extLst>
        </c:ser>
        <c:ser>
          <c:idx val="10"/>
          <c:order val="10"/>
          <c:tx>
            <c:strRef>
              <c:f>Leden!$M$1:$M$2</c:f>
              <c:strCache>
                <c:ptCount val="2"/>
                <c:pt idx="0">
                  <c:v>Nabíjení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Leden!$M$3:$M$98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2.2250000000000002E-2</c:v>
                </c:pt>
                <c:pt idx="38">
                  <c:v>6.7250000000000004E-2</c:v>
                </c:pt>
                <c:pt idx="39">
                  <c:v>0.14325000000000002</c:v>
                </c:pt>
                <c:pt idx="40">
                  <c:v>0.26224999999999998</c:v>
                </c:pt>
                <c:pt idx="41">
                  <c:v>0.43425000000000002</c:v>
                </c:pt>
                <c:pt idx="42">
                  <c:v>0.6642499999999999</c:v>
                </c:pt>
                <c:pt idx="43">
                  <c:v>0.94724999999999993</c:v>
                </c:pt>
                <c:pt idx="44">
                  <c:v>0.26324999999999976</c:v>
                </c:pt>
                <c:pt idx="45">
                  <c:v>1.5782500000000002</c:v>
                </c:pt>
                <c:pt idx="46">
                  <c:v>1.8492500000000001</c:v>
                </c:pt>
                <c:pt idx="47">
                  <c:v>2.0342500000000001</c:v>
                </c:pt>
                <c:pt idx="48">
                  <c:v>2.0992500000000001</c:v>
                </c:pt>
                <c:pt idx="49">
                  <c:v>2.0342500000000001</c:v>
                </c:pt>
                <c:pt idx="50">
                  <c:v>1.8492500000000001</c:v>
                </c:pt>
                <c:pt idx="51">
                  <c:v>1.5782500000000002</c:v>
                </c:pt>
                <c:pt idx="52">
                  <c:v>1.2289197530864253</c:v>
                </c:pt>
                <c:pt idx="53">
                  <c:v>0</c:v>
                </c:pt>
                <c:pt idx="54">
                  <c:v>4.2808641975307336E-2</c:v>
                </c:pt>
                <c:pt idx="55">
                  <c:v>3.8052126200274948E-2</c:v>
                </c:pt>
                <c:pt idx="56">
                  <c:v>0</c:v>
                </c:pt>
                <c:pt idx="57">
                  <c:v>0.14325000000000002</c:v>
                </c:pt>
                <c:pt idx="58">
                  <c:v>6.7250000000000004E-2</c:v>
                </c:pt>
                <c:pt idx="59">
                  <c:v>2.2250000000000002E-2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BE-4EB8-BC11-45CA171F3704}"/>
            </c:ext>
          </c:extLst>
        </c:ser>
        <c:ser>
          <c:idx val="11"/>
          <c:order val="11"/>
          <c:tx>
            <c:strRef>
              <c:f>Leden!$N$1:$N$2</c:f>
              <c:strCache>
                <c:ptCount val="2"/>
                <c:pt idx="0">
                  <c:v>Vybíjení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Leden!$N$3:$N$98</c:f>
              <c:numCache>
                <c:formatCode>0.000</c:formatCode>
                <c:ptCount val="96"/>
                <c:pt idx="0">
                  <c:v>0.56274999999999997</c:v>
                </c:pt>
                <c:pt idx="1">
                  <c:v>0.56274999999999997</c:v>
                </c:pt>
                <c:pt idx="2">
                  <c:v>0.56274999999999997</c:v>
                </c:pt>
                <c:pt idx="3">
                  <c:v>0.56274999999999997</c:v>
                </c:pt>
                <c:pt idx="4">
                  <c:v>0.56274999999999997</c:v>
                </c:pt>
                <c:pt idx="5">
                  <c:v>0.56274999999999997</c:v>
                </c:pt>
                <c:pt idx="6">
                  <c:v>0.56274999999999997</c:v>
                </c:pt>
                <c:pt idx="7">
                  <c:v>0.56274999999999997</c:v>
                </c:pt>
                <c:pt idx="8">
                  <c:v>0.56274999999999997</c:v>
                </c:pt>
                <c:pt idx="9">
                  <c:v>0.54399999999999993</c:v>
                </c:pt>
                <c:pt idx="10">
                  <c:v>0.54399999999999993</c:v>
                </c:pt>
                <c:pt idx="11">
                  <c:v>0.54399999999999993</c:v>
                </c:pt>
                <c:pt idx="12">
                  <c:v>0.54399999999999993</c:v>
                </c:pt>
                <c:pt idx="13">
                  <c:v>0.54399999999999993</c:v>
                </c:pt>
                <c:pt idx="14">
                  <c:v>0.54399999999999993</c:v>
                </c:pt>
                <c:pt idx="15">
                  <c:v>0.54399999999999993</c:v>
                </c:pt>
                <c:pt idx="16">
                  <c:v>0.54399999999999993</c:v>
                </c:pt>
                <c:pt idx="17">
                  <c:v>0.54399999999999993</c:v>
                </c:pt>
                <c:pt idx="18">
                  <c:v>0.54399999999999993</c:v>
                </c:pt>
                <c:pt idx="19">
                  <c:v>0.54399999999999993</c:v>
                </c:pt>
                <c:pt idx="20">
                  <c:v>0.54399999999999993</c:v>
                </c:pt>
                <c:pt idx="21">
                  <c:v>0.54399999999999993</c:v>
                </c:pt>
                <c:pt idx="22">
                  <c:v>0.54399999999999993</c:v>
                </c:pt>
                <c:pt idx="23">
                  <c:v>0.54899999999999993</c:v>
                </c:pt>
                <c:pt idx="24">
                  <c:v>0.54999999999999993</c:v>
                </c:pt>
                <c:pt idx="25">
                  <c:v>0.55899999999999994</c:v>
                </c:pt>
                <c:pt idx="26">
                  <c:v>0.74449999999999861</c:v>
                </c:pt>
                <c:pt idx="27">
                  <c:v>0.72624999999999851</c:v>
                </c:pt>
                <c:pt idx="28">
                  <c:v>0.70799999999999841</c:v>
                </c:pt>
                <c:pt idx="29">
                  <c:v>0.56499999999999995</c:v>
                </c:pt>
                <c:pt idx="30">
                  <c:v>0.61499999999999999</c:v>
                </c:pt>
                <c:pt idx="31">
                  <c:v>0.55199999999999994</c:v>
                </c:pt>
                <c:pt idx="32">
                  <c:v>0.55099999999999993</c:v>
                </c:pt>
                <c:pt idx="33">
                  <c:v>4.1999999999999996E-2</c:v>
                </c:pt>
                <c:pt idx="34">
                  <c:v>3.8999999999999993E-2</c:v>
                </c:pt>
                <c:pt idx="35">
                  <c:v>3.3000000000000002E-2</c:v>
                </c:pt>
                <c:pt idx="36">
                  <c:v>1.9999999999999997E-2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0.75600000000000012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1.9999999999999997E-2</c:v>
                </c:pt>
                <c:pt idx="61">
                  <c:v>3.3000000000000002E-2</c:v>
                </c:pt>
                <c:pt idx="62">
                  <c:v>3.8999999999999993E-2</c:v>
                </c:pt>
                <c:pt idx="63">
                  <c:v>4.1999999999999996E-2</c:v>
                </c:pt>
                <c:pt idx="64">
                  <c:v>1.0430000000000004</c:v>
                </c:pt>
                <c:pt idx="65">
                  <c:v>1.0490000000000002</c:v>
                </c:pt>
                <c:pt idx="66">
                  <c:v>1.0990000000000002</c:v>
                </c:pt>
                <c:pt idx="67">
                  <c:v>1.0815000000000001</c:v>
                </c:pt>
                <c:pt idx="68">
                  <c:v>1.089</c:v>
                </c:pt>
                <c:pt idx="69">
                  <c:v>1.089</c:v>
                </c:pt>
                <c:pt idx="70">
                  <c:v>2.593</c:v>
                </c:pt>
                <c:pt idx="71">
                  <c:v>3.343</c:v>
                </c:pt>
                <c:pt idx="72">
                  <c:v>2.0935274348422643</c:v>
                </c:pt>
                <c:pt idx="73">
                  <c:v>0.9817499999999999</c:v>
                </c:pt>
                <c:pt idx="74">
                  <c:v>0.9634999999999998</c:v>
                </c:pt>
                <c:pt idx="75">
                  <c:v>0.9452499999999997</c:v>
                </c:pt>
                <c:pt idx="76">
                  <c:v>0.9269999999999996</c:v>
                </c:pt>
                <c:pt idx="77">
                  <c:v>0.58224999999999993</c:v>
                </c:pt>
                <c:pt idx="78">
                  <c:v>0.64474999999999993</c:v>
                </c:pt>
                <c:pt idx="79">
                  <c:v>0.64874999999999994</c:v>
                </c:pt>
                <c:pt idx="80">
                  <c:v>0.64874999999999994</c:v>
                </c:pt>
                <c:pt idx="81">
                  <c:v>0.64874999999999994</c:v>
                </c:pt>
                <c:pt idx="82">
                  <c:v>0.64874999999999994</c:v>
                </c:pt>
                <c:pt idx="83">
                  <c:v>0.79924999999999891</c:v>
                </c:pt>
                <c:pt idx="84">
                  <c:v>0.78099999999999881</c:v>
                </c:pt>
                <c:pt idx="85">
                  <c:v>0.76274999999999871</c:v>
                </c:pt>
                <c:pt idx="86">
                  <c:v>0.74449999999999861</c:v>
                </c:pt>
                <c:pt idx="87">
                  <c:v>0.72624999999999851</c:v>
                </c:pt>
                <c:pt idx="88">
                  <c:v>0.70799999999999841</c:v>
                </c:pt>
                <c:pt idx="89">
                  <c:v>0.68974999999999831</c:v>
                </c:pt>
                <c:pt idx="90">
                  <c:v>0.67149999999999821</c:v>
                </c:pt>
                <c:pt idx="91">
                  <c:v>0.59124999999999994</c:v>
                </c:pt>
                <c:pt idx="92">
                  <c:v>0.63499999999999801</c:v>
                </c:pt>
                <c:pt idx="93">
                  <c:v>0.61674999999999791</c:v>
                </c:pt>
                <c:pt idx="94">
                  <c:v>0.56399999999999995</c:v>
                </c:pt>
                <c:pt idx="95">
                  <c:v>0.55899999999999994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BE-4EB8-BC11-45CA171F3704}"/>
            </c:ext>
          </c:extLst>
        </c:ser>
        <c:ser>
          <c:idx val="12"/>
          <c:order val="12"/>
          <c:tx>
            <c:strRef>
              <c:f>Leden!$O$1:$O$2</c:f>
              <c:strCache>
                <c:ptCount val="2"/>
                <c:pt idx="0">
                  <c:v>Vybíjení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Leden!$O$3:$O$98</c:f>
              <c:numCache>
                <c:formatCode>0.000</c:formatCode>
                <c:ptCount val="96"/>
                <c:pt idx="0">
                  <c:v>0.62527777777777771</c:v>
                </c:pt>
                <c:pt idx="1">
                  <c:v>0.62527777777777771</c:v>
                </c:pt>
                <c:pt idx="2">
                  <c:v>0.62527777777777771</c:v>
                </c:pt>
                <c:pt idx="3">
                  <c:v>0.62527777777777771</c:v>
                </c:pt>
                <c:pt idx="4">
                  <c:v>0.62527777777777771</c:v>
                </c:pt>
                <c:pt idx="5">
                  <c:v>0.62527777777777771</c:v>
                </c:pt>
                <c:pt idx="6">
                  <c:v>0.62527777777777771</c:v>
                </c:pt>
                <c:pt idx="7">
                  <c:v>0.62527777777777771</c:v>
                </c:pt>
                <c:pt idx="8">
                  <c:v>0.62527777777777771</c:v>
                </c:pt>
                <c:pt idx="9">
                  <c:v>0.60444444444444434</c:v>
                </c:pt>
                <c:pt idx="10">
                  <c:v>0.60444444444444434</c:v>
                </c:pt>
                <c:pt idx="11">
                  <c:v>0.60444444444444434</c:v>
                </c:pt>
                <c:pt idx="12">
                  <c:v>0.60444444444444434</c:v>
                </c:pt>
                <c:pt idx="13">
                  <c:v>0.60444444444444434</c:v>
                </c:pt>
                <c:pt idx="14">
                  <c:v>0.60444444444444434</c:v>
                </c:pt>
                <c:pt idx="15">
                  <c:v>0.60444444444444434</c:v>
                </c:pt>
                <c:pt idx="16">
                  <c:v>0.60444444444444434</c:v>
                </c:pt>
                <c:pt idx="17">
                  <c:v>0.60444444444444434</c:v>
                </c:pt>
                <c:pt idx="18">
                  <c:v>0.60444444444444434</c:v>
                </c:pt>
                <c:pt idx="19">
                  <c:v>0.60444444444444434</c:v>
                </c:pt>
                <c:pt idx="20">
                  <c:v>0.60444444444444434</c:v>
                </c:pt>
                <c:pt idx="21">
                  <c:v>0.60444444444444434</c:v>
                </c:pt>
                <c:pt idx="22">
                  <c:v>0.60444444444444434</c:v>
                </c:pt>
                <c:pt idx="23">
                  <c:v>0.60999999999999988</c:v>
                </c:pt>
                <c:pt idx="24">
                  <c:v>0.61111111111111105</c:v>
                </c:pt>
                <c:pt idx="25">
                  <c:v>0.62111111111111106</c:v>
                </c:pt>
                <c:pt idx="26">
                  <c:v>0.82722222222222064</c:v>
                </c:pt>
                <c:pt idx="27">
                  <c:v>0.8069444444444428</c:v>
                </c:pt>
                <c:pt idx="28">
                  <c:v>0.78666666666666485</c:v>
                </c:pt>
                <c:pt idx="29">
                  <c:v>0.62777777777777766</c:v>
                </c:pt>
                <c:pt idx="30">
                  <c:v>0.68333333333333335</c:v>
                </c:pt>
                <c:pt idx="31">
                  <c:v>0.61333333333333329</c:v>
                </c:pt>
                <c:pt idx="32">
                  <c:v>0.61222222222222211</c:v>
                </c:pt>
                <c:pt idx="33">
                  <c:v>4.6666666666666662E-2</c:v>
                </c:pt>
                <c:pt idx="34">
                  <c:v>4.3333333333333328E-2</c:v>
                </c:pt>
                <c:pt idx="35">
                  <c:v>3.6666666666666667E-2</c:v>
                </c:pt>
                <c:pt idx="36">
                  <c:v>2.222222222222222E-2</c:v>
                </c:pt>
                <c:pt idx="37">
                  <c:v>2.0277777777777777E-2</c:v>
                </c:pt>
                <c:pt idx="38">
                  <c:v>2.0277777777777777E-2</c:v>
                </c:pt>
                <c:pt idx="39">
                  <c:v>2.0277777777777777E-2</c:v>
                </c:pt>
                <c:pt idx="40">
                  <c:v>2.0277777777777777E-2</c:v>
                </c:pt>
                <c:pt idx="41">
                  <c:v>2.0277777777777777E-2</c:v>
                </c:pt>
                <c:pt idx="42">
                  <c:v>2.0277777777777777E-2</c:v>
                </c:pt>
                <c:pt idx="43">
                  <c:v>2.0277777777777777E-2</c:v>
                </c:pt>
                <c:pt idx="44">
                  <c:v>2.0277777777777777E-2</c:v>
                </c:pt>
                <c:pt idx="45">
                  <c:v>2.0277777777777777E-2</c:v>
                </c:pt>
                <c:pt idx="46">
                  <c:v>2.0277777777777777E-2</c:v>
                </c:pt>
                <c:pt idx="47">
                  <c:v>2.0277777777777777E-2</c:v>
                </c:pt>
                <c:pt idx="48">
                  <c:v>2.0277777777777777E-2</c:v>
                </c:pt>
                <c:pt idx="49">
                  <c:v>2.0277777777777777E-2</c:v>
                </c:pt>
                <c:pt idx="50">
                  <c:v>2.0277777777777777E-2</c:v>
                </c:pt>
                <c:pt idx="51">
                  <c:v>2.0277777777777777E-2</c:v>
                </c:pt>
                <c:pt idx="52">
                  <c:v>2.0277777777777777E-2</c:v>
                </c:pt>
                <c:pt idx="53">
                  <c:v>2.0277777777777777E-2</c:v>
                </c:pt>
                <c:pt idx="54">
                  <c:v>2.0277777777777777E-2</c:v>
                </c:pt>
                <c:pt idx="55">
                  <c:v>2.0277777777777777E-2</c:v>
                </c:pt>
                <c:pt idx="56">
                  <c:v>0.84000000000000008</c:v>
                </c:pt>
                <c:pt idx="57">
                  <c:v>2.0277777777777777E-2</c:v>
                </c:pt>
                <c:pt idx="58">
                  <c:v>2.0277777777777777E-2</c:v>
                </c:pt>
                <c:pt idx="59">
                  <c:v>2.0277777777777777E-2</c:v>
                </c:pt>
                <c:pt idx="60">
                  <c:v>2.222222222222222E-2</c:v>
                </c:pt>
                <c:pt idx="61">
                  <c:v>3.6666666666666667E-2</c:v>
                </c:pt>
                <c:pt idx="62">
                  <c:v>4.3333333333333328E-2</c:v>
                </c:pt>
                <c:pt idx="63">
                  <c:v>4.6666666666666662E-2</c:v>
                </c:pt>
                <c:pt idx="64">
                  <c:v>1.1588888888888893</c:v>
                </c:pt>
                <c:pt idx="65">
                  <c:v>1.1655555555555557</c:v>
                </c:pt>
                <c:pt idx="66">
                  <c:v>1.2211111111111113</c:v>
                </c:pt>
                <c:pt idx="67">
                  <c:v>1.2016666666666669</c:v>
                </c:pt>
                <c:pt idx="68">
                  <c:v>1.21</c:v>
                </c:pt>
                <c:pt idx="69">
                  <c:v>1.21</c:v>
                </c:pt>
                <c:pt idx="70">
                  <c:v>2.8811111111111112</c:v>
                </c:pt>
                <c:pt idx="71">
                  <c:v>3.7144444444444442</c:v>
                </c:pt>
                <c:pt idx="72">
                  <c:v>2.3261415942691825</c:v>
                </c:pt>
                <c:pt idx="73">
                  <c:v>1.0908333333333331</c:v>
                </c:pt>
                <c:pt idx="74">
                  <c:v>1.0705555555555553</c:v>
                </c:pt>
                <c:pt idx="75">
                  <c:v>1.0502777777777774</c:v>
                </c:pt>
                <c:pt idx="76">
                  <c:v>1.0299999999999996</c:v>
                </c:pt>
                <c:pt idx="77">
                  <c:v>0.64694444444444432</c:v>
                </c:pt>
                <c:pt idx="78">
                  <c:v>0.71638888888888885</c:v>
                </c:pt>
                <c:pt idx="79">
                  <c:v>0.72083333333333321</c:v>
                </c:pt>
                <c:pt idx="80">
                  <c:v>0.72083333333333321</c:v>
                </c:pt>
                <c:pt idx="81">
                  <c:v>0.72083333333333321</c:v>
                </c:pt>
                <c:pt idx="82">
                  <c:v>0.72083333333333321</c:v>
                </c:pt>
                <c:pt idx="83">
                  <c:v>0.88805555555555427</c:v>
                </c:pt>
                <c:pt idx="84">
                  <c:v>0.86777777777777643</c:v>
                </c:pt>
                <c:pt idx="85">
                  <c:v>0.84749999999999859</c:v>
                </c:pt>
                <c:pt idx="86">
                  <c:v>0.82722222222222064</c:v>
                </c:pt>
                <c:pt idx="87">
                  <c:v>0.8069444444444428</c:v>
                </c:pt>
                <c:pt idx="88">
                  <c:v>0.78666666666666485</c:v>
                </c:pt>
                <c:pt idx="89">
                  <c:v>0.76638888888888701</c:v>
                </c:pt>
                <c:pt idx="90">
                  <c:v>0.74611111111110906</c:v>
                </c:pt>
                <c:pt idx="91">
                  <c:v>0.65694444444444433</c:v>
                </c:pt>
                <c:pt idx="92">
                  <c:v>0.70555555555555338</c:v>
                </c:pt>
                <c:pt idx="93">
                  <c:v>0.68527777777777543</c:v>
                </c:pt>
                <c:pt idx="94">
                  <c:v>0.62666666666666659</c:v>
                </c:pt>
                <c:pt idx="95">
                  <c:v>0.62111111111111106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BE-4EB8-BC11-45CA171F3704}"/>
            </c:ext>
          </c:extLst>
        </c:ser>
        <c:ser>
          <c:idx val="13"/>
          <c:order val="13"/>
          <c:tx>
            <c:strRef>
              <c:f>Leden!$P$1:$P$2</c:f>
              <c:strCache>
                <c:ptCount val="2"/>
                <c:pt idx="0">
                  <c:v>Vlastní 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Leden!$P$3:$P$98</c:f>
              <c:numCache>
                <c:formatCode>0.000</c:formatCode>
                <c:ptCount val="96"/>
                <c:pt idx="0">
                  <c:v>1.8249999999999999E-2</c:v>
                </c:pt>
                <c:pt idx="1">
                  <c:v>1.8249999999999999E-2</c:v>
                </c:pt>
                <c:pt idx="2">
                  <c:v>1.8249999999999999E-2</c:v>
                </c:pt>
                <c:pt idx="3">
                  <c:v>1.8249999999999999E-2</c:v>
                </c:pt>
                <c:pt idx="4">
                  <c:v>1.8249999999999999E-2</c:v>
                </c:pt>
                <c:pt idx="5">
                  <c:v>1.8249999999999999E-2</c:v>
                </c:pt>
                <c:pt idx="6">
                  <c:v>1.8249999999999999E-2</c:v>
                </c:pt>
                <c:pt idx="7">
                  <c:v>1.8249999999999999E-2</c:v>
                </c:pt>
                <c:pt idx="8">
                  <c:v>1.8249999999999999E-2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1.8249999999999999E-2</c:v>
                </c:pt>
                <c:pt idx="18">
                  <c:v>1.8249999999999999E-2</c:v>
                </c:pt>
                <c:pt idx="19">
                  <c:v>1.8249999999999999E-2</c:v>
                </c:pt>
                <c:pt idx="20">
                  <c:v>1.8249999999999999E-2</c:v>
                </c:pt>
                <c:pt idx="21">
                  <c:v>1.8249999999999999E-2</c:v>
                </c:pt>
                <c:pt idx="22">
                  <c:v>1.8249999999999999E-2</c:v>
                </c:pt>
                <c:pt idx="23">
                  <c:v>1.8249999999999999E-2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1.8249999999999999E-2</c:v>
                </c:pt>
                <c:pt idx="29">
                  <c:v>1.8249999999999999E-2</c:v>
                </c:pt>
                <c:pt idx="30">
                  <c:v>1.8249999999999999E-2</c:v>
                </c:pt>
                <c:pt idx="31">
                  <c:v>1.8249999999999999E-2</c:v>
                </c:pt>
                <c:pt idx="32">
                  <c:v>1.8249999999999999E-2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1.8249999999999999E-2</c:v>
                </c:pt>
                <c:pt idx="71">
                  <c:v>1.8249999999999999E-2</c:v>
                </c:pt>
                <c:pt idx="72">
                  <c:v>1.8249999999999999E-2</c:v>
                </c:pt>
                <c:pt idx="73">
                  <c:v>1.8249999999999999E-2</c:v>
                </c:pt>
                <c:pt idx="74">
                  <c:v>1.8249999999999999E-2</c:v>
                </c:pt>
                <c:pt idx="75">
                  <c:v>1.8249999999999999E-2</c:v>
                </c:pt>
                <c:pt idx="76">
                  <c:v>1.8249999999999999E-2</c:v>
                </c:pt>
                <c:pt idx="77">
                  <c:v>1.8249999999999999E-2</c:v>
                </c:pt>
                <c:pt idx="78">
                  <c:v>1.8249999999999999E-2</c:v>
                </c:pt>
                <c:pt idx="79">
                  <c:v>1.8249999999999999E-2</c:v>
                </c:pt>
                <c:pt idx="80">
                  <c:v>1.8249999999999999E-2</c:v>
                </c:pt>
                <c:pt idx="81">
                  <c:v>1.8249999999999999E-2</c:v>
                </c:pt>
                <c:pt idx="82">
                  <c:v>1.8249999999999999E-2</c:v>
                </c:pt>
                <c:pt idx="83">
                  <c:v>1.8249999999999999E-2</c:v>
                </c:pt>
                <c:pt idx="84">
                  <c:v>1.8249999999999999E-2</c:v>
                </c:pt>
                <c:pt idx="85">
                  <c:v>1.8249999999999999E-2</c:v>
                </c:pt>
                <c:pt idx="86">
                  <c:v>1.8249999999999999E-2</c:v>
                </c:pt>
                <c:pt idx="87">
                  <c:v>1.8249999999999999E-2</c:v>
                </c:pt>
                <c:pt idx="88">
                  <c:v>1.8249999999999999E-2</c:v>
                </c:pt>
                <c:pt idx="89">
                  <c:v>1.8249999999999999E-2</c:v>
                </c:pt>
                <c:pt idx="90">
                  <c:v>1.8249999999999999E-2</c:v>
                </c:pt>
                <c:pt idx="91">
                  <c:v>1.8249999999999999E-2</c:v>
                </c:pt>
                <c:pt idx="92">
                  <c:v>1.8249999999999999E-2</c:v>
                </c:pt>
                <c:pt idx="93">
                  <c:v>1.8249999999999999E-2</c:v>
                </c:pt>
                <c:pt idx="94">
                  <c:v>1.8249999999999999E-2</c:v>
                </c:pt>
                <c:pt idx="95">
                  <c:v>1.8249999999999999E-2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2BE-4EB8-BC11-45CA171F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Leden!$C$1:$C$2</c:f>
              <c:strCache>
                <c:ptCount val="2"/>
                <c:pt idx="0">
                  <c:v>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Leden!$C$3:$C$98</c:f>
              <c:numCache>
                <c:formatCode>0.000</c:formatCode>
                <c:ptCount val="96"/>
                <c:pt idx="0">
                  <c:v>0.54449999999999998</c:v>
                </c:pt>
                <c:pt idx="1">
                  <c:v>0.54449999999999998</c:v>
                </c:pt>
                <c:pt idx="2">
                  <c:v>0.54449999999999998</c:v>
                </c:pt>
                <c:pt idx="3">
                  <c:v>0.54449999999999998</c:v>
                </c:pt>
                <c:pt idx="4">
                  <c:v>0.54449999999999998</c:v>
                </c:pt>
                <c:pt idx="5">
                  <c:v>0.54449999999999998</c:v>
                </c:pt>
                <c:pt idx="6">
                  <c:v>0.54449999999999998</c:v>
                </c:pt>
                <c:pt idx="7">
                  <c:v>0.54449999999999998</c:v>
                </c:pt>
                <c:pt idx="8">
                  <c:v>0.54449999999999998</c:v>
                </c:pt>
                <c:pt idx="9">
                  <c:v>0.52574999999999994</c:v>
                </c:pt>
                <c:pt idx="10">
                  <c:v>0.52574999999999994</c:v>
                </c:pt>
                <c:pt idx="11">
                  <c:v>0.52574999999999994</c:v>
                </c:pt>
                <c:pt idx="12">
                  <c:v>0.52574999999999994</c:v>
                </c:pt>
                <c:pt idx="13">
                  <c:v>0.52574999999999994</c:v>
                </c:pt>
                <c:pt idx="14">
                  <c:v>0.52574999999999994</c:v>
                </c:pt>
                <c:pt idx="15">
                  <c:v>0.52574999999999994</c:v>
                </c:pt>
                <c:pt idx="16">
                  <c:v>0.52574999999999994</c:v>
                </c:pt>
                <c:pt idx="17">
                  <c:v>0.52574999999999994</c:v>
                </c:pt>
                <c:pt idx="18">
                  <c:v>0.52574999999999994</c:v>
                </c:pt>
                <c:pt idx="19">
                  <c:v>0.52574999999999994</c:v>
                </c:pt>
                <c:pt idx="20">
                  <c:v>0.52574999999999994</c:v>
                </c:pt>
                <c:pt idx="21">
                  <c:v>0.52574999999999994</c:v>
                </c:pt>
                <c:pt idx="22">
                  <c:v>0.52574999999999994</c:v>
                </c:pt>
                <c:pt idx="23">
                  <c:v>0.53074999999999994</c:v>
                </c:pt>
                <c:pt idx="24">
                  <c:v>0.53174999999999994</c:v>
                </c:pt>
                <c:pt idx="25">
                  <c:v>0.54074999999999995</c:v>
                </c:pt>
                <c:pt idx="26">
                  <c:v>0.73324999999999996</c:v>
                </c:pt>
                <c:pt idx="27">
                  <c:v>2.9157500000000001</c:v>
                </c:pt>
                <c:pt idx="28">
                  <c:v>2.5467500000000003</c:v>
                </c:pt>
                <c:pt idx="29">
                  <c:v>0.54674999999999996</c:v>
                </c:pt>
                <c:pt idx="30">
                  <c:v>0.59675</c:v>
                </c:pt>
                <c:pt idx="31">
                  <c:v>0.53374999999999995</c:v>
                </c:pt>
                <c:pt idx="32">
                  <c:v>0.53374999999999995</c:v>
                </c:pt>
                <c:pt idx="33">
                  <c:v>2.5749999999999999E-2</c:v>
                </c:pt>
                <c:pt idx="34">
                  <c:v>2.5749999999999999E-2</c:v>
                </c:pt>
                <c:pt idx="35">
                  <c:v>2.5749999999999999E-2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1.0257500000000002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1.0257500000000002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2.5749999999999999E-2</c:v>
                </c:pt>
                <c:pt idx="61">
                  <c:v>2.5749999999999999E-2</c:v>
                </c:pt>
                <c:pt idx="62">
                  <c:v>2.5749999999999999E-2</c:v>
                </c:pt>
                <c:pt idx="63">
                  <c:v>2.5749999999999999E-2</c:v>
                </c:pt>
                <c:pt idx="64">
                  <c:v>1.0257500000000002</c:v>
                </c:pt>
                <c:pt idx="65">
                  <c:v>1.0307500000000001</c:v>
                </c:pt>
                <c:pt idx="66">
                  <c:v>1.0807500000000001</c:v>
                </c:pt>
                <c:pt idx="67">
                  <c:v>1.06325</c:v>
                </c:pt>
                <c:pt idx="68">
                  <c:v>1.0707499999999999</c:v>
                </c:pt>
                <c:pt idx="69">
                  <c:v>1.0707499999999999</c:v>
                </c:pt>
                <c:pt idx="70">
                  <c:v>2.5747499999999999</c:v>
                </c:pt>
                <c:pt idx="71">
                  <c:v>3.3247499999999999</c:v>
                </c:pt>
                <c:pt idx="72">
                  <c:v>3.3247499999999999</c:v>
                </c:pt>
                <c:pt idx="73">
                  <c:v>3.3097500000000002</c:v>
                </c:pt>
                <c:pt idx="74">
                  <c:v>1.80975</c:v>
                </c:pt>
                <c:pt idx="75">
                  <c:v>1.8127500000000001</c:v>
                </c:pt>
                <c:pt idx="76">
                  <c:v>1.839</c:v>
                </c:pt>
                <c:pt idx="77">
                  <c:v>0.56399999999999995</c:v>
                </c:pt>
                <c:pt idx="78">
                  <c:v>0.62649999999999995</c:v>
                </c:pt>
                <c:pt idx="79">
                  <c:v>0.63049999999999995</c:v>
                </c:pt>
                <c:pt idx="80">
                  <c:v>0.63049999999999995</c:v>
                </c:pt>
                <c:pt idx="81">
                  <c:v>0.63049999999999995</c:v>
                </c:pt>
                <c:pt idx="82">
                  <c:v>0.63049999999999995</c:v>
                </c:pt>
                <c:pt idx="83">
                  <c:v>1.1305000000000001</c:v>
                </c:pt>
                <c:pt idx="84">
                  <c:v>1.6805000000000001</c:v>
                </c:pt>
                <c:pt idx="85">
                  <c:v>1.6745000000000001</c:v>
                </c:pt>
                <c:pt idx="86">
                  <c:v>1.6820000000000002</c:v>
                </c:pt>
                <c:pt idx="87">
                  <c:v>1.1819999999999999</c:v>
                </c:pt>
                <c:pt idx="88">
                  <c:v>1.1819999999999999</c:v>
                </c:pt>
                <c:pt idx="89">
                  <c:v>1.1779999999999999</c:v>
                </c:pt>
                <c:pt idx="90">
                  <c:v>1.1855</c:v>
                </c:pt>
                <c:pt idx="91">
                  <c:v>0.57299999999999995</c:v>
                </c:pt>
                <c:pt idx="92">
                  <c:v>1.073</c:v>
                </c:pt>
                <c:pt idx="93">
                  <c:v>1.05175</c:v>
                </c:pt>
                <c:pt idx="94">
                  <c:v>0.54574999999999996</c:v>
                </c:pt>
                <c:pt idx="95">
                  <c:v>0.54074999999999995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3-4D87-8DD7-90548A520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F3-4D87-8DD7-90548A5201C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F3-4D87-8DD7-90548A5201C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F3-4D87-8DD7-90548A5201C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F3-4D87-8DD7-90548A5201C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F3-4D87-8DD7-90548A5201C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F3-4D87-8DD7-90548A5201C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F3-4D87-8DD7-90548A5201C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EF3-4D87-8DD7-90548A5201C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EF3-4D87-8DD7-90548A5201C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EF3-4D87-8DD7-90548A5201C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EF3-4D87-8DD7-90548A5201CD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EF3-4D87-8DD7-90548A5201CD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EF3-4D87-8DD7-90548A5201CD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Leden!$D$1:$D$2</c:f>
              <c:strCache>
                <c:ptCount val="2"/>
                <c:pt idx="0">
                  <c:v>Přímá vlastní spotřeba z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Leden!$D$3:$D$98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2E-3</c:v>
                </c:pt>
                <c:pt idx="34">
                  <c:v>5.0000000000000001E-3</c:v>
                </c:pt>
                <c:pt idx="35">
                  <c:v>1.0999999999999999E-2</c:v>
                </c:pt>
                <c:pt idx="36">
                  <c:v>2.4E-2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1.0257500000000002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0.28799999999999998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2.4E-2</c:v>
                </c:pt>
                <c:pt idx="61">
                  <c:v>1.0999999999999999E-2</c:v>
                </c:pt>
                <c:pt idx="62">
                  <c:v>5.0000000000000001E-3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8-4F93-B001-D1F5A788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28-4F93-B001-D1F5A78847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F28-4F93-B001-D1F5A78847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F28-4F93-B001-D1F5A78847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F28-4F93-B001-D1F5A78847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F28-4F93-B001-D1F5A78847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F28-4F93-B001-D1F5A78847F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F28-4F93-B001-D1F5A78847F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F28-4F93-B001-D1F5A78847F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F28-4F93-B001-D1F5A78847F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F28-4F93-B001-D1F5A78847F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F28-4F93-B001-D1F5A78847F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F28-4F93-B001-D1F5A78847F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F28-4F93-B001-D1F5A78847FC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Leden!$E$1:$E$2</c:f>
              <c:strCache>
                <c:ptCount val="2"/>
                <c:pt idx="0">
                  <c:v>Výroba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Leden!$E$3:$E$98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2E-3</c:v>
                </c:pt>
                <c:pt idx="34">
                  <c:v>5.0000000000000001E-3</c:v>
                </c:pt>
                <c:pt idx="35">
                  <c:v>1.0999999999999999E-2</c:v>
                </c:pt>
                <c:pt idx="36">
                  <c:v>2.4E-2</c:v>
                </c:pt>
                <c:pt idx="37">
                  <c:v>4.8000000000000001E-2</c:v>
                </c:pt>
                <c:pt idx="38">
                  <c:v>9.2999999999999999E-2</c:v>
                </c:pt>
                <c:pt idx="39">
                  <c:v>0.16900000000000001</c:v>
                </c:pt>
                <c:pt idx="40">
                  <c:v>0.28799999999999998</c:v>
                </c:pt>
                <c:pt idx="41">
                  <c:v>0.46</c:v>
                </c:pt>
                <c:pt idx="42">
                  <c:v>0.69</c:v>
                </c:pt>
                <c:pt idx="43">
                  <c:v>0.97299999999999998</c:v>
                </c:pt>
                <c:pt idx="44">
                  <c:v>1.2889999999999999</c:v>
                </c:pt>
                <c:pt idx="45">
                  <c:v>1.6040000000000001</c:v>
                </c:pt>
                <c:pt idx="46">
                  <c:v>1.875</c:v>
                </c:pt>
                <c:pt idx="47">
                  <c:v>2.06</c:v>
                </c:pt>
                <c:pt idx="48">
                  <c:v>2.125</c:v>
                </c:pt>
                <c:pt idx="49">
                  <c:v>2.06</c:v>
                </c:pt>
                <c:pt idx="50">
                  <c:v>1.875</c:v>
                </c:pt>
                <c:pt idx="51">
                  <c:v>1.6040000000000001</c:v>
                </c:pt>
                <c:pt idx="52">
                  <c:v>1.2889999999999999</c:v>
                </c:pt>
                <c:pt idx="53">
                  <c:v>0.97299999999999998</c:v>
                </c:pt>
                <c:pt idx="54">
                  <c:v>0.69</c:v>
                </c:pt>
                <c:pt idx="55">
                  <c:v>0.46</c:v>
                </c:pt>
                <c:pt idx="56">
                  <c:v>0.28799999999999998</c:v>
                </c:pt>
                <c:pt idx="57">
                  <c:v>0.16900000000000001</c:v>
                </c:pt>
                <c:pt idx="58">
                  <c:v>9.2999999999999999E-2</c:v>
                </c:pt>
                <c:pt idx="59">
                  <c:v>4.8000000000000001E-2</c:v>
                </c:pt>
                <c:pt idx="60">
                  <c:v>2.4E-2</c:v>
                </c:pt>
                <c:pt idx="61">
                  <c:v>1.0999999999999999E-2</c:v>
                </c:pt>
                <c:pt idx="62">
                  <c:v>5.0000000000000001E-3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47-40B9-B191-6ACF7ED43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247-40B9-B191-6ACF7ED43DD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247-40B9-B191-6ACF7ED43DD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47-40B9-B191-6ACF7ED43DD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47-40B9-B191-6ACF7ED43DD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47-40B9-B191-6ACF7ED43DD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47-40B9-B191-6ACF7ED43DD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47-40B9-B191-6ACF7ED43DD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247-40B9-B191-6ACF7ED43DD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247-40B9-B191-6ACF7ED43DD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247-40B9-B191-6ACF7ED43DD3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247-40B9-B191-6ACF7ED43DD3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247-40B9-B191-6ACF7ED43DD3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247-40B9-B191-6ACF7ED43DD3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Leden!$F$1:$F$2</c:f>
              <c:strCache>
                <c:ptCount val="2"/>
                <c:pt idx="0">
                  <c:v>Odběr z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Leden!$F$3:$F$98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2.1895000000000016</c:v>
                </c:pt>
                <c:pt idx="28">
                  <c:v>1.8387500000000019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1.2312225651577355</c:v>
                </c:pt>
                <c:pt idx="73">
                  <c:v>2.3280000000000003</c:v>
                </c:pt>
                <c:pt idx="74">
                  <c:v>0.84625000000000017</c:v>
                </c:pt>
                <c:pt idx="75">
                  <c:v>0.86750000000000038</c:v>
                </c:pt>
                <c:pt idx="76">
                  <c:v>0.91200000000000037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0.33125000000000115</c:v>
                </c:pt>
                <c:pt idx="84">
                  <c:v>0.8995000000000013</c:v>
                </c:pt>
                <c:pt idx="85">
                  <c:v>0.91175000000000139</c:v>
                </c:pt>
                <c:pt idx="86">
                  <c:v>0.93750000000000155</c:v>
                </c:pt>
                <c:pt idx="87">
                  <c:v>0.45575000000000143</c:v>
                </c:pt>
                <c:pt idx="88">
                  <c:v>0.47400000000000153</c:v>
                </c:pt>
                <c:pt idx="89">
                  <c:v>0.48825000000000163</c:v>
                </c:pt>
                <c:pt idx="90">
                  <c:v>0.51400000000000179</c:v>
                </c:pt>
                <c:pt idx="91">
                  <c:v>0</c:v>
                </c:pt>
                <c:pt idx="92">
                  <c:v>0.43800000000000194</c:v>
                </c:pt>
                <c:pt idx="93">
                  <c:v>0.43500000000000205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6-4A7F-B6CF-2450A37D7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F16-4A7F-B6CF-2450A37D769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F16-4A7F-B6CF-2450A37D769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16-4A7F-B6CF-2450A37D769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16-4A7F-B6CF-2450A37D769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16-4A7F-B6CF-2450A37D769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16-4A7F-B6CF-2450A37D769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16-4A7F-B6CF-2450A37D769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F16-4A7F-B6CF-2450A37D769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F16-4A7F-B6CF-2450A37D769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F16-4A7F-B6CF-2450A37D769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F16-4A7F-B6CF-2450A37D769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F16-4A7F-B6CF-2450A37D769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F16-4A7F-B6CF-2450A37D7697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Leden!$G$1:$G$2</c:f>
              <c:strCache>
                <c:ptCount val="2"/>
                <c:pt idx="0">
                  <c:v>Přetok do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Leden!$G$3:$G$98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3.4330246913574669E-2</c:v>
                </c:pt>
                <c:pt idx="53">
                  <c:v>0.94724999999999993</c:v>
                </c:pt>
                <c:pt idx="54">
                  <c:v>0.62144135802469258</c:v>
                </c:pt>
                <c:pt idx="55">
                  <c:v>0.3961978737997251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4-4BBF-B9DA-CE5E25A82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34-4BBF-B9DA-CE5E25A820B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D34-4BBF-B9DA-CE5E25A820B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34-4BBF-B9DA-CE5E25A820B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D34-4BBF-B9DA-CE5E25A820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D34-4BBF-B9DA-CE5E25A820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D34-4BBF-B9DA-CE5E25A820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34-4BBF-B9DA-CE5E25A820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34-4BBF-B9DA-CE5E25A820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D34-4BBF-B9DA-CE5E25A820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D34-4BBF-B9DA-CE5E25A820BB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D34-4BBF-B9DA-CE5E25A820BB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D34-4BBF-B9DA-CE5E25A820BB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D34-4BBF-B9DA-CE5E25A820BB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Leden!$H$1:$H$2</c:f>
              <c:strCache>
                <c:ptCount val="2"/>
                <c:pt idx="0">
                  <c:v>Spotřeba z baterie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Leden!$H$3:$H$98</c:f>
              <c:numCache>
                <c:formatCode>0.000</c:formatCode>
                <c:ptCount val="96"/>
                <c:pt idx="0">
                  <c:v>0.54449999999999998</c:v>
                </c:pt>
                <c:pt idx="1">
                  <c:v>0.54449999999999998</c:v>
                </c:pt>
                <c:pt idx="2">
                  <c:v>0.54449999999999998</c:v>
                </c:pt>
                <c:pt idx="3">
                  <c:v>0.54449999999999998</c:v>
                </c:pt>
                <c:pt idx="4">
                  <c:v>0.54449999999999998</c:v>
                </c:pt>
                <c:pt idx="5">
                  <c:v>0.54449999999999998</c:v>
                </c:pt>
                <c:pt idx="6">
                  <c:v>0.54449999999999998</c:v>
                </c:pt>
                <c:pt idx="7">
                  <c:v>0.54449999999999998</c:v>
                </c:pt>
                <c:pt idx="8">
                  <c:v>0.54449999999999998</c:v>
                </c:pt>
                <c:pt idx="9">
                  <c:v>0.52574999999999994</c:v>
                </c:pt>
                <c:pt idx="10">
                  <c:v>0.52574999999999994</c:v>
                </c:pt>
                <c:pt idx="11">
                  <c:v>0.52574999999999994</c:v>
                </c:pt>
                <c:pt idx="12">
                  <c:v>0.52574999999999994</c:v>
                </c:pt>
                <c:pt idx="13">
                  <c:v>0.52574999999999994</c:v>
                </c:pt>
                <c:pt idx="14">
                  <c:v>0.52574999999999994</c:v>
                </c:pt>
                <c:pt idx="15">
                  <c:v>0.52574999999999994</c:v>
                </c:pt>
                <c:pt idx="16">
                  <c:v>0.52574999999999994</c:v>
                </c:pt>
                <c:pt idx="17">
                  <c:v>0.52574999999999994</c:v>
                </c:pt>
                <c:pt idx="18">
                  <c:v>0.52574999999999994</c:v>
                </c:pt>
                <c:pt idx="19">
                  <c:v>0.52574999999999994</c:v>
                </c:pt>
                <c:pt idx="20">
                  <c:v>0.52574999999999994</c:v>
                </c:pt>
                <c:pt idx="21">
                  <c:v>0.52574999999999994</c:v>
                </c:pt>
                <c:pt idx="22">
                  <c:v>0.52574999999999994</c:v>
                </c:pt>
                <c:pt idx="23">
                  <c:v>0.53074999999999994</c:v>
                </c:pt>
                <c:pt idx="24">
                  <c:v>0.53174999999999994</c:v>
                </c:pt>
                <c:pt idx="25">
                  <c:v>0.54074999999999995</c:v>
                </c:pt>
                <c:pt idx="26">
                  <c:v>0.73324999999999996</c:v>
                </c:pt>
                <c:pt idx="27">
                  <c:v>0.72624999999999851</c:v>
                </c:pt>
                <c:pt idx="28">
                  <c:v>0.70799999999999841</c:v>
                </c:pt>
                <c:pt idx="29">
                  <c:v>0.54674999999999996</c:v>
                </c:pt>
                <c:pt idx="30">
                  <c:v>0.59675</c:v>
                </c:pt>
                <c:pt idx="31">
                  <c:v>0.53374999999999995</c:v>
                </c:pt>
                <c:pt idx="32">
                  <c:v>0.53274999999999995</c:v>
                </c:pt>
                <c:pt idx="33">
                  <c:v>2.375E-2</c:v>
                </c:pt>
                <c:pt idx="34">
                  <c:v>2.0749999999999998E-2</c:v>
                </c:pt>
                <c:pt idx="35">
                  <c:v>1.4749999999999999E-2</c:v>
                </c:pt>
                <c:pt idx="36">
                  <c:v>1.7499999999999981E-3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0.73775000000000013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1.7499999999999981E-3</c:v>
                </c:pt>
                <c:pt idx="61">
                  <c:v>1.4749999999999999E-2</c:v>
                </c:pt>
                <c:pt idx="62">
                  <c:v>2.0749999999999998E-2</c:v>
                </c:pt>
                <c:pt idx="63">
                  <c:v>2.375E-2</c:v>
                </c:pt>
                <c:pt idx="64">
                  <c:v>1.0247500000000003</c:v>
                </c:pt>
                <c:pt idx="65">
                  <c:v>1.0307500000000001</c:v>
                </c:pt>
                <c:pt idx="66">
                  <c:v>1.0807500000000001</c:v>
                </c:pt>
                <c:pt idx="67">
                  <c:v>1.06325</c:v>
                </c:pt>
                <c:pt idx="68">
                  <c:v>1.0707499999999999</c:v>
                </c:pt>
                <c:pt idx="69">
                  <c:v>1.0707499999999999</c:v>
                </c:pt>
                <c:pt idx="70">
                  <c:v>2.5747499999999999</c:v>
                </c:pt>
                <c:pt idx="71">
                  <c:v>3.3247499999999999</c:v>
                </c:pt>
                <c:pt idx="72">
                  <c:v>2.0935274348422643</c:v>
                </c:pt>
                <c:pt idx="73">
                  <c:v>0.9817499999999999</c:v>
                </c:pt>
                <c:pt idx="74">
                  <c:v>0.9634999999999998</c:v>
                </c:pt>
                <c:pt idx="75">
                  <c:v>0.9452499999999997</c:v>
                </c:pt>
                <c:pt idx="76">
                  <c:v>0.9269999999999996</c:v>
                </c:pt>
                <c:pt idx="77">
                  <c:v>0.56399999999999995</c:v>
                </c:pt>
                <c:pt idx="78">
                  <c:v>0.62649999999999995</c:v>
                </c:pt>
                <c:pt idx="79">
                  <c:v>0.63049999999999995</c:v>
                </c:pt>
                <c:pt idx="80">
                  <c:v>0.63049999999999995</c:v>
                </c:pt>
                <c:pt idx="81">
                  <c:v>0.63049999999999995</c:v>
                </c:pt>
                <c:pt idx="82">
                  <c:v>0.63049999999999995</c:v>
                </c:pt>
                <c:pt idx="83">
                  <c:v>0.79924999999999891</c:v>
                </c:pt>
                <c:pt idx="84">
                  <c:v>0.78099999999999881</c:v>
                </c:pt>
                <c:pt idx="85">
                  <c:v>0.76274999999999871</c:v>
                </c:pt>
                <c:pt idx="86">
                  <c:v>0.74449999999999861</c:v>
                </c:pt>
                <c:pt idx="87">
                  <c:v>0.72624999999999851</c:v>
                </c:pt>
                <c:pt idx="88">
                  <c:v>0.70799999999999841</c:v>
                </c:pt>
                <c:pt idx="89">
                  <c:v>0.68974999999999831</c:v>
                </c:pt>
                <c:pt idx="90">
                  <c:v>0.67149999999999821</c:v>
                </c:pt>
                <c:pt idx="91">
                  <c:v>0.57299999999999995</c:v>
                </c:pt>
                <c:pt idx="92">
                  <c:v>0.63499999999999801</c:v>
                </c:pt>
                <c:pt idx="93">
                  <c:v>0.61674999999999791</c:v>
                </c:pt>
                <c:pt idx="94">
                  <c:v>0.54574999999999996</c:v>
                </c:pt>
                <c:pt idx="95">
                  <c:v>0.54074999999999995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AF-47C6-B27E-93545A35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FAF-47C6-B27E-93545A3597B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FAF-47C6-B27E-93545A3597B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FAF-47C6-B27E-93545A3597B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FAF-47C6-B27E-93545A3597B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FAF-47C6-B27E-93545A3597B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FAF-47C6-B27E-93545A3597B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FAF-47C6-B27E-93545A3597B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FAF-47C6-B27E-93545A3597B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FAF-47C6-B27E-93545A3597B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FAF-47C6-B27E-93545A3597B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FAF-47C6-B27E-93545A3597B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FAF-47C6-B27E-93545A3597B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FAF-47C6-B27E-93545A3597B1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Leden!$I$1:$I$2</c:f>
              <c:strCache>
                <c:ptCount val="2"/>
                <c:pt idx="0">
                  <c:v>Bilance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Leden!$I$3:$I$98</c:f>
              <c:numCache>
                <c:formatCode>0.000</c:formatCode>
                <c:ptCount val="96"/>
                <c:pt idx="0">
                  <c:v>-0.54449999999999998</c:v>
                </c:pt>
                <c:pt idx="1">
                  <c:v>-0.54449999999999998</c:v>
                </c:pt>
                <c:pt idx="2">
                  <c:v>-0.54449999999999998</c:v>
                </c:pt>
                <c:pt idx="3">
                  <c:v>-0.54449999999999998</c:v>
                </c:pt>
                <c:pt idx="4">
                  <c:v>-0.54449999999999998</c:v>
                </c:pt>
                <c:pt idx="5">
                  <c:v>-0.54449999999999998</c:v>
                </c:pt>
                <c:pt idx="6">
                  <c:v>-0.54449999999999998</c:v>
                </c:pt>
                <c:pt idx="7">
                  <c:v>-0.54449999999999998</c:v>
                </c:pt>
                <c:pt idx="8">
                  <c:v>-0.54449999999999998</c:v>
                </c:pt>
                <c:pt idx="9">
                  <c:v>-0.52574999999999994</c:v>
                </c:pt>
                <c:pt idx="10">
                  <c:v>-0.52574999999999994</c:v>
                </c:pt>
                <c:pt idx="11">
                  <c:v>-0.52574999999999994</c:v>
                </c:pt>
                <c:pt idx="12">
                  <c:v>-0.52574999999999994</c:v>
                </c:pt>
                <c:pt idx="13">
                  <c:v>-0.52574999999999994</c:v>
                </c:pt>
                <c:pt idx="14">
                  <c:v>-0.52574999999999994</c:v>
                </c:pt>
                <c:pt idx="15">
                  <c:v>-0.52574999999999994</c:v>
                </c:pt>
                <c:pt idx="16">
                  <c:v>-0.52574999999999994</c:v>
                </c:pt>
                <c:pt idx="17">
                  <c:v>-0.52574999999999994</c:v>
                </c:pt>
                <c:pt idx="18">
                  <c:v>-0.52574999999999994</c:v>
                </c:pt>
                <c:pt idx="19">
                  <c:v>-0.52574999999999994</c:v>
                </c:pt>
                <c:pt idx="20">
                  <c:v>-0.52574999999999994</c:v>
                </c:pt>
                <c:pt idx="21">
                  <c:v>-0.52574999999999994</c:v>
                </c:pt>
                <c:pt idx="22">
                  <c:v>-0.52574999999999994</c:v>
                </c:pt>
                <c:pt idx="23">
                  <c:v>-0.53074999999999994</c:v>
                </c:pt>
                <c:pt idx="24">
                  <c:v>-0.53174999999999994</c:v>
                </c:pt>
                <c:pt idx="25">
                  <c:v>-0.54074999999999995</c:v>
                </c:pt>
                <c:pt idx="26">
                  <c:v>-0.73324999999999996</c:v>
                </c:pt>
                <c:pt idx="27">
                  <c:v>-2.9157500000000001</c:v>
                </c:pt>
                <c:pt idx="28">
                  <c:v>-2.5467500000000003</c:v>
                </c:pt>
                <c:pt idx="29">
                  <c:v>-0.54674999999999996</c:v>
                </c:pt>
                <c:pt idx="30">
                  <c:v>-0.59675</c:v>
                </c:pt>
                <c:pt idx="31">
                  <c:v>-0.53374999999999995</c:v>
                </c:pt>
                <c:pt idx="32">
                  <c:v>-0.53274999999999995</c:v>
                </c:pt>
                <c:pt idx="33">
                  <c:v>-2.375E-2</c:v>
                </c:pt>
                <c:pt idx="34">
                  <c:v>-2.0749999999999998E-2</c:v>
                </c:pt>
                <c:pt idx="35">
                  <c:v>-1.4749999999999999E-2</c:v>
                </c:pt>
                <c:pt idx="36">
                  <c:v>-1.7499999999999981E-3</c:v>
                </c:pt>
                <c:pt idx="37">
                  <c:v>2.2250000000000002E-2</c:v>
                </c:pt>
                <c:pt idx="38">
                  <c:v>6.7250000000000004E-2</c:v>
                </c:pt>
                <c:pt idx="39">
                  <c:v>0.14325000000000002</c:v>
                </c:pt>
                <c:pt idx="40">
                  <c:v>0.26224999999999998</c:v>
                </c:pt>
                <c:pt idx="41">
                  <c:v>0.43425000000000002</c:v>
                </c:pt>
                <c:pt idx="42">
                  <c:v>0.6642499999999999</c:v>
                </c:pt>
                <c:pt idx="43">
                  <c:v>0.94724999999999993</c:v>
                </c:pt>
                <c:pt idx="44">
                  <c:v>0.26324999999999976</c:v>
                </c:pt>
                <c:pt idx="45">
                  <c:v>1.5782500000000002</c:v>
                </c:pt>
                <c:pt idx="46">
                  <c:v>1.8492500000000001</c:v>
                </c:pt>
                <c:pt idx="47">
                  <c:v>2.0342500000000001</c:v>
                </c:pt>
                <c:pt idx="48">
                  <c:v>2.0992500000000001</c:v>
                </c:pt>
                <c:pt idx="49">
                  <c:v>2.0342500000000001</c:v>
                </c:pt>
                <c:pt idx="50">
                  <c:v>1.8492500000000001</c:v>
                </c:pt>
                <c:pt idx="51">
                  <c:v>1.5782500000000002</c:v>
                </c:pt>
                <c:pt idx="52">
                  <c:v>1.26325</c:v>
                </c:pt>
                <c:pt idx="53">
                  <c:v>0.94724999999999993</c:v>
                </c:pt>
                <c:pt idx="54">
                  <c:v>0.6642499999999999</c:v>
                </c:pt>
                <c:pt idx="55">
                  <c:v>0.43425000000000002</c:v>
                </c:pt>
                <c:pt idx="56">
                  <c:v>-0.73775000000000013</c:v>
                </c:pt>
                <c:pt idx="57">
                  <c:v>0.14325000000000002</c:v>
                </c:pt>
                <c:pt idx="58">
                  <c:v>6.7250000000000004E-2</c:v>
                </c:pt>
                <c:pt idx="59">
                  <c:v>2.2250000000000002E-2</c:v>
                </c:pt>
                <c:pt idx="60">
                  <c:v>-1.7499999999999981E-3</c:v>
                </c:pt>
                <c:pt idx="61">
                  <c:v>-1.4749999999999999E-2</c:v>
                </c:pt>
                <c:pt idx="62">
                  <c:v>-2.0749999999999998E-2</c:v>
                </c:pt>
                <c:pt idx="63">
                  <c:v>-2.375E-2</c:v>
                </c:pt>
                <c:pt idx="64">
                  <c:v>-1.0247500000000003</c:v>
                </c:pt>
                <c:pt idx="65">
                  <c:v>-1.0307500000000001</c:v>
                </c:pt>
                <c:pt idx="66">
                  <c:v>-1.0807500000000001</c:v>
                </c:pt>
                <c:pt idx="67">
                  <c:v>-1.06325</c:v>
                </c:pt>
                <c:pt idx="68">
                  <c:v>-1.0707499999999999</c:v>
                </c:pt>
                <c:pt idx="69">
                  <c:v>-1.0707499999999999</c:v>
                </c:pt>
                <c:pt idx="70">
                  <c:v>-2.5747499999999999</c:v>
                </c:pt>
                <c:pt idx="71">
                  <c:v>-3.3247499999999999</c:v>
                </c:pt>
                <c:pt idx="72">
                  <c:v>-3.3247499999999999</c:v>
                </c:pt>
                <c:pt idx="73">
                  <c:v>-3.3097500000000002</c:v>
                </c:pt>
                <c:pt idx="74">
                  <c:v>-1.80975</c:v>
                </c:pt>
                <c:pt idx="75">
                  <c:v>-1.8127500000000001</c:v>
                </c:pt>
                <c:pt idx="76">
                  <c:v>-1.839</c:v>
                </c:pt>
                <c:pt idx="77">
                  <c:v>-0.56399999999999995</c:v>
                </c:pt>
                <c:pt idx="78">
                  <c:v>-0.62649999999999995</c:v>
                </c:pt>
                <c:pt idx="79">
                  <c:v>-0.63049999999999995</c:v>
                </c:pt>
                <c:pt idx="80">
                  <c:v>-0.63049999999999995</c:v>
                </c:pt>
                <c:pt idx="81">
                  <c:v>-0.63049999999999995</c:v>
                </c:pt>
                <c:pt idx="82">
                  <c:v>-0.63049999999999995</c:v>
                </c:pt>
                <c:pt idx="83">
                  <c:v>-1.1305000000000001</c:v>
                </c:pt>
                <c:pt idx="84">
                  <c:v>-1.6805000000000001</c:v>
                </c:pt>
                <c:pt idx="85">
                  <c:v>-1.6745000000000001</c:v>
                </c:pt>
                <c:pt idx="86">
                  <c:v>-1.6820000000000002</c:v>
                </c:pt>
                <c:pt idx="87">
                  <c:v>-1.1819999999999999</c:v>
                </c:pt>
                <c:pt idx="88">
                  <c:v>-1.1819999999999999</c:v>
                </c:pt>
                <c:pt idx="89">
                  <c:v>-1.1779999999999999</c:v>
                </c:pt>
                <c:pt idx="90">
                  <c:v>-1.1855</c:v>
                </c:pt>
                <c:pt idx="91">
                  <c:v>-0.57299999999999995</c:v>
                </c:pt>
                <c:pt idx="92">
                  <c:v>-1.073</c:v>
                </c:pt>
                <c:pt idx="93">
                  <c:v>-1.05175</c:v>
                </c:pt>
                <c:pt idx="94">
                  <c:v>-0.54574999999999996</c:v>
                </c:pt>
                <c:pt idx="95">
                  <c:v>-0.54074999999999995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15-4D48-B9E6-C97DAB29D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615-4D48-B9E6-C97DAB29D0B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615-4D48-B9E6-C97DAB29D0B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15-4D48-B9E6-C97DAB29D0B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15-4D48-B9E6-C97DAB29D0B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15-4D48-B9E6-C97DAB29D0B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15-4D48-B9E6-C97DAB29D0B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15-4D48-B9E6-C97DAB29D0B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15-4D48-B9E6-C97DAB29D0B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615-4D48-B9E6-C97DAB29D0B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615-4D48-B9E6-C97DAB29D0B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615-4D48-B9E6-C97DAB29D0B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615-4D48-B9E6-C97DAB29D0B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615-4D48-B9E6-C97DAB29D0B5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Leden!$J$1:$J$2</c:f>
              <c:strCache>
                <c:ptCount val="2"/>
                <c:pt idx="0">
                  <c:v>Stav baterie</c:v>
                </c:pt>
                <c:pt idx="1">
                  <c:v>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Leden!$J$3:$J$98</c:f>
              <c:numCache>
                <c:formatCode>0.000</c:formatCode>
                <c:ptCount val="96"/>
                <c:pt idx="0">
                  <c:v>9.356472222222223</c:v>
                </c:pt>
                <c:pt idx="1">
                  <c:v>8.7129444444444459</c:v>
                </c:pt>
                <c:pt idx="2">
                  <c:v>8.0694166666666689</c:v>
                </c:pt>
                <c:pt idx="3">
                  <c:v>7.425888888888891</c:v>
                </c:pt>
                <c:pt idx="4">
                  <c:v>6.7823611111111131</c:v>
                </c:pt>
                <c:pt idx="5">
                  <c:v>6.1388333333333351</c:v>
                </c:pt>
                <c:pt idx="6">
                  <c:v>5.4953055555555572</c:v>
                </c:pt>
                <c:pt idx="7">
                  <c:v>4.8517777777777793</c:v>
                </c:pt>
                <c:pt idx="8">
                  <c:v>4.2082500000000014</c:v>
                </c:pt>
                <c:pt idx="9">
                  <c:v>3.5855555555555569</c:v>
                </c:pt>
                <c:pt idx="10">
                  <c:v>2.9628611111111125</c:v>
                </c:pt>
                <c:pt idx="11">
                  <c:v>2.3401666666666681</c:v>
                </c:pt>
                <c:pt idx="12">
                  <c:v>1.9817499999999999</c:v>
                </c:pt>
                <c:pt idx="13">
                  <c:v>1.9634999999999998</c:v>
                </c:pt>
                <c:pt idx="14">
                  <c:v>1.9452499999999997</c:v>
                </c:pt>
                <c:pt idx="15">
                  <c:v>1.9269999999999996</c:v>
                </c:pt>
                <c:pt idx="16">
                  <c:v>1.9087499999999995</c:v>
                </c:pt>
                <c:pt idx="17">
                  <c:v>1.8904999999999994</c:v>
                </c:pt>
                <c:pt idx="18">
                  <c:v>1.8722499999999993</c:v>
                </c:pt>
                <c:pt idx="19">
                  <c:v>1.8539999999999992</c:v>
                </c:pt>
                <c:pt idx="20">
                  <c:v>1.8357499999999991</c:v>
                </c:pt>
                <c:pt idx="21">
                  <c:v>1.817499999999999</c:v>
                </c:pt>
                <c:pt idx="22">
                  <c:v>1.7992499999999989</c:v>
                </c:pt>
                <c:pt idx="23">
                  <c:v>1.7809999999999988</c:v>
                </c:pt>
                <c:pt idx="24">
                  <c:v>1.7627499999999987</c:v>
                </c:pt>
                <c:pt idx="25">
                  <c:v>1.7444999999999986</c:v>
                </c:pt>
                <c:pt idx="26">
                  <c:v>1.7262499999999985</c:v>
                </c:pt>
                <c:pt idx="27">
                  <c:v>1.7079999999999984</c:v>
                </c:pt>
                <c:pt idx="28">
                  <c:v>1.6897499999999983</c:v>
                </c:pt>
                <c:pt idx="29">
                  <c:v>1.6714999999999982</c:v>
                </c:pt>
                <c:pt idx="30">
                  <c:v>1.6532499999999981</c:v>
                </c:pt>
                <c:pt idx="31">
                  <c:v>1.634999999999998</c:v>
                </c:pt>
                <c:pt idx="32">
                  <c:v>1.6167499999999979</c:v>
                </c:pt>
                <c:pt idx="33">
                  <c:v>1.5984999999999978</c:v>
                </c:pt>
                <c:pt idx="34">
                  <c:v>1.5802499999999977</c:v>
                </c:pt>
                <c:pt idx="35">
                  <c:v>1.5619999999999976</c:v>
                </c:pt>
                <c:pt idx="36">
                  <c:v>1.5437499999999975</c:v>
                </c:pt>
                <c:pt idx="37">
                  <c:v>1.5477499999999975</c:v>
                </c:pt>
                <c:pt idx="38">
                  <c:v>1.5967499999999974</c:v>
                </c:pt>
                <c:pt idx="39">
                  <c:v>1.7217499999999974</c:v>
                </c:pt>
                <c:pt idx="40">
                  <c:v>1.9657499999999972</c:v>
                </c:pt>
                <c:pt idx="41">
                  <c:v>2.3817499999999971</c:v>
                </c:pt>
                <c:pt idx="42">
                  <c:v>3.0074722222222192</c:v>
                </c:pt>
                <c:pt idx="43">
                  <c:v>3.9161944444444412</c:v>
                </c:pt>
                <c:pt idx="44">
                  <c:v>4.140916666666663</c:v>
                </c:pt>
                <c:pt idx="45">
                  <c:v>5.6806388888888852</c:v>
                </c:pt>
                <c:pt idx="46">
                  <c:v>7.4913611111111083</c:v>
                </c:pt>
                <c:pt idx="47">
                  <c:v>9.4870833333333291</c:v>
                </c:pt>
                <c:pt idx="48">
                  <c:v>11.54780555555555</c:v>
                </c:pt>
                <c:pt idx="49">
                  <c:v>13.543527777777772</c:v>
                </c:pt>
                <c:pt idx="50">
                  <c:v>15.354249999999993</c:v>
                </c:pt>
                <c:pt idx="51">
                  <c:v>16.893972222222217</c:v>
                </c:pt>
                <c:pt idx="52">
                  <c:v>18</c:v>
                </c:pt>
                <c:pt idx="53">
                  <c:v>17.961472222222223</c:v>
                </c:pt>
                <c:pt idx="54">
                  <c:v>17.965753086419753</c:v>
                </c:pt>
                <c:pt idx="55">
                  <c:v>17.96527743484225</c:v>
                </c:pt>
                <c:pt idx="56">
                  <c:v>17.107027434842252</c:v>
                </c:pt>
                <c:pt idx="57">
                  <c:v>17.211749657064473</c:v>
                </c:pt>
                <c:pt idx="58">
                  <c:v>17.240471879286698</c:v>
                </c:pt>
                <c:pt idx="59">
                  <c:v>17.224194101508921</c:v>
                </c:pt>
                <c:pt idx="60">
                  <c:v>17.183721879286701</c:v>
                </c:pt>
                <c:pt idx="61">
                  <c:v>17.128805212620037</c:v>
                </c:pt>
                <c:pt idx="62">
                  <c:v>17.067221879286706</c:v>
                </c:pt>
                <c:pt idx="63">
                  <c:v>17.00230521262004</c:v>
                </c:pt>
                <c:pt idx="64">
                  <c:v>15.825166323731152</c:v>
                </c:pt>
                <c:pt idx="65">
                  <c:v>14.641360768175597</c:v>
                </c:pt>
                <c:pt idx="66">
                  <c:v>13.401999657064485</c:v>
                </c:pt>
                <c:pt idx="67">
                  <c:v>12.182082990397818</c:v>
                </c:pt>
                <c:pt idx="68">
                  <c:v>10.953832990397819</c:v>
                </c:pt>
                <c:pt idx="69">
                  <c:v>9.7255829903978199</c:v>
                </c:pt>
                <c:pt idx="70">
                  <c:v>6.8262218792867086</c:v>
                </c:pt>
                <c:pt idx="71">
                  <c:v>3.0935274348422643</c:v>
                </c:pt>
                <c:pt idx="72">
                  <c:v>1.9817499999999999</c:v>
                </c:pt>
                <c:pt idx="73">
                  <c:v>1.9634999999999998</c:v>
                </c:pt>
                <c:pt idx="74">
                  <c:v>1.9452499999999997</c:v>
                </c:pt>
                <c:pt idx="75">
                  <c:v>1.9269999999999996</c:v>
                </c:pt>
                <c:pt idx="76">
                  <c:v>1.9087499999999995</c:v>
                </c:pt>
                <c:pt idx="77">
                  <c:v>1.8904999999999994</c:v>
                </c:pt>
                <c:pt idx="78">
                  <c:v>1.8722499999999993</c:v>
                </c:pt>
                <c:pt idx="79">
                  <c:v>1.8539999999999992</c:v>
                </c:pt>
                <c:pt idx="80">
                  <c:v>1.8357499999999991</c:v>
                </c:pt>
                <c:pt idx="81">
                  <c:v>1.817499999999999</c:v>
                </c:pt>
                <c:pt idx="82">
                  <c:v>1.7992499999999989</c:v>
                </c:pt>
                <c:pt idx="83">
                  <c:v>1.7809999999999988</c:v>
                </c:pt>
                <c:pt idx="84">
                  <c:v>1.7627499999999987</c:v>
                </c:pt>
                <c:pt idx="85">
                  <c:v>1.7444999999999986</c:v>
                </c:pt>
                <c:pt idx="86">
                  <c:v>1.7262499999999985</c:v>
                </c:pt>
                <c:pt idx="87">
                  <c:v>1.7079999999999984</c:v>
                </c:pt>
                <c:pt idx="88">
                  <c:v>1.6897499999999983</c:v>
                </c:pt>
                <c:pt idx="89">
                  <c:v>1.6714999999999982</c:v>
                </c:pt>
                <c:pt idx="90">
                  <c:v>1.6532499999999981</c:v>
                </c:pt>
                <c:pt idx="91">
                  <c:v>1.634999999999998</c:v>
                </c:pt>
                <c:pt idx="92">
                  <c:v>1.6167499999999979</c:v>
                </c:pt>
                <c:pt idx="93">
                  <c:v>1.5984999999999978</c:v>
                </c:pt>
                <c:pt idx="94">
                  <c:v>1.5802499999999977</c:v>
                </c:pt>
                <c:pt idx="95">
                  <c:v>1.5619999999999976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72-442D-B4A9-ABF3C203B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072-442D-B4A9-ABF3C203BA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072-442D-B4A9-ABF3C203BA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072-442D-B4A9-ABF3C203BA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72-442D-B4A9-ABF3C203BA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072-442D-B4A9-ABF3C203BA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072-442D-B4A9-ABF3C203BA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072-442D-B4A9-ABF3C203BA7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072-442D-B4A9-ABF3C203BA7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72-442D-B4A9-ABF3C203BA7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072-442D-B4A9-ABF3C203BA7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072-442D-B4A9-ABF3C203BA7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072-442D-B4A9-ABF3C203BA72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072-442D-B4A9-ABF3C203BA72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Leden!$K$1:$K$2</c:f>
              <c:strCache>
                <c:ptCount val="2"/>
                <c:pt idx="0">
                  <c:v>Soc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Leden!$K$3:$K$98</c:f>
              <c:numCache>
                <c:formatCode>0%</c:formatCode>
                <c:ptCount val="96"/>
                <c:pt idx="0">
                  <c:v>0.46782361111111115</c:v>
                </c:pt>
                <c:pt idx="1">
                  <c:v>0.4356472222222223</c:v>
                </c:pt>
                <c:pt idx="2">
                  <c:v>0.40347083333333345</c:v>
                </c:pt>
                <c:pt idx="3">
                  <c:v>0.37129444444444454</c:v>
                </c:pt>
                <c:pt idx="4">
                  <c:v>0.33911805555555563</c:v>
                </c:pt>
                <c:pt idx="5">
                  <c:v>0.30694166666666678</c:v>
                </c:pt>
                <c:pt idx="6">
                  <c:v>0.27476527777777787</c:v>
                </c:pt>
                <c:pt idx="7">
                  <c:v>0.24258888888888896</c:v>
                </c:pt>
                <c:pt idx="8">
                  <c:v>0.21041250000000006</c:v>
                </c:pt>
                <c:pt idx="9">
                  <c:v>0.17927777777777784</c:v>
                </c:pt>
                <c:pt idx="10">
                  <c:v>0.14814305555555562</c:v>
                </c:pt>
                <c:pt idx="11">
                  <c:v>0.11700833333333341</c:v>
                </c:pt>
                <c:pt idx="12">
                  <c:v>9.9087499999999995E-2</c:v>
                </c:pt>
                <c:pt idx="13">
                  <c:v>9.8174999999999985E-2</c:v>
                </c:pt>
                <c:pt idx="14">
                  <c:v>9.7262499999999988E-2</c:v>
                </c:pt>
                <c:pt idx="15">
                  <c:v>9.6349999999999977E-2</c:v>
                </c:pt>
                <c:pt idx="16">
                  <c:v>9.5437499999999981E-2</c:v>
                </c:pt>
                <c:pt idx="17">
                  <c:v>9.452499999999997E-2</c:v>
                </c:pt>
                <c:pt idx="18">
                  <c:v>9.361249999999996E-2</c:v>
                </c:pt>
                <c:pt idx="19">
                  <c:v>9.2699999999999963E-2</c:v>
                </c:pt>
                <c:pt idx="20">
                  <c:v>9.1787499999999952E-2</c:v>
                </c:pt>
                <c:pt idx="21">
                  <c:v>9.0874999999999956E-2</c:v>
                </c:pt>
                <c:pt idx="22">
                  <c:v>8.9962499999999945E-2</c:v>
                </c:pt>
                <c:pt idx="23">
                  <c:v>8.9049999999999935E-2</c:v>
                </c:pt>
                <c:pt idx="24">
                  <c:v>8.8137499999999938E-2</c:v>
                </c:pt>
                <c:pt idx="25">
                  <c:v>8.7224999999999928E-2</c:v>
                </c:pt>
                <c:pt idx="26">
                  <c:v>8.6312499999999931E-2</c:v>
                </c:pt>
                <c:pt idx="27">
                  <c:v>8.539999999999992E-2</c:v>
                </c:pt>
                <c:pt idx="28">
                  <c:v>8.448749999999991E-2</c:v>
                </c:pt>
                <c:pt idx="29">
                  <c:v>8.3574999999999913E-2</c:v>
                </c:pt>
                <c:pt idx="30">
                  <c:v>8.2662499999999903E-2</c:v>
                </c:pt>
                <c:pt idx="31">
                  <c:v>8.1749999999999906E-2</c:v>
                </c:pt>
                <c:pt idx="32">
                  <c:v>8.0837499999999896E-2</c:v>
                </c:pt>
                <c:pt idx="33">
                  <c:v>7.9924999999999885E-2</c:v>
                </c:pt>
                <c:pt idx="34">
                  <c:v>7.9012499999999888E-2</c:v>
                </c:pt>
                <c:pt idx="35">
                  <c:v>7.8099999999999878E-2</c:v>
                </c:pt>
                <c:pt idx="36">
                  <c:v>7.7187499999999881E-2</c:v>
                </c:pt>
                <c:pt idx="37">
                  <c:v>7.7387499999999873E-2</c:v>
                </c:pt>
                <c:pt idx="38">
                  <c:v>7.9837499999999867E-2</c:v>
                </c:pt>
                <c:pt idx="39">
                  <c:v>8.6087499999999872E-2</c:v>
                </c:pt>
                <c:pt idx="40">
                  <c:v>9.8287499999999861E-2</c:v>
                </c:pt>
                <c:pt idx="41">
                  <c:v>0.11908749999999986</c:v>
                </c:pt>
                <c:pt idx="42">
                  <c:v>0.15037361111111097</c:v>
                </c:pt>
                <c:pt idx="43">
                  <c:v>0.19580972222222207</c:v>
                </c:pt>
                <c:pt idx="44">
                  <c:v>0.20704583333333315</c:v>
                </c:pt>
                <c:pt idx="45">
                  <c:v>0.28403194444444424</c:v>
                </c:pt>
                <c:pt idx="46">
                  <c:v>0.37456805555555539</c:v>
                </c:pt>
                <c:pt idx="47">
                  <c:v>0.47435416666666647</c:v>
                </c:pt>
                <c:pt idx="48">
                  <c:v>0.57739027777777752</c:v>
                </c:pt>
                <c:pt idx="49">
                  <c:v>0.67717638888888865</c:v>
                </c:pt>
                <c:pt idx="50">
                  <c:v>0.76771249999999969</c:v>
                </c:pt>
                <c:pt idx="51">
                  <c:v>0.84469861111111089</c:v>
                </c:pt>
                <c:pt idx="52">
                  <c:v>0.9</c:v>
                </c:pt>
                <c:pt idx="53">
                  <c:v>0.89807361111111117</c:v>
                </c:pt>
                <c:pt idx="54">
                  <c:v>0.89828765432098767</c:v>
                </c:pt>
                <c:pt idx="55">
                  <c:v>0.89826387174211253</c:v>
                </c:pt>
                <c:pt idx="56">
                  <c:v>0.85535137174211262</c:v>
                </c:pt>
                <c:pt idx="57">
                  <c:v>0.86058748285322362</c:v>
                </c:pt>
                <c:pt idx="58">
                  <c:v>0.86202359396433492</c:v>
                </c:pt>
                <c:pt idx="59">
                  <c:v>0.86120970507544603</c:v>
                </c:pt>
                <c:pt idx="60">
                  <c:v>0.85918609396433498</c:v>
                </c:pt>
                <c:pt idx="61">
                  <c:v>0.85644026063100187</c:v>
                </c:pt>
                <c:pt idx="62">
                  <c:v>0.85336109396433524</c:v>
                </c:pt>
                <c:pt idx="63">
                  <c:v>0.85011526063100207</c:v>
                </c:pt>
                <c:pt idx="64">
                  <c:v>0.79125831618655762</c:v>
                </c:pt>
                <c:pt idx="65">
                  <c:v>0.73206803840877988</c:v>
                </c:pt>
                <c:pt idx="66">
                  <c:v>0.67009998285322425</c:v>
                </c:pt>
                <c:pt idx="67">
                  <c:v>0.60910414951989089</c:v>
                </c:pt>
                <c:pt idx="68">
                  <c:v>0.54769164951989091</c:v>
                </c:pt>
                <c:pt idx="69">
                  <c:v>0.48627914951989099</c:v>
                </c:pt>
                <c:pt idx="70">
                  <c:v>0.34131109396433545</c:v>
                </c:pt>
                <c:pt idx="71">
                  <c:v>0.15467637174211321</c:v>
                </c:pt>
                <c:pt idx="72">
                  <c:v>9.9087499999999995E-2</c:v>
                </c:pt>
                <c:pt idx="73">
                  <c:v>9.8174999999999985E-2</c:v>
                </c:pt>
                <c:pt idx="74">
                  <c:v>9.7262499999999988E-2</c:v>
                </c:pt>
                <c:pt idx="75">
                  <c:v>9.6349999999999977E-2</c:v>
                </c:pt>
                <c:pt idx="76">
                  <c:v>9.5437499999999981E-2</c:v>
                </c:pt>
                <c:pt idx="77">
                  <c:v>9.452499999999997E-2</c:v>
                </c:pt>
                <c:pt idx="78">
                  <c:v>9.361249999999996E-2</c:v>
                </c:pt>
                <c:pt idx="79">
                  <c:v>9.2699999999999963E-2</c:v>
                </c:pt>
                <c:pt idx="80">
                  <c:v>9.1787499999999952E-2</c:v>
                </c:pt>
                <c:pt idx="81">
                  <c:v>9.0874999999999956E-2</c:v>
                </c:pt>
                <c:pt idx="82">
                  <c:v>8.9962499999999945E-2</c:v>
                </c:pt>
                <c:pt idx="83">
                  <c:v>8.9049999999999935E-2</c:v>
                </c:pt>
                <c:pt idx="84">
                  <c:v>8.8137499999999938E-2</c:v>
                </c:pt>
                <c:pt idx="85">
                  <c:v>8.7224999999999928E-2</c:v>
                </c:pt>
                <c:pt idx="86">
                  <c:v>8.6312499999999931E-2</c:v>
                </c:pt>
                <c:pt idx="87">
                  <c:v>8.539999999999992E-2</c:v>
                </c:pt>
                <c:pt idx="88">
                  <c:v>8.448749999999991E-2</c:v>
                </c:pt>
                <c:pt idx="89">
                  <c:v>8.3574999999999913E-2</c:v>
                </c:pt>
                <c:pt idx="90">
                  <c:v>8.2662499999999903E-2</c:v>
                </c:pt>
                <c:pt idx="91">
                  <c:v>8.1749999999999906E-2</c:v>
                </c:pt>
                <c:pt idx="92">
                  <c:v>8.0837499999999896E-2</c:v>
                </c:pt>
                <c:pt idx="93">
                  <c:v>7.9924999999999885E-2</c:v>
                </c:pt>
                <c:pt idx="94">
                  <c:v>7.9012499999999888E-2</c:v>
                </c:pt>
                <c:pt idx="95">
                  <c:v>7.8099999999999878E-2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8C-4DEE-A913-C157BBC19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78C-4DEE-A913-C157BBC19C3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78C-4DEE-A913-C157BBC19C3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78C-4DEE-A913-C157BBC19C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78C-4DEE-A913-C157BBC19C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78C-4DEE-A913-C157BBC19C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8C-4DEE-A913-C157BBC19C3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8C-4DEE-A913-C157BBC19C3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8C-4DEE-A913-C157BBC19C3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78C-4DEE-A913-C157BBC19C3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78C-4DEE-A913-C157BBC19C38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78C-4DEE-A913-C157BBC19C38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78C-4DEE-A913-C157BBC19C38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78C-4DEE-A913-C157BBC19C38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Leden!$L$1:$L$2</c:f>
              <c:strCache>
                <c:ptCount val="2"/>
                <c:pt idx="0">
                  <c:v>Nabíjení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Leden!$L$3:$L$98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2.0025000000000001E-2</c:v>
                </c:pt>
                <c:pt idx="38">
                  <c:v>6.0525000000000002E-2</c:v>
                </c:pt>
                <c:pt idx="39">
                  <c:v>0.12892500000000001</c:v>
                </c:pt>
                <c:pt idx="40">
                  <c:v>0.23602499999999998</c:v>
                </c:pt>
                <c:pt idx="41">
                  <c:v>0.39082500000000003</c:v>
                </c:pt>
                <c:pt idx="42">
                  <c:v>0.59782499999999994</c:v>
                </c:pt>
                <c:pt idx="43">
                  <c:v>0.85252499999999998</c:v>
                </c:pt>
                <c:pt idx="44">
                  <c:v>0.2369249999999998</c:v>
                </c:pt>
                <c:pt idx="45">
                  <c:v>1.4204250000000003</c:v>
                </c:pt>
                <c:pt idx="46">
                  <c:v>1.6643250000000001</c:v>
                </c:pt>
                <c:pt idx="47">
                  <c:v>1.8308250000000001</c:v>
                </c:pt>
                <c:pt idx="48">
                  <c:v>1.8893250000000001</c:v>
                </c:pt>
                <c:pt idx="49">
                  <c:v>1.8308250000000001</c:v>
                </c:pt>
                <c:pt idx="50">
                  <c:v>1.6643250000000001</c:v>
                </c:pt>
                <c:pt idx="51">
                  <c:v>1.4204250000000003</c:v>
                </c:pt>
                <c:pt idx="52">
                  <c:v>1.1060277777777827</c:v>
                </c:pt>
                <c:pt idx="53">
                  <c:v>0</c:v>
                </c:pt>
                <c:pt idx="54">
                  <c:v>3.8527777777776606E-2</c:v>
                </c:pt>
                <c:pt idx="55">
                  <c:v>3.4246913580247451E-2</c:v>
                </c:pt>
                <c:pt idx="56">
                  <c:v>0</c:v>
                </c:pt>
                <c:pt idx="57">
                  <c:v>0.12892500000000001</c:v>
                </c:pt>
                <c:pt idx="58">
                  <c:v>6.0525000000000002E-2</c:v>
                </c:pt>
                <c:pt idx="59">
                  <c:v>2.0025000000000001E-2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72-417B-BE2F-99E4065D2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A72-417B-BE2F-99E4065D2FC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A72-417B-BE2F-99E4065D2FC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A72-417B-BE2F-99E4065D2FC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72-417B-BE2F-99E4065D2FC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A72-417B-BE2F-99E4065D2FC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72-417B-BE2F-99E4065D2FC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72-417B-BE2F-99E4065D2FC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A72-417B-BE2F-99E4065D2FC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A72-417B-BE2F-99E4065D2FC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A72-417B-BE2F-99E4065D2FC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A72-417B-BE2F-99E4065D2FC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A72-417B-BE2F-99E4065D2FC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A72-417B-BE2F-99E4065D2FC1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0"/>
          <c:order val="10"/>
          <c:tx>
            <c:strRef>
              <c:f>Leden!$M$1:$M$2</c:f>
              <c:strCache>
                <c:ptCount val="2"/>
                <c:pt idx="0">
                  <c:v>Nabíjení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Leden!$M$3:$M$98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2.2250000000000002E-2</c:v>
                </c:pt>
                <c:pt idx="38">
                  <c:v>6.7250000000000004E-2</c:v>
                </c:pt>
                <c:pt idx="39">
                  <c:v>0.14325000000000002</c:v>
                </c:pt>
                <c:pt idx="40">
                  <c:v>0.26224999999999998</c:v>
                </c:pt>
                <c:pt idx="41">
                  <c:v>0.43425000000000002</c:v>
                </c:pt>
                <c:pt idx="42">
                  <c:v>0.6642499999999999</c:v>
                </c:pt>
                <c:pt idx="43">
                  <c:v>0.94724999999999993</c:v>
                </c:pt>
                <c:pt idx="44">
                  <c:v>0.26324999999999976</c:v>
                </c:pt>
                <c:pt idx="45">
                  <c:v>1.5782500000000002</c:v>
                </c:pt>
                <c:pt idx="46">
                  <c:v>1.8492500000000001</c:v>
                </c:pt>
                <c:pt idx="47">
                  <c:v>2.0342500000000001</c:v>
                </c:pt>
                <c:pt idx="48">
                  <c:v>2.0992500000000001</c:v>
                </c:pt>
                <c:pt idx="49">
                  <c:v>2.0342500000000001</c:v>
                </c:pt>
                <c:pt idx="50">
                  <c:v>1.8492500000000001</c:v>
                </c:pt>
                <c:pt idx="51">
                  <c:v>1.5782500000000002</c:v>
                </c:pt>
                <c:pt idx="52">
                  <c:v>1.2289197530864253</c:v>
                </c:pt>
                <c:pt idx="53">
                  <c:v>0</c:v>
                </c:pt>
                <c:pt idx="54">
                  <c:v>4.2808641975307336E-2</c:v>
                </c:pt>
                <c:pt idx="55">
                  <c:v>3.8052126200274948E-2</c:v>
                </c:pt>
                <c:pt idx="56">
                  <c:v>0</c:v>
                </c:pt>
                <c:pt idx="57">
                  <c:v>0.14325000000000002</c:v>
                </c:pt>
                <c:pt idx="58">
                  <c:v>6.7250000000000004E-2</c:v>
                </c:pt>
                <c:pt idx="59">
                  <c:v>2.2250000000000002E-2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20-47B7-A5BD-5EFB45E26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B20-47B7-A5BD-5EFB45E2632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B20-47B7-A5BD-5EFB45E2632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20-47B7-A5BD-5EFB45E2632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20-47B7-A5BD-5EFB45E26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20-47B7-A5BD-5EFB45E2632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20-47B7-A5BD-5EFB45E2632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20-47B7-A5BD-5EFB45E2632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20-47B7-A5BD-5EFB45E2632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B20-47B7-A5BD-5EFB45E2632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B20-47B7-A5BD-5EFB45E2632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B20-47B7-A5BD-5EFB45E2632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B20-47B7-A5BD-5EFB45E2632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B20-47B7-A5BD-5EFB45E2632E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1"/>
          <c:order val="11"/>
          <c:tx>
            <c:strRef>
              <c:f>Leden!$N$1:$N$2</c:f>
              <c:strCache>
                <c:ptCount val="2"/>
                <c:pt idx="0">
                  <c:v>Vybíjení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Leden!$N$3:$N$98</c:f>
              <c:numCache>
                <c:formatCode>0.000</c:formatCode>
                <c:ptCount val="96"/>
                <c:pt idx="0">
                  <c:v>0.56274999999999997</c:v>
                </c:pt>
                <c:pt idx="1">
                  <c:v>0.56274999999999997</c:v>
                </c:pt>
                <c:pt idx="2">
                  <c:v>0.56274999999999997</c:v>
                </c:pt>
                <c:pt idx="3">
                  <c:v>0.56274999999999997</c:v>
                </c:pt>
                <c:pt idx="4">
                  <c:v>0.56274999999999997</c:v>
                </c:pt>
                <c:pt idx="5">
                  <c:v>0.56274999999999997</c:v>
                </c:pt>
                <c:pt idx="6">
                  <c:v>0.56274999999999997</c:v>
                </c:pt>
                <c:pt idx="7">
                  <c:v>0.56274999999999997</c:v>
                </c:pt>
                <c:pt idx="8">
                  <c:v>0.56274999999999997</c:v>
                </c:pt>
                <c:pt idx="9">
                  <c:v>0.54399999999999993</c:v>
                </c:pt>
                <c:pt idx="10">
                  <c:v>0.54399999999999993</c:v>
                </c:pt>
                <c:pt idx="11">
                  <c:v>0.54399999999999993</c:v>
                </c:pt>
                <c:pt idx="12">
                  <c:v>0.54399999999999993</c:v>
                </c:pt>
                <c:pt idx="13">
                  <c:v>0.54399999999999993</c:v>
                </c:pt>
                <c:pt idx="14">
                  <c:v>0.54399999999999993</c:v>
                </c:pt>
                <c:pt idx="15">
                  <c:v>0.54399999999999993</c:v>
                </c:pt>
                <c:pt idx="16">
                  <c:v>0.54399999999999993</c:v>
                </c:pt>
                <c:pt idx="17">
                  <c:v>0.54399999999999993</c:v>
                </c:pt>
                <c:pt idx="18">
                  <c:v>0.54399999999999993</c:v>
                </c:pt>
                <c:pt idx="19">
                  <c:v>0.54399999999999993</c:v>
                </c:pt>
                <c:pt idx="20">
                  <c:v>0.54399999999999993</c:v>
                </c:pt>
                <c:pt idx="21">
                  <c:v>0.54399999999999993</c:v>
                </c:pt>
                <c:pt idx="22">
                  <c:v>0.54399999999999993</c:v>
                </c:pt>
                <c:pt idx="23">
                  <c:v>0.54899999999999993</c:v>
                </c:pt>
                <c:pt idx="24">
                  <c:v>0.54999999999999993</c:v>
                </c:pt>
                <c:pt idx="25">
                  <c:v>0.55899999999999994</c:v>
                </c:pt>
                <c:pt idx="26">
                  <c:v>0.74449999999999861</c:v>
                </c:pt>
                <c:pt idx="27">
                  <c:v>0.72624999999999851</c:v>
                </c:pt>
                <c:pt idx="28">
                  <c:v>0.70799999999999841</c:v>
                </c:pt>
                <c:pt idx="29">
                  <c:v>0.56499999999999995</c:v>
                </c:pt>
                <c:pt idx="30">
                  <c:v>0.61499999999999999</c:v>
                </c:pt>
                <c:pt idx="31">
                  <c:v>0.55199999999999994</c:v>
                </c:pt>
                <c:pt idx="32">
                  <c:v>0.55099999999999993</c:v>
                </c:pt>
                <c:pt idx="33">
                  <c:v>4.1999999999999996E-2</c:v>
                </c:pt>
                <c:pt idx="34">
                  <c:v>3.8999999999999993E-2</c:v>
                </c:pt>
                <c:pt idx="35">
                  <c:v>3.3000000000000002E-2</c:v>
                </c:pt>
                <c:pt idx="36">
                  <c:v>1.9999999999999997E-2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0.75600000000000012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1.9999999999999997E-2</c:v>
                </c:pt>
                <c:pt idx="61">
                  <c:v>3.3000000000000002E-2</c:v>
                </c:pt>
                <c:pt idx="62">
                  <c:v>3.8999999999999993E-2</c:v>
                </c:pt>
                <c:pt idx="63">
                  <c:v>4.1999999999999996E-2</c:v>
                </c:pt>
                <c:pt idx="64">
                  <c:v>1.0430000000000004</c:v>
                </c:pt>
                <c:pt idx="65">
                  <c:v>1.0490000000000002</c:v>
                </c:pt>
                <c:pt idx="66">
                  <c:v>1.0990000000000002</c:v>
                </c:pt>
                <c:pt idx="67">
                  <c:v>1.0815000000000001</c:v>
                </c:pt>
                <c:pt idx="68">
                  <c:v>1.089</c:v>
                </c:pt>
                <c:pt idx="69">
                  <c:v>1.089</c:v>
                </c:pt>
                <c:pt idx="70">
                  <c:v>2.593</c:v>
                </c:pt>
                <c:pt idx="71">
                  <c:v>3.343</c:v>
                </c:pt>
                <c:pt idx="72">
                  <c:v>2.0935274348422643</c:v>
                </c:pt>
                <c:pt idx="73">
                  <c:v>0.9817499999999999</c:v>
                </c:pt>
                <c:pt idx="74">
                  <c:v>0.9634999999999998</c:v>
                </c:pt>
                <c:pt idx="75">
                  <c:v>0.9452499999999997</c:v>
                </c:pt>
                <c:pt idx="76">
                  <c:v>0.9269999999999996</c:v>
                </c:pt>
                <c:pt idx="77">
                  <c:v>0.58224999999999993</c:v>
                </c:pt>
                <c:pt idx="78">
                  <c:v>0.64474999999999993</c:v>
                </c:pt>
                <c:pt idx="79">
                  <c:v>0.64874999999999994</c:v>
                </c:pt>
                <c:pt idx="80">
                  <c:v>0.64874999999999994</c:v>
                </c:pt>
                <c:pt idx="81">
                  <c:v>0.64874999999999994</c:v>
                </c:pt>
                <c:pt idx="82">
                  <c:v>0.64874999999999994</c:v>
                </c:pt>
                <c:pt idx="83">
                  <c:v>0.79924999999999891</c:v>
                </c:pt>
                <c:pt idx="84">
                  <c:v>0.78099999999999881</c:v>
                </c:pt>
                <c:pt idx="85">
                  <c:v>0.76274999999999871</c:v>
                </c:pt>
                <c:pt idx="86">
                  <c:v>0.74449999999999861</c:v>
                </c:pt>
                <c:pt idx="87">
                  <c:v>0.72624999999999851</c:v>
                </c:pt>
                <c:pt idx="88">
                  <c:v>0.70799999999999841</c:v>
                </c:pt>
                <c:pt idx="89">
                  <c:v>0.68974999999999831</c:v>
                </c:pt>
                <c:pt idx="90">
                  <c:v>0.67149999999999821</c:v>
                </c:pt>
                <c:pt idx="91">
                  <c:v>0.59124999999999994</c:v>
                </c:pt>
                <c:pt idx="92">
                  <c:v>0.63499999999999801</c:v>
                </c:pt>
                <c:pt idx="93">
                  <c:v>0.61674999999999791</c:v>
                </c:pt>
                <c:pt idx="94">
                  <c:v>0.56399999999999995</c:v>
                </c:pt>
                <c:pt idx="95">
                  <c:v>0.55899999999999994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7BC-450E-A7FE-89A6603A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7BC-450E-A7FE-89A6603A906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7BC-450E-A7FE-89A6603A906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7BC-450E-A7FE-89A6603A906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BC-450E-A7FE-89A6603A906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7BC-450E-A7FE-89A6603A906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7BC-450E-A7FE-89A6603A906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BC-450E-A7FE-89A6603A906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7BC-450E-A7FE-89A6603A906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7BC-450E-A7FE-89A6603A906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7BC-450E-A7FE-89A6603A906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7BC-450E-A7FE-89A6603A906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7BC-450E-A7FE-89A6603A906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7BC-450E-A7FE-89A6603A9065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2"/>
          <c:order val="12"/>
          <c:tx>
            <c:strRef>
              <c:f>Leden!$O$1:$O$2</c:f>
              <c:strCache>
                <c:ptCount val="2"/>
                <c:pt idx="0">
                  <c:v>Vybíjení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Leden!$O$3:$O$98</c:f>
              <c:numCache>
                <c:formatCode>0.000</c:formatCode>
                <c:ptCount val="96"/>
                <c:pt idx="0">
                  <c:v>0.62527777777777771</c:v>
                </c:pt>
                <c:pt idx="1">
                  <c:v>0.62527777777777771</c:v>
                </c:pt>
                <c:pt idx="2">
                  <c:v>0.62527777777777771</c:v>
                </c:pt>
                <c:pt idx="3">
                  <c:v>0.62527777777777771</c:v>
                </c:pt>
                <c:pt idx="4">
                  <c:v>0.62527777777777771</c:v>
                </c:pt>
                <c:pt idx="5">
                  <c:v>0.62527777777777771</c:v>
                </c:pt>
                <c:pt idx="6">
                  <c:v>0.62527777777777771</c:v>
                </c:pt>
                <c:pt idx="7">
                  <c:v>0.62527777777777771</c:v>
                </c:pt>
                <c:pt idx="8">
                  <c:v>0.62527777777777771</c:v>
                </c:pt>
                <c:pt idx="9">
                  <c:v>0.60444444444444434</c:v>
                </c:pt>
                <c:pt idx="10">
                  <c:v>0.60444444444444434</c:v>
                </c:pt>
                <c:pt idx="11">
                  <c:v>0.60444444444444434</c:v>
                </c:pt>
                <c:pt idx="12">
                  <c:v>0.60444444444444434</c:v>
                </c:pt>
                <c:pt idx="13">
                  <c:v>0.60444444444444434</c:v>
                </c:pt>
                <c:pt idx="14">
                  <c:v>0.60444444444444434</c:v>
                </c:pt>
                <c:pt idx="15">
                  <c:v>0.60444444444444434</c:v>
                </c:pt>
                <c:pt idx="16">
                  <c:v>0.60444444444444434</c:v>
                </c:pt>
                <c:pt idx="17">
                  <c:v>0.60444444444444434</c:v>
                </c:pt>
                <c:pt idx="18">
                  <c:v>0.60444444444444434</c:v>
                </c:pt>
                <c:pt idx="19">
                  <c:v>0.60444444444444434</c:v>
                </c:pt>
                <c:pt idx="20">
                  <c:v>0.60444444444444434</c:v>
                </c:pt>
                <c:pt idx="21">
                  <c:v>0.60444444444444434</c:v>
                </c:pt>
                <c:pt idx="22">
                  <c:v>0.60444444444444434</c:v>
                </c:pt>
                <c:pt idx="23">
                  <c:v>0.60999999999999988</c:v>
                </c:pt>
                <c:pt idx="24">
                  <c:v>0.61111111111111105</c:v>
                </c:pt>
                <c:pt idx="25">
                  <c:v>0.62111111111111106</c:v>
                </c:pt>
                <c:pt idx="26">
                  <c:v>0.82722222222222064</c:v>
                </c:pt>
                <c:pt idx="27">
                  <c:v>0.8069444444444428</c:v>
                </c:pt>
                <c:pt idx="28">
                  <c:v>0.78666666666666485</c:v>
                </c:pt>
                <c:pt idx="29">
                  <c:v>0.62777777777777766</c:v>
                </c:pt>
                <c:pt idx="30">
                  <c:v>0.68333333333333335</c:v>
                </c:pt>
                <c:pt idx="31">
                  <c:v>0.61333333333333329</c:v>
                </c:pt>
                <c:pt idx="32">
                  <c:v>0.61222222222222211</c:v>
                </c:pt>
                <c:pt idx="33">
                  <c:v>4.6666666666666662E-2</c:v>
                </c:pt>
                <c:pt idx="34">
                  <c:v>4.3333333333333328E-2</c:v>
                </c:pt>
                <c:pt idx="35">
                  <c:v>3.6666666666666667E-2</c:v>
                </c:pt>
                <c:pt idx="36">
                  <c:v>2.222222222222222E-2</c:v>
                </c:pt>
                <c:pt idx="37">
                  <c:v>2.0277777777777777E-2</c:v>
                </c:pt>
                <c:pt idx="38">
                  <c:v>2.0277777777777777E-2</c:v>
                </c:pt>
                <c:pt idx="39">
                  <c:v>2.0277777777777777E-2</c:v>
                </c:pt>
                <c:pt idx="40">
                  <c:v>2.0277777777777777E-2</c:v>
                </c:pt>
                <c:pt idx="41">
                  <c:v>2.0277777777777777E-2</c:v>
                </c:pt>
                <c:pt idx="42">
                  <c:v>2.0277777777777777E-2</c:v>
                </c:pt>
                <c:pt idx="43">
                  <c:v>2.0277777777777777E-2</c:v>
                </c:pt>
                <c:pt idx="44">
                  <c:v>2.0277777777777777E-2</c:v>
                </c:pt>
                <c:pt idx="45">
                  <c:v>2.0277777777777777E-2</c:v>
                </c:pt>
                <c:pt idx="46">
                  <c:v>2.0277777777777777E-2</c:v>
                </c:pt>
                <c:pt idx="47">
                  <c:v>2.0277777777777777E-2</c:v>
                </c:pt>
                <c:pt idx="48">
                  <c:v>2.0277777777777777E-2</c:v>
                </c:pt>
                <c:pt idx="49">
                  <c:v>2.0277777777777777E-2</c:v>
                </c:pt>
                <c:pt idx="50">
                  <c:v>2.0277777777777777E-2</c:v>
                </c:pt>
                <c:pt idx="51">
                  <c:v>2.0277777777777777E-2</c:v>
                </c:pt>
                <c:pt idx="52">
                  <c:v>2.0277777777777777E-2</c:v>
                </c:pt>
                <c:pt idx="53">
                  <c:v>2.0277777777777777E-2</c:v>
                </c:pt>
                <c:pt idx="54">
                  <c:v>2.0277777777777777E-2</c:v>
                </c:pt>
                <c:pt idx="55">
                  <c:v>2.0277777777777777E-2</c:v>
                </c:pt>
                <c:pt idx="56">
                  <c:v>0.84000000000000008</c:v>
                </c:pt>
                <c:pt idx="57">
                  <c:v>2.0277777777777777E-2</c:v>
                </c:pt>
                <c:pt idx="58">
                  <c:v>2.0277777777777777E-2</c:v>
                </c:pt>
                <c:pt idx="59">
                  <c:v>2.0277777777777777E-2</c:v>
                </c:pt>
                <c:pt idx="60">
                  <c:v>2.222222222222222E-2</c:v>
                </c:pt>
                <c:pt idx="61">
                  <c:v>3.6666666666666667E-2</c:v>
                </c:pt>
                <c:pt idx="62">
                  <c:v>4.3333333333333328E-2</c:v>
                </c:pt>
                <c:pt idx="63">
                  <c:v>4.6666666666666662E-2</c:v>
                </c:pt>
                <c:pt idx="64">
                  <c:v>1.1588888888888893</c:v>
                </c:pt>
                <c:pt idx="65">
                  <c:v>1.1655555555555557</c:v>
                </c:pt>
                <c:pt idx="66">
                  <c:v>1.2211111111111113</c:v>
                </c:pt>
                <c:pt idx="67">
                  <c:v>1.2016666666666669</c:v>
                </c:pt>
                <c:pt idx="68">
                  <c:v>1.21</c:v>
                </c:pt>
                <c:pt idx="69">
                  <c:v>1.21</c:v>
                </c:pt>
                <c:pt idx="70">
                  <c:v>2.8811111111111112</c:v>
                </c:pt>
                <c:pt idx="71">
                  <c:v>3.7144444444444442</c:v>
                </c:pt>
                <c:pt idx="72">
                  <c:v>2.3261415942691825</c:v>
                </c:pt>
                <c:pt idx="73">
                  <c:v>1.0908333333333331</c:v>
                </c:pt>
                <c:pt idx="74">
                  <c:v>1.0705555555555553</c:v>
                </c:pt>
                <c:pt idx="75">
                  <c:v>1.0502777777777774</c:v>
                </c:pt>
                <c:pt idx="76">
                  <c:v>1.0299999999999996</c:v>
                </c:pt>
                <c:pt idx="77">
                  <c:v>0.64694444444444432</c:v>
                </c:pt>
                <c:pt idx="78">
                  <c:v>0.71638888888888885</c:v>
                </c:pt>
                <c:pt idx="79">
                  <c:v>0.72083333333333321</c:v>
                </c:pt>
                <c:pt idx="80">
                  <c:v>0.72083333333333321</c:v>
                </c:pt>
                <c:pt idx="81">
                  <c:v>0.72083333333333321</c:v>
                </c:pt>
                <c:pt idx="82">
                  <c:v>0.72083333333333321</c:v>
                </c:pt>
                <c:pt idx="83">
                  <c:v>0.88805555555555427</c:v>
                </c:pt>
                <c:pt idx="84">
                  <c:v>0.86777777777777643</c:v>
                </c:pt>
                <c:pt idx="85">
                  <c:v>0.84749999999999859</c:v>
                </c:pt>
                <c:pt idx="86">
                  <c:v>0.82722222222222064</c:v>
                </c:pt>
                <c:pt idx="87">
                  <c:v>0.8069444444444428</c:v>
                </c:pt>
                <c:pt idx="88">
                  <c:v>0.78666666666666485</c:v>
                </c:pt>
                <c:pt idx="89">
                  <c:v>0.76638888888888701</c:v>
                </c:pt>
                <c:pt idx="90">
                  <c:v>0.74611111111110906</c:v>
                </c:pt>
                <c:pt idx="91">
                  <c:v>0.65694444444444433</c:v>
                </c:pt>
                <c:pt idx="92">
                  <c:v>0.70555555555555338</c:v>
                </c:pt>
                <c:pt idx="93">
                  <c:v>0.68527777777777543</c:v>
                </c:pt>
                <c:pt idx="94">
                  <c:v>0.62666666666666659</c:v>
                </c:pt>
                <c:pt idx="95">
                  <c:v>0.62111111111111106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8B-4CA0-8184-211B461B8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F8B-4CA0-8184-211B461B8E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F8B-4CA0-8184-211B461B8E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8B-4CA0-8184-211B461B8E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8B-4CA0-8184-211B461B8E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8B-4CA0-8184-211B461B8E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8B-4CA0-8184-211B461B8E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8B-4CA0-8184-211B461B8ED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8B-4CA0-8184-211B461B8ED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F8B-4CA0-8184-211B461B8ED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F8B-4CA0-8184-211B461B8ED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F8B-4CA0-8184-211B461B8ED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F8B-4CA0-8184-211B461B8ED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F8B-4CA0-8184-211B461B8EDE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3"/>
          <c:order val="13"/>
          <c:tx>
            <c:strRef>
              <c:f>Leden!$P$1:$P$2</c:f>
              <c:strCache>
                <c:ptCount val="2"/>
                <c:pt idx="0">
                  <c:v>Vlastní 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Leden!$B$3:$B$98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Leden!$P$3:$P$98</c:f>
              <c:numCache>
                <c:formatCode>0.000</c:formatCode>
                <c:ptCount val="96"/>
                <c:pt idx="0">
                  <c:v>1.8249999999999999E-2</c:v>
                </c:pt>
                <c:pt idx="1">
                  <c:v>1.8249999999999999E-2</c:v>
                </c:pt>
                <c:pt idx="2">
                  <c:v>1.8249999999999999E-2</c:v>
                </c:pt>
                <c:pt idx="3">
                  <c:v>1.8249999999999999E-2</c:v>
                </c:pt>
                <c:pt idx="4">
                  <c:v>1.8249999999999999E-2</c:v>
                </c:pt>
                <c:pt idx="5">
                  <c:v>1.8249999999999999E-2</c:v>
                </c:pt>
                <c:pt idx="6">
                  <c:v>1.8249999999999999E-2</c:v>
                </c:pt>
                <c:pt idx="7">
                  <c:v>1.8249999999999999E-2</c:v>
                </c:pt>
                <c:pt idx="8">
                  <c:v>1.8249999999999999E-2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1.8249999999999999E-2</c:v>
                </c:pt>
                <c:pt idx="18">
                  <c:v>1.8249999999999999E-2</c:v>
                </c:pt>
                <c:pt idx="19">
                  <c:v>1.8249999999999999E-2</c:v>
                </c:pt>
                <c:pt idx="20">
                  <c:v>1.8249999999999999E-2</c:v>
                </c:pt>
                <c:pt idx="21">
                  <c:v>1.8249999999999999E-2</c:v>
                </c:pt>
                <c:pt idx="22">
                  <c:v>1.8249999999999999E-2</c:v>
                </c:pt>
                <c:pt idx="23">
                  <c:v>1.8249999999999999E-2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1.8249999999999999E-2</c:v>
                </c:pt>
                <c:pt idx="29">
                  <c:v>1.8249999999999999E-2</c:v>
                </c:pt>
                <c:pt idx="30">
                  <c:v>1.8249999999999999E-2</c:v>
                </c:pt>
                <c:pt idx="31">
                  <c:v>1.8249999999999999E-2</c:v>
                </c:pt>
                <c:pt idx="32">
                  <c:v>1.8249999999999999E-2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1.8249999999999999E-2</c:v>
                </c:pt>
                <c:pt idx="71">
                  <c:v>1.8249999999999999E-2</c:v>
                </c:pt>
                <c:pt idx="72">
                  <c:v>1.8249999999999999E-2</c:v>
                </c:pt>
                <c:pt idx="73">
                  <c:v>1.8249999999999999E-2</c:v>
                </c:pt>
                <c:pt idx="74">
                  <c:v>1.8249999999999999E-2</c:v>
                </c:pt>
                <c:pt idx="75">
                  <c:v>1.8249999999999999E-2</c:v>
                </c:pt>
                <c:pt idx="76">
                  <c:v>1.8249999999999999E-2</c:v>
                </c:pt>
                <c:pt idx="77">
                  <c:v>1.8249999999999999E-2</c:v>
                </c:pt>
                <c:pt idx="78">
                  <c:v>1.8249999999999999E-2</c:v>
                </c:pt>
                <c:pt idx="79">
                  <c:v>1.8249999999999999E-2</c:v>
                </c:pt>
                <c:pt idx="80">
                  <c:v>1.8249999999999999E-2</c:v>
                </c:pt>
                <c:pt idx="81">
                  <c:v>1.8249999999999999E-2</c:v>
                </c:pt>
                <c:pt idx="82">
                  <c:v>1.8249999999999999E-2</c:v>
                </c:pt>
                <c:pt idx="83">
                  <c:v>1.8249999999999999E-2</c:v>
                </c:pt>
                <c:pt idx="84">
                  <c:v>1.8249999999999999E-2</c:v>
                </c:pt>
                <c:pt idx="85">
                  <c:v>1.8249999999999999E-2</c:v>
                </c:pt>
                <c:pt idx="86">
                  <c:v>1.8249999999999999E-2</c:v>
                </c:pt>
                <c:pt idx="87">
                  <c:v>1.8249999999999999E-2</c:v>
                </c:pt>
                <c:pt idx="88">
                  <c:v>1.8249999999999999E-2</c:v>
                </c:pt>
                <c:pt idx="89">
                  <c:v>1.8249999999999999E-2</c:v>
                </c:pt>
                <c:pt idx="90">
                  <c:v>1.8249999999999999E-2</c:v>
                </c:pt>
                <c:pt idx="91">
                  <c:v>1.8249999999999999E-2</c:v>
                </c:pt>
                <c:pt idx="92">
                  <c:v>1.8249999999999999E-2</c:v>
                </c:pt>
                <c:pt idx="93">
                  <c:v>1.8249999999999999E-2</c:v>
                </c:pt>
                <c:pt idx="94">
                  <c:v>1.8249999999999999E-2</c:v>
                </c:pt>
                <c:pt idx="95">
                  <c:v>1.8249999999999999E-2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4C-4065-BF41-0D6956DA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496255"/>
        <c:axId val="5403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Leden!$C$1:$C$2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Leden!$C$3:$C$98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2.9157500000000001</c:v>
                      </c:pt>
                      <c:pt idx="28">
                        <c:v>2.5467500000000003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0.53374999999999995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1.0257500000000002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1.0257500000000002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3.3247499999999999</c:v>
                      </c:pt>
                      <c:pt idx="73">
                        <c:v>3.3097500000000002</c:v>
                      </c:pt>
                      <c:pt idx="74">
                        <c:v>1.80975</c:v>
                      </c:pt>
                      <c:pt idx="75">
                        <c:v>1.8127500000000001</c:v>
                      </c:pt>
                      <c:pt idx="76">
                        <c:v>1.839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1.1305000000000001</c:v>
                      </c:pt>
                      <c:pt idx="84">
                        <c:v>1.6805000000000001</c:v>
                      </c:pt>
                      <c:pt idx="85">
                        <c:v>1.6745000000000001</c:v>
                      </c:pt>
                      <c:pt idx="86">
                        <c:v>1.6820000000000002</c:v>
                      </c:pt>
                      <c:pt idx="87">
                        <c:v>1.1819999999999999</c:v>
                      </c:pt>
                      <c:pt idx="88">
                        <c:v>1.1819999999999999</c:v>
                      </c:pt>
                      <c:pt idx="89">
                        <c:v>1.1779999999999999</c:v>
                      </c:pt>
                      <c:pt idx="90">
                        <c:v>1.1855</c:v>
                      </c:pt>
                      <c:pt idx="91">
                        <c:v>0.57299999999999995</c:v>
                      </c:pt>
                      <c:pt idx="92">
                        <c:v>1.073</c:v>
                      </c:pt>
                      <c:pt idx="93">
                        <c:v>1.05175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4C-4065-BF41-0D6956DAE9B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1.0257500000000002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0.28799999999999998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4C-4065-BF41-0D6956DAE9B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Leden!$E$3:$E$98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1E-3</c:v>
                      </c:pt>
                      <c:pt idx="33">
                        <c:v>2E-3</c:v>
                      </c:pt>
                      <c:pt idx="34">
                        <c:v>5.0000000000000001E-3</c:v>
                      </c:pt>
                      <c:pt idx="35">
                        <c:v>1.0999999999999999E-2</c:v>
                      </c:pt>
                      <c:pt idx="36">
                        <c:v>2.4E-2</c:v>
                      </c:pt>
                      <c:pt idx="37">
                        <c:v>4.8000000000000001E-2</c:v>
                      </c:pt>
                      <c:pt idx="38">
                        <c:v>9.2999999999999999E-2</c:v>
                      </c:pt>
                      <c:pt idx="39">
                        <c:v>0.16900000000000001</c:v>
                      </c:pt>
                      <c:pt idx="40">
                        <c:v>0.28799999999999998</c:v>
                      </c:pt>
                      <c:pt idx="41">
                        <c:v>0.46</c:v>
                      </c:pt>
                      <c:pt idx="42">
                        <c:v>0.69</c:v>
                      </c:pt>
                      <c:pt idx="43">
                        <c:v>0.97299999999999998</c:v>
                      </c:pt>
                      <c:pt idx="44">
                        <c:v>1.2889999999999999</c:v>
                      </c:pt>
                      <c:pt idx="45">
                        <c:v>1.6040000000000001</c:v>
                      </c:pt>
                      <c:pt idx="46">
                        <c:v>1.875</c:v>
                      </c:pt>
                      <c:pt idx="47">
                        <c:v>2.06</c:v>
                      </c:pt>
                      <c:pt idx="48">
                        <c:v>2.125</c:v>
                      </c:pt>
                      <c:pt idx="49">
                        <c:v>2.06</c:v>
                      </c:pt>
                      <c:pt idx="50">
                        <c:v>1.875</c:v>
                      </c:pt>
                      <c:pt idx="51">
                        <c:v>1.6040000000000001</c:v>
                      </c:pt>
                      <c:pt idx="52">
                        <c:v>1.2889999999999999</c:v>
                      </c:pt>
                      <c:pt idx="53">
                        <c:v>0.97299999999999998</c:v>
                      </c:pt>
                      <c:pt idx="54">
                        <c:v>0.69</c:v>
                      </c:pt>
                      <c:pt idx="55">
                        <c:v>0.46</c:v>
                      </c:pt>
                      <c:pt idx="56">
                        <c:v>0.28799999999999998</c:v>
                      </c:pt>
                      <c:pt idx="57">
                        <c:v>0.16900000000000001</c:v>
                      </c:pt>
                      <c:pt idx="58">
                        <c:v>9.2999999999999999E-2</c:v>
                      </c:pt>
                      <c:pt idx="59">
                        <c:v>4.8000000000000001E-2</c:v>
                      </c:pt>
                      <c:pt idx="60">
                        <c:v>2.4E-2</c:v>
                      </c:pt>
                      <c:pt idx="61">
                        <c:v>1.0999999999999999E-2</c:v>
                      </c:pt>
                      <c:pt idx="62">
                        <c:v>5.0000000000000001E-3</c:v>
                      </c:pt>
                      <c:pt idx="63">
                        <c:v>2E-3</c:v>
                      </c:pt>
                      <c:pt idx="64">
                        <c:v>1E-3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54C-4065-BF41-0D6956DAE9B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2.1895000000000016</c:v>
                      </c:pt>
                      <c:pt idx="28">
                        <c:v>1.8387500000000019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1.2312225651577355</c:v>
                      </c:pt>
                      <c:pt idx="73">
                        <c:v>2.3280000000000003</c:v>
                      </c:pt>
                      <c:pt idx="74">
                        <c:v>0.84625000000000017</c:v>
                      </c:pt>
                      <c:pt idx="75">
                        <c:v>0.86750000000000038</c:v>
                      </c:pt>
                      <c:pt idx="76">
                        <c:v>0.91200000000000037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0.33125000000000115</c:v>
                      </c:pt>
                      <c:pt idx="84">
                        <c:v>0.8995000000000013</c:v>
                      </c:pt>
                      <c:pt idx="85">
                        <c:v>0.91175000000000139</c:v>
                      </c:pt>
                      <c:pt idx="86">
                        <c:v>0.93750000000000155</c:v>
                      </c:pt>
                      <c:pt idx="87">
                        <c:v>0.45575000000000143</c:v>
                      </c:pt>
                      <c:pt idx="88">
                        <c:v>0.47400000000000153</c:v>
                      </c:pt>
                      <c:pt idx="89">
                        <c:v>0.48825000000000163</c:v>
                      </c:pt>
                      <c:pt idx="90">
                        <c:v>0.51400000000000179</c:v>
                      </c:pt>
                      <c:pt idx="91">
                        <c:v>0</c:v>
                      </c:pt>
                      <c:pt idx="92">
                        <c:v>0.43800000000000194</c:v>
                      </c:pt>
                      <c:pt idx="93">
                        <c:v>0.43500000000000205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54C-4065-BF41-0D6956DAE9B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3.4330246913574669E-2</c:v>
                      </c:pt>
                      <c:pt idx="53">
                        <c:v>0.94724999999999993</c:v>
                      </c:pt>
                      <c:pt idx="54">
                        <c:v>0.62144135802469258</c:v>
                      </c:pt>
                      <c:pt idx="55">
                        <c:v>0.3961978737997251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54C-4065-BF41-0D6956DAE9B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0.54449999999999998</c:v>
                      </c:pt>
                      <c:pt idx="1">
                        <c:v>0.54449999999999998</c:v>
                      </c:pt>
                      <c:pt idx="2">
                        <c:v>0.54449999999999998</c:v>
                      </c:pt>
                      <c:pt idx="3">
                        <c:v>0.54449999999999998</c:v>
                      </c:pt>
                      <c:pt idx="4">
                        <c:v>0.54449999999999998</c:v>
                      </c:pt>
                      <c:pt idx="5">
                        <c:v>0.54449999999999998</c:v>
                      </c:pt>
                      <c:pt idx="6">
                        <c:v>0.54449999999999998</c:v>
                      </c:pt>
                      <c:pt idx="7">
                        <c:v>0.54449999999999998</c:v>
                      </c:pt>
                      <c:pt idx="8">
                        <c:v>0.54449999999999998</c:v>
                      </c:pt>
                      <c:pt idx="9">
                        <c:v>0.52574999999999994</c:v>
                      </c:pt>
                      <c:pt idx="10">
                        <c:v>0.52574999999999994</c:v>
                      </c:pt>
                      <c:pt idx="11">
                        <c:v>0.52574999999999994</c:v>
                      </c:pt>
                      <c:pt idx="12">
                        <c:v>0.52574999999999994</c:v>
                      </c:pt>
                      <c:pt idx="13">
                        <c:v>0.52574999999999994</c:v>
                      </c:pt>
                      <c:pt idx="14">
                        <c:v>0.52574999999999994</c:v>
                      </c:pt>
                      <c:pt idx="15">
                        <c:v>0.52574999999999994</c:v>
                      </c:pt>
                      <c:pt idx="16">
                        <c:v>0.52574999999999994</c:v>
                      </c:pt>
                      <c:pt idx="17">
                        <c:v>0.52574999999999994</c:v>
                      </c:pt>
                      <c:pt idx="18">
                        <c:v>0.52574999999999994</c:v>
                      </c:pt>
                      <c:pt idx="19">
                        <c:v>0.52574999999999994</c:v>
                      </c:pt>
                      <c:pt idx="20">
                        <c:v>0.52574999999999994</c:v>
                      </c:pt>
                      <c:pt idx="21">
                        <c:v>0.52574999999999994</c:v>
                      </c:pt>
                      <c:pt idx="22">
                        <c:v>0.52574999999999994</c:v>
                      </c:pt>
                      <c:pt idx="23">
                        <c:v>0.53074999999999994</c:v>
                      </c:pt>
                      <c:pt idx="24">
                        <c:v>0.53174999999999994</c:v>
                      </c:pt>
                      <c:pt idx="25">
                        <c:v>0.54074999999999995</c:v>
                      </c:pt>
                      <c:pt idx="26">
                        <c:v>0.73324999999999996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0.54674999999999996</c:v>
                      </c:pt>
                      <c:pt idx="30">
                        <c:v>0.59675</c:v>
                      </c:pt>
                      <c:pt idx="31">
                        <c:v>0.53374999999999995</c:v>
                      </c:pt>
                      <c:pt idx="32">
                        <c:v>0.53274999999999995</c:v>
                      </c:pt>
                      <c:pt idx="33">
                        <c:v>2.375E-2</c:v>
                      </c:pt>
                      <c:pt idx="34">
                        <c:v>2.0749999999999998E-2</c:v>
                      </c:pt>
                      <c:pt idx="35">
                        <c:v>1.4749999999999999E-2</c:v>
                      </c:pt>
                      <c:pt idx="36">
                        <c:v>1.7499999999999981E-3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0.73775000000000013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1.7499999999999981E-3</c:v>
                      </c:pt>
                      <c:pt idx="61">
                        <c:v>1.4749999999999999E-2</c:v>
                      </c:pt>
                      <c:pt idx="62">
                        <c:v>2.0749999999999998E-2</c:v>
                      </c:pt>
                      <c:pt idx="63">
                        <c:v>2.375E-2</c:v>
                      </c:pt>
                      <c:pt idx="64">
                        <c:v>1.0247500000000003</c:v>
                      </c:pt>
                      <c:pt idx="65">
                        <c:v>1.0307500000000001</c:v>
                      </c:pt>
                      <c:pt idx="66">
                        <c:v>1.0807500000000001</c:v>
                      </c:pt>
                      <c:pt idx="67">
                        <c:v>1.06325</c:v>
                      </c:pt>
                      <c:pt idx="68">
                        <c:v>1.0707499999999999</c:v>
                      </c:pt>
                      <c:pt idx="69">
                        <c:v>1.0707499999999999</c:v>
                      </c:pt>
                      <c:pt idx="70">
                        <c:v>2.5747499999999999</c:v>
                      </c:pt>
                      <c:pt idx="71">
                        <c:v>3.3247499999999999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0.56399999999999995</c:v>
                      </c:pt>
                      <c:pt idx="78">
                        <c:v>0.62649999999999995</c:v>
                      </c:pt>
                      <c:pt idx="79">
                        <c:v>0.63049999999999995</c:v>
                      </c:pt>
                      <c:pt idx="80">
                        <c:v>0.63049999999999995</c:v>
                      </c:pt>
                      <c:pt idx="81">
                        <c:v>0.63049999999999995</c:v>
                      </c:pt>
                      <c:pt idx="82">
                        <c:v>0.63049999999999995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0.57299999999999995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0.54574999999999996</c:v>
                      </c:pt>
                      <c:pt idx="95">
                        <c:v>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4C-4065-BF41-0D6956DAE9B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-0.54449999999999998</c:v>
                      </c:pt>
                      <c:pt idx="1">
                        <c:v>-0.54449999999999998</c:v>
                      </c:pt>
                      <c:pt idx="2">
                        <c:v>-0.54449999999999998</c:v>
                      </c:pt>
                      <c:pt idx="3">
                        <c:v>-0.54449999999999998</c:v>
                      </c:pt>
                      <c:pt idx="4">
                        <c:v>-0.54449999999999998</c:v>
                      </c:pt>
                      <c:pt idx="5">
                        <c:v>-0.54449999999999998</c:v>
                      </c:pt>
                      <c:pt idx="6">
                        <c:v>-0.54449999999999998</c:v>
                      </c:pt>
                      <c:pt idx="7">
                        <c:v>-0.54449999999999998</c:v>
                      </c:pt>
                      <c:pt idx="8">
                        <c:v>-0.54449999999999998</c:v>
                      </c:pt>
                      <c:pt idx="9">
                        <c:v>-0.52574999999999994</c:v>
                      </c:pt>
                      <c:pt idx="10">
                        <c:v>-0.52574999999999994</c:v>
                      </c:pt>
                      <c:pt idx="11">
                        <c:v>-0.52574999999999994</c:v>
                      </c:pt>
                      <c:pt idx="12">
                        <c:v>-0.52574999999999994</c:v>
                      </c:pt>
                      <c:pt idx="13">
                        <c:v>-0.52574999999999994</c:v>
                      </c:pt>
                      <c:pt idx="14">
                        <c:v>-0.52574999999999994</c:v>
                      </c:pt>
                      <c:pt idx="15">
                        <c:v>-0.52574999999999994</c:v>
                      </c:pt>
                      <c:pt idx="16">
                        <c:v>-0.52574999999999994</c:v>
                      </c:pt>
                      <c:pt idx="17">
                        <c:v>-0.52574999999999994</c:v>
                      </c:pt>
                      <c:pt idx="18">
                        <c:v>-0.52574999999999994</c:v>
                      </c:pt>
                      <c:pt idx="19">
                        <c:v>-0.52574999999999994</c:v>
                      </c:pt>
                      <c:pt idx="20">
                        <c:v>-0.52574999999999994</c:v>
                      </c:pt>
                      <c:pt idx="21">
                        <c:v>-0.52574999999999994</c:v>
                      </c:pt>
                      <c:pt idx="22">
                        <c:v>-0.52574999999999994</c:v>
                      </c:pt>
                      <c:pt idx="23">
                        <c:v>-0.53074999999999994</c:v>
                      </c:pt>
                      <c:pt idx="24">
                        <c:v>-0.53174999999999994</c:v>
                      </c:pt>
                      <c:pt idx="25">
                        <c:v>-0.54074999999999995</c:v>
                      </c:pt>
                      <c:pt idx="26">
                        <c:v>-0.73324999999999996</c:v>
                      </c:pt>
                      <c:pt idx="27">
                        <c:v>-2.9157500000000001</c:v>
                      </c:pt>
                      <c:pt idx="28">
                        <c:v>-2.5467500000000003</c:v>
                      </c:pt>
                      <c:pt idx="29">
                        <c:v>-0.54674999999999996</c:v>
                      </c:pt>
                      <c:pt idx="30">
                        <c:v>-0.59675</c:v>
                      </c:pt>
                      <c:pt idx="31">
                        <c:v>-0.53374999999999995</c:v>
                      </c:pt>
                      <c:pt idx="32">
                        <c:v>-0.53274999999999995</c:v>
                      </c:pt>
                      <c:pt idx="33">
                        <c:v>-2.375E-2</c:v>
                      </c:pt>
                      <c:pt idx="34">
                        <c:v>-2.0749999999999998E-2</c:v>
                      </c:pt>
                      <c:pt idx="35">
                        <c:v>-1.4749999999999999E-2</c:v>
                      </c:pt>
                      <c:pt idx="36">
                        <c:v>-1.7499999999999981E-3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1.26325</c:v>
                      </c:pt>
                      <c:pt idx="53">
                        <c:v>0.94724999999999993</c:v>
                      </c:pt>
                      <c:pt idx="54">
                        <c:v>0.6642499999999999</c:v>
                      </c:pt>
                      <c:pt idx="55">
                        <c:v>0.43425000000000002</c:v>
                      </c:pt>
                      <c:pt idx="56">
                        <c:v>-0.73775000000000013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-1.7499999999999981E-3</c:v>
                      </c:pt>
                      <c:pt idx="61">
                        <c:v>-1.4749999999999999E-2</c:v>
                      </c:pt>
                      <c:pt idx="62">
                        <c:v>-2.0749999999999998E-2</c:v>
                      </c:pt>
                      <c:pt idx="63">
                        <c:v>-2.375E-2</c:v>
                      </c:pt>
                      <c:pt idx="64">
                        <c:v>-1.0247500000000003</c:v>
                      </c:pt>
                      <c:pt idx="65">
                        <c:v>-1.0307500000000001</c:v>
                      </c:pt>
                      <c:pt idx="66">
                        <c:v>-1.0807500000000001</c:v>
                      </c:pt>
                      <c:pt idx="67">
                        <c:v>-1.06325</c:v>
                      </c:pt>
                      <c:pt idx="68">
                        <c:v>-1.0707499999999999</c:v>
                      </c:pt>
                      <c:pt idx="69">
                        <c:v>-1.0707499999999999</c:v>
                      </c:pt>
                      <c:pt idx="70">
                        <c:v>-2.5747499999999999</c:v>
                      </c:pt>
                      <c:pt idx="71">
                        <c:v>-3.3247499999999999</c:v>
                      </c:pt>
                      <c:pt idx="72">
                        <c:v>-3.3247499999999999</c:v>
                      </c:pt>
                      <c:pt idx="73">
                        <c:v>-3.3097500000000002</c:v>
                      </c:pt>
                      <c:pt idx="74">
                        <c:v>-1.80975</c:v>
                      </c:pt>
                      <c:pt idx="75">
                        <c:v>-1.8127500000000001</c:v>
                      </c:pt>
                      <c:pt idx="76">
                        <c:v>-1.839</c:v>
                      </c:pt>
                      <c:pt idx="77">
                        <c:v>-0.56399999999999995</c:v>
                      </c:pt>
                      <c:pt idx="78">
                        <c:v>-0.62649999999999995</c:v>
                      </c:pt>
                      <c:pt idx="79">
                        <c:v>-0.63049999999999995</c:v>
                      </c:pt>
                      <c:pt idx="80">
                        <c:v>-0.63049999999999995</c:v>
                      </c:pt>
                      <c:pt idx="81">
                        <c:v>-0.63049999999999995</c:v>
                      </c:pt>
                      <c:pt idx="82">
                        <c:v>-0.63049999999999995</c:v>
                      </c:pt>
                      <c:pt idx="83">
                        <c:v>-1.1305000000000001</c:v>
                      </c:pt>
                      <c:pt idx="84">
                        <c:v>-1.6805000000000001</c:v>
                      </c:pt>
                      <c:pt idx="85">
                        <c:v>-1.6745000000000001</c:v>
                      </c:pt>
                      <c:pt idx="86">
                        <c:v>-1.6820000000000002</c:v>
                      </c:pt>
                      <c:pt idx="87">
                        <c:v>-1.1819999999999999</c:v>
                      </c:pt>
                      <c:pt idx="88">
                        <c:v>-1.1819999999999999</c:v>
                      </c:pt>
                      <c:pt idx="89">
                        <c:v>-1.1779999999999999</c:v>
                      </c:pt>
                      <c:pt idx="90">
                        <c:v>-1.1855</c:v>
                      </c:pt>
                      <c:pt idx="91">
                        <c:v>-0.57299999999999995</c:v>
                      </c:pt>
                      <c:pt idx="92">
                        <c:v>-1.073</c:v>
                      </c:pt>
                      <c:pt idx="93">
                        <c:v>-1.05175</c:v>
                      </c:pt>
                      <c:pt idx="94">
                        <c:v>-0.54574999999999996</c:v>
                      </c:pt>
                      <c:pt idx="95">
                        <c:v>-0.54074999999999995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54C-4065-BF41-0D6956DAE9B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9.356472222222223</c:v>
                      </c:pt>
                      <c:pt idx="1">
                        <c:v>8.7129444444444459</c:v>
                      </c:pt>
                      <c:pt idx="2">
                        <c:v>8.0694166666666689</c:v>
                      </c:pt>
                      <c:pt idx="3">
                        <c:v>7.425888888888891</c:v>
                      </c:pt>
                      <c:pt idx="4">
                        <c:v>6.7823611111111131</c:v>
                      </c:pt>
                      <c:pt idx="5">
                        <c:v>6.1388333333333351</c:v>
                      </c:pt>
                      <c:pt idx="6">
                        <c:v>5.4953055555555572</c:v>
                      </c:pt>
                      <c:pt idx="7">
                        <c:v>4.8517777777777793</c:v>
                      </c:pt>
                      <c:pt idx="8">
                        <c:v>4.2082500000000014</c:v>
                      </c:pt>
                      <c:pt idx="9">
                        <c:v>3.5855555555555569</c:v>
                      </c:pt>
                      <c:pt idx="10">
                        <c:v>2.9628611111111125</c:v>
                      </c:pt>
                      <c:pt idx="11">
                        <c:v>2.3401666666666681</c:v>
                      </c:pt>
                      <c:pt idx="12">
                        <c:v>1.9817499999999999</c:v>
                      </c:pt>
                      <c:pt idx="13">
                        <c:v>1.9634999999999998</c:v>
                      </c:pt>
                      <c:pt idx="14">
                        <c:v>1.9452499999999997</c:v>
                      </c:pt>
                      <c:pt idx="15">
                        <c:v>1.9269999999999996</c:v>
                      </c:pt>
                      <c:pt idx="16">
                        <c:v>1.9087499999999995</c:v>
                      </c:pt>
                      <c:pt idx="17">
                        <c:v>1.8904999999999994</c:v>
                      </c:pt>
                      <c:pt idx="18">
                        <c:v>1.8722499999999993</c:v>
                      </c:pt>
                      <c:pt idx="19">
                        <c:v>1.8539999999999992</c:v>
                      </c:pt>
                      <c:pt idx="20">
                        <c:v>1.8357499999999991</c:v>
                      </c:pt>
                      <c:pt idx="21">
                        <c:v>1.817499999999999</c:v>
                      </c:pt>
                      <c:pt idx="22">
                        <c:v>1.7992499999999989</c:v>
                      </c:pt>
                      <c:pt idx="23">
                        <c:v>1.7809999999999988</c:v>
                      </c:pt>
                      <c:pt idx="24">
                        <c:v>1.7627499999999987</c:v>
                      </c:pt>
                      <c:pt idx="25">
                        <c:v>1.7444999999999986</c:v>
                      </c:pt>
                      <c:pt idx="26">
                        <c:v>1.7262499999999985</c:v>
                      </c:pt>
                      <c:pt idx="27">
                        <c:v>1.7079999999999984</c:v>
                      </c:pt>
                      <c:pt idx="28">
                        <c:v>1.6897499999999983</c:v>
                      </c:pt>
                      <c:pt idx="29">
                        <c:v>1.6714999999999982</c:v>
                      </c:pt>
                      <c:pt idx="30">
                        <c:v>1.6532499999999981</c:v>
                      </c:pt>
                      <c:pt idx="31">
                        <c:v>1.634999999999998</c:v>
                      </c:pt>
                      <c:pt idx="32">
                        <c:v>1.6167499999999979</c:v>
                      </c:pt>
                      <c:pt idx="33">
                        <c:v>1.5984999999999978</c:v>
                      </c:pt>
                      <c:pt idx="34">
                        <c:v>1.5802499999999977</c:v>
                      </c:pt>
                      <c:pt idx="35">
                        <c:v>1.5619999999999976</c:v>
                      </c:pt>
                      <c:pt idx="36">
                        <c:v>1.5437499999999975</c:v>
                      </c:pt>
                      <c:pt idx="37">
                        <c:v>1.5477499999999975</c:v>
                      </c:pt>
                      <c:pt idx="38">
                        <c:v>1.5967499999999974</c:v>
                      </c:pt>
                      <c:pt idx="39">
                        <c:v>1.7217499999999974</c:v>
                      </c:pt>
                      <c:pt idx="40">
                        <c:v>1.9657499999999972</c:v>
                      </c:pt>
                      <c:pt idx="41">
                        <c:v>2.3817499999999971</c:v>
                      </c:pt>
                      <c:pt idx="42">
                        <c:v>3.0074722222222192</c:v>
                      </c:pt>
                      <c:pt idx="43">
                        <c:v>3.9161944444444412</c:v>
                      </c:pt>
                      <c:pt idx="44">
                        <c:v>4.140916666666663</c:v>
                      </c:pt>
                      <c:pt idx="45">
                        <c:v>5.6806388888888852</c:v>
                      </c:pt>
                      <c:pt idx="46">
                        <c:v>7.4913611111111083</c:v>
                      </c:pt>
                      <c:pt idx="47">
                        <c:v>9.4870833333333291</c:v>
                      </c:pt>
                      <c:pt idx="48">
                        <c:v>11.54780555555555</c:v>
                      </c:pt>
                      <c:pt idx="49">
                        <c:v>13.543527777777772</c:v>
                      </c:pt>
                      <c:pt idx="50">
                        <c:v>15.354249999999993</c:v>
                      </c:pt>
                      <c:pt idx="51">
                        <c:v>16.893972222222217</c:v>
                      </c:pt>
                      <c:pt idx="52">
                        <c:v>18</c:v>
                      </c:pt>
                      <c:pt idx="53">
                        <c:v>17.961472222222223</c:v>
                      </c:pt>
                      <c:pt idx="54">
                        <c:v>17.965753086419753</c:v>
                      </c:pt>
                      <c:pt idx="55">
                        <c:v>17.96527743484225</c:v>
                      </c:pt>
                      <c:pt idx="56">
                        <c:v>17.107027434842252</c:v>
                      </c:pt>
                      <c:pt idx="57">
                        <c:v>17.211749657064473</c:v>
                      </c:pt>
                      <c:pt idx="58">
                        <c:v>17.240471879286698</c:v>
                      </c:pt>
                      <c:pt idx="59">
                        <c:v>17.224194101508921</c:v>
                      </c:pt>
                      <c:pt idx="60">
                        <c:v>17.183721879286701</c:v>
                      </c:pt>
                      <c:pt idx="61">
                        <c:v>17.128805212620037</c:v>
                      </c:pt>
                      <c:pt idx="62">
                        <c:v>17.067221879286706</c:v>
                      </c:pt>
                      <c:pt idx="63">
                        <c:v>17.00230521262004</c:v>
                      </c:pt>
                      <c:pt idx="64">
                        <c:v>15.825166323731152</c:v>
                      </c:pt>
                      <c:pt idx="65">
                        <c:v>14.641360768175597</c:v>
                      </c:pt>
                      <c:pt idx="66">
                        <c:v>13.401999657064485</c:v>
                      </c:pt>
                      <c:pt idx="67">
                        <c:v>12.182082990397818</c:v>
                      </c:pt>
                      <c:pt idx="68">
                        <c:v>10.953832990397819</c:v>
                      </c:pt>
                      <c:pt idx="69">
                        <c:v>9.7255829903978199</c:v>
                      </c:pt>
                      <c:pt idx="70">
                        <c:v>6.8262218792867086</c:v>
                      </c:pt>
                      <c:pt idx="71">
                        <c:v>3.0935274348422643</c:v>
                      </c:pt>
                      <c:pt idx="72">
                        <c:v>1.9817499999999999</c:v>
                      </c:pt>
                      <c:pt idx="73">
                        <c:v>1.9634999999999998</c:v>
                      </c:pt>
                      <c:pt idx="74">
                        <c:v>1.9452499999999997</c:v>
                      </c:pt>
                      <c:pt idx="75">
                        <c:v>1.9269999999999996</c:v>
                      </c:pt>
                      <c:pt idx="76">
                        <c:v>1.9087499999999995</c:v>
                      </c:pt>
                      <c:pt idx="77">
                        <c:v>1.8904999999999994</c:v>
                      </c:pt>
                      <c:pt idx="78">
                        <c:v>1.8722499999999993</c:v>
                      </c:pt>
                      <c:pt idx="79">
                        <c:v>1.8539999999999992</c:v>
                      </c:pt>
                      <c:pt idx="80">
                        <c:v>1.8357499999999991</c:v>
                      </c:pt>
                      <c:pt idx="81">
                        <c:v>1.817499999999999</c:v>
                      </c:pt>
                      <c:pt idx="82">
                        <c:v>1.7992499999999989</c:v>
                      </c:pt>
                      <c:pt idx="83">
                        <c:v>1.7809999999999988</c:v>
                      </c:pt>
                      <c:pt idx="84">
                        <c:v>1.7627499999999987</c:v>
                      </c:pt>
                      <c:pt idx="85">
                        <c:v>1.7444999999999986</c:v>
                      </c:pt>
                      <c:pt idx="86">
                        <c:v>1.7262499999999985</c:v>
                      </c:pt>
                      <c:pt idx="87">
                        <c:v>1.7079999999999984</c:v>
                      </c:pt>
                      <c:pt idx="88">
                        <c:v>1.6897499999999983</c:v>
                      </c:pt>
                      <c:pt idx="89">
                        <c:v>1.6714999999999982</c:v>
                      </c:pt>
                      <c:pt idx="90">
                        <c:v>1.6532499999999981</c:v>
                      </c:pt>
                      <c:pt idx="91">
                        <c:v>1.634999999999998</c:v>
                      </c:pt>
                      <c:pt idx="92">
                        <c:v>1.6167499999999979</c:v>
                      </c:pt>
                      <c:pt idx="93">
                        <c:v>1.5984999999999978</c:v>
                      </c:pt>
                      <c:pt idx="94">
                        <c:v>1.5802499999999977</c:v>
                      </c:pt>
                      <c:pt idx="95">
                        <c:v>1.5619999999999976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54C-4065-BF41-0D6956DAE9B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0.46782361111111115</c:v>
                      </c:pt>
                      <c:pt idx="1">
                        <c:v>0.4356472222222223</c:v>
                      </c:pt>
                      <c:pt idx="2">
                        <c:v>0.40347083333333345</c:v>
                      </c:pt>
                      <c:pt idx="3">
                        <c:v>0.37129444444444454</c:v>
                      </c:pt>
                      <c:pt idx="4">
                        <c:v>0.33911805555555563</c:v>
                      </c:pt>
                      <c:pt idx="5">
                        <c:v>0.30694166666666678</c:v>
                      </c:pt>
                      <c:pt idx="6">
                        <c:v>0.27476527777777787</c:v>
                      </c:pt>
                      <c:pt idx="7">
                        <c:v>0.24258888888888896</c:v>
                      </c:pt>
                      <c:pt idx="8">
                        <c:v>0.21041250000000006</c:v>
                      </c:pt>
                      <c:pt idx="9">
                        <c:v>0.17927777777777784</c:v>
                      </c:pt>
                      <c:pt idx="10">
                        <c:v>0.14814305555555562</c:v>
                      </c:pt>
                      <c:pt idx="11">
                        <c:v>0.11700833333333341</c:v>
                      </c:pt>
                      <c:pt idx="12">
                        <c:v>9.9087499999999995E-2</c:v>
                      </c:pt>
                      <c:pt idx="13">
                        <c:v>9.8174999999999985E-2</c:v>
                      </c:pt>
                      <c:pt idx="14">
                        <c:v>9.7262499999999988E-2</c:v>
                      </c:pt>
                      <c:pt idx="15">
                        <c:v>9.6349999999999977E-2</c:v>
                      </c:pt>
                      <c:pt idx="16">
                        <c:v>9.5437499999999981E-2</c:v>
                      </c:pt>
                      <c:pt idx="17">
                        <c:v>9.452499999999997E-2</c:v>
                      </c:pt>
                      <c:pt idx="18">
                        <c:v>9.361249999999996E-2</c:v>
                      </c:pt>
                      <c:pt idx="19">
                        <c:v>9.2699999999999963E-2</c:v>
                      </c:pt>
                      <c:pt idx="20">
                        <c:v>9.1787499999999952E-2</c:v>
                      </c:pt>
                      <c:pt idx="21">
                        <c:v>9.0874999999999956E-2</c:v>
                      </c:pt>
                      <c:pt idx="22">
                        <c:v>8.9962499999999945E-2</c:v>
                      </c:pt>
                      <c:pt idx="23">
                        <c:v>8.9049999999999935E-2</c:v>
                      </c:pt>
                      <c:pt idx="24">
                        <c:v>8.8137499999999938E-2</c:v>
                      </c:pt>
                      <c:pt idx="25">
                        <c:v>8.7224999999999928E-2</c:v>
                      </c:pt>
                      <c:pt idx="26">
                        <c:v>8.6312499999999931E-2</c:v>
                      </c:pt>
                      <c:pt idx="27">
                        <c:v>8.539999999999992E-2</c:v>
                      </c:pt>
                      <c:pt idx="28">
                        <c:v>8.448749999999991E-2</c:v>
                      </c:pt>
                      <c:pt idx="29">
                        <c:v>8.3574999999999913E-2</c:v>
                      </c:pt>
                      <c:pt idx="30">
                        <c:v>8.2662499999999903E-2</c:v>
                      </c:pt>
                      <c:pt idx="31">
                        <c:v>8.1749999999999906E-2</c:v>
                      </c:pt>
                      <c:pt idx="32">
                        <c:v>8.0837499999999896E-2</c:v>
                      </c:pt>
                      <c:pt idx="33">
                        <c:v>7.9924999999999885E-2</c:v>
                      </c:pt>
                      <c:pt idx="34">
                        <c:v>7.9012499999999888E-2</c:v>
                      </c:pt>
                      <c:pt idx="35">
                        <c:v>7.8099999999999878E-2</c:v>
                      </c:pt>
                      <c:pt idx="36">
                        <c:v>7.7187499999999881E-2</c:v>
                      </c:pt>
                      <c:pt idx="37">
                        <c:v>7.7387499999999873E-2</c:v>
                      </c:pt>
                      <c:pt idx="38">
                        <c:v>7.9837499999999867E-2</c:v>
                      </c:pt>
                      <c:pt idx="39">
                        <c:v>8.6087499999999872E-2</c:v>
                      </c:pt>
                      <c:pt idx="40">
                        <c:v>9.8287499999999861E-2</c:v>
                      </c:pt>
                      <c:pt idx="41">
                        <c:v>0.11908749999999986</c:v>
                      </c:pt>
                      <c:pt idx="42">
                        <c:v>0.15037361111111097</c:v>
                      </c:pt>
                      <c:pt idx="43">
                        <c:v>0.19580972222222207</c:v>
                      </c:pt>
                      <c:pt idx="44">
                        <c:v>0.20704583333333315</c:v>
                      </c:pt>
                      <c:pt idx="45">
                        <c:v>0.28403194444444424</c:v>
                      </c:pt>
                      <c:pt idx="46">
                        <c:v>0.37456805555555539</c:v>
                      </c:pt>
                      <c:pt idx="47">
                        <c:v>0.47435416666666647</c:v>
                      </c:pt>
                      <c:pt idx="48">
                        <c:v>0.57739027777777752</c:v>
                      </c:pt>
                      <c:pt idx="49">
                        <c:v>0.67717638888888865</c:v>
                      </c:pt>
                      <c:pt idx="50">
                        <c:v>0.76771249999999969</c:v>
                      </c:pt>
                      <c:pt idx="51">
                        <c:v>0.84469861111111089</c:v>
                      </c:pt>
                      <c:pt idx="52">
                        <c:v>0.9</c:v>
                      </c:pt>
                      <c:pt idx="53">
                        <c:v>0.89807361111111117</c:v>
                      </c:pt>
                      <c:pt idx="54">
                        <c:v>0.89828765432098767</c:v>
                      </c:pt>
                      <c:pt idx="55">
                        <c:v>0.89826387174211253</c:v>
                      </c:pt>
                      <c:pt idx="56">
                        <c:v>0.85535137174211262</c:v>
                      </c:pt>
                      <c:pt idx="57">
                        <c:v>0.86058748285322362</c:v>
                      </c:pt>
                      <c:pt idx="58">
                        <c:v>0.86202359396433492</c:v>
                      </c:pt>
                      <c:pt idx="59">
                        <c:v>0.86120970507544603</c:v>
                      </c:pt>
                      <c:pt idx="60">
                        <c:v>0.85918609396433498</c:v>
                      </c:pt>
                      <c:pt idx="61">
                        <c:v>0.85644026063100187</c:v>
                      </c:pt>
                      <c:pt idx="62">
                        <c:v>0.85336109396433524</c:v>
                      </c:pt>
                      <c:pt idx="63">
                        <c:v>0.85011526063100207</c:v>
                      </c:pt>
                      <c:pt idx="64">
                        <c:v>0.79125831618655762</c:v>
                      </c:pt>
                      <c:pt idx="65">
                        <c:v>0.73206803840877988</c:v>
                      </c:pt>
                      <c:pt idx="66">
                        <c:v>0.67009998285322425</c:v>
                      </c:pt>
                      <c:pt idx="67">
                        <c:v>0.60910414951989089</c:v>
                      </c:pt>
                      <c:pt idx="68">
                        <c:v>0.54769164951989091</c:v>
                      </c:pt>
                      <c:pt idx="69">
                        <c:v>0.48627914951989099</c:v>
                      </c:pt>
                      <c:pt idx="70">
                        <c:v>0.34131109396433545</c:v>
                      </c:pt>
                      <c:pt idx="71">
                        <c:v>0.15467637174211321</c:v>
                      </c:pt>
                      <c:pt idx="72">
                        <c:v>9.9087499999999995E-2</c:v>
                      </c:pt>
                      <c:pt idx="73">
                        <c:v>9.8174999999999985E-2</c:v>
                      </c:pt>
                      <c:pt idx="74">
                        <c:v>9.7262499999999988E-2</c:v>
                      </c:pt>
                      <c:pt idx="75">
                        <c:v>9.6349999999999977E-2</c:v>
                      </c:pt>
                      <c:pt idx="76">
                        <c:v>9.5437499999999981E-2</c:v>
                      </c:pt>
                      <c:pt idx="77">
                        <c:v>9.452499999999997E-2</c:v>
                      </c:pt>
                      <c:pt idx="78">
                        <c:v>9.361249999999996E-2</c:v>
                      </c:pt>
                      <c:pt idx="79">
                        <c:v>9.2699999999999963E-2</c:v>
                      </c:pt>
                      <c:pt idx="80">
                        <c:v>9.1787499999999952E-2</c:v>
                      </c:pt>
                      <c:pt idx="81">
                        <c:v>9.0874999999999956E-2</c:v>
                      </c:pt>
                      <c:pt idx="82">
                        <c:v>8.9962499999999945E-2</c:v>
                      </c:pt>
                      <c:pt idx="83">
                        <c:v>8.9049999999999935E-2</c:v>
                      </c:pt>
                      <c:pt idx="84">
                        <c:v>8.8137499999999938E-2</c:v>
                      </c:pt>
                      <c:pt idx="85">
                        <c:v>8.7224999999999928E-2</c:v>
                      </c:pt>
                      <c:pt idx="86">
                        <c:v>8.6312499999999931E-2</c:v>
                      </c:pt>
                      <c:pt idx="87">
                        <c:v>8.539999999999992E-2</c:v>
                      </c:pt>
                      <c:pt idx="88">
                        <c:v>8.448749999999991E-2</c:v>
                      </c:pt>
                      <c:pt idx="89">
                        <c:v>8.3574999999999913E-2</c:v>
                      </c:pt>
                      <c:pt idx="90">
                        <c:v>8.2662499999999903E-2</c:v>
                      </c:pt>
                      <c:pt idx="91">
                        <c:v>8.1749999999999906E-2</c:v>
                      </c:pt>
                      <c:pt idx="92">
                        <c:v>8.0837499999999896E-2</c:v>
                      </c:pt>
                      <c:pt idx="93">
                        <c:v>7.9924999999999885E-2</c:v>
                      </c:pt>
                      <c:pt idx="94">
                        <c:v>7.9012499999999888E-2</c:v>
                      </c:pt>
                      <c:pt idx="95">
                        <c:v>7.8099999999999878E-2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54C-4065-BF41-0D6956DAE9B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2.0025000000000001E-2</c:v>
                      </c:pt>
                      <c:pt idx="38">
                        <c:v>6.0525000000000002E-2</c:v>
                      </c:pt>
                      <c:pt idx="39">
                        <c:v>0.12892500000000001</c:v>
                      </c:pt>
                      <c:pt idx="40">
                        <c:v>0.23602499999999998</c:v>
                      </c:pt>
                      <c:pt idx="41">
                        <c:v>0.39082500000000003</c:v>
                      </c:pt>
                      <c:pt idx="42">
                        <c:v>0.59782499999999994</c:v>
                      </c:pt>
                      <c:pt idx="43">
                        <c:v>0.85252499999999998</c:v>
                      </c:pt>
                      <c:pt idx="44">
                        <c:v>0.2369249999999998</c:v>
                      </c:pt>
                      <c:pt idx="45">
                        <c:v>1.4204250000000003</c:v>
                      </c:pt>
                      <c:pt idx="46">
                        <c:v>1.6643250000000001</c:v>
                      </c:pt>
                      <c:pt idx="47">
                        <c:v>1.8308250000000001</c:v>
                      </c:pt>
                      <c:pt idx="48">
                        <c:v>1.8893250000000001</c:v>
                      </c:pt>
                      <c:pt idx="49">
                        <c:v>1.8308250000000001</c:v>
                      </c:pt>
                      <c:pt idx="50">
                        <c:v>1.6643250000000001</c:v>
                      </c:pt>
                      <c:pt idx="51">
                        <c:v>1.4204250000000003</c:v>
                      </c:pt>
                      <c:pt idx="52">
                        <c:v>1.1060277777777827</c:v>
                      </c:pt>
                      <c:pt idx="53">
                        <c:v>0</c:v>
                      </c:pt>
                      <c:pt idx="54">
                        <c:v>3.8527777777776606E-2</c:v>
                      </c:pt>
                      <c:pt idx="55">
                        <c:v>3.4246913580247451E-2</c:v>
                      </c:pt>
                      <c:pt idx="56">
                        <c:v>0</c:v>
                      </c:pt>
                      <c:pt idx="57">
                        <c:v>0.12892500000000001</c:v>
                      </c:pt>
                      <c:pt idx="58">
                        <c:v>6.0525000000000002E-2</c:v>
                      </c:pt>
                      <c:pt idx="59">
                        <c:v>2.0025000000000001E-2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54C-4065-BF41-0D6956DAE9B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2.2250000000000002E-2</c:v>
                      </c:pt>
                      <c:pt idx="38">
                        <c:v>6.7250000000000004E-2</c:v>
                      </c:pt>
                      <c:pt idx="39">
                        <c:v>0.14325000000000002</c:v>
                      </c:pt>
                      <c:pt idx="40">
                        <c:v>0.26224999999999998</c:v>
                      </c:pt>
                      <c:pt idx="41">
                        <c:v>0.43425000000000002</c:v>
                      </c:pt>
                      <c:pt idx="42">
                        <c:v>0.6642499999999999</c:v>
                      </c:pt>
                      <c:pt idx="43">
                        <c:v>0.94724999999999993</c:v>
                      </c:pt>
                      <c:pt idx="44">
                        <c:v>0.26324999999999976</c:v>
                      </c:pt>
                      <c:pt idx="45">
                        <c:v>1.5782500000000002</c:v>
                      </c:pt>
                      <c:pt idx="46">
                        <c:v>1.8492500000000001</c:v>
                      </c:pt>
                      <c:pt idx="47">
                        <c:v>2.0342500000000001</c:v>
                      </c:pt>
                      <c:pt idx="48">
                        <c:v>2.0992500000000001</c:v>
                      </c:pt>
                      <c:pt idx="49">
                        <c:v>2.0342500000000001</c:v>
                      </c:pt>
                      <c:pt idx="50">
                        <c:v>1.8492500000000001</c:v>
                      </c:pt>
                      <c:pt idx="51">
                        <c:v>1.5782500000000002</c:v>
                      </c:pt>
                      <c:pt idx="52">
                        <c:v>1.2289197530864253</c:v>
                      </c:pt>
                      <c:pt idx="53">
                        <c:v>0</c:v>
                      </c:pt>
                      <c:pt idx="54">
                        <c:v>4.2808641975307336E-2</c:v>
                      </c:pt>
                      <c:pt idx="55">
                        <c:v>3.8052126200274948E-2</c:v>
                      </c:pt>
                      <c:pt idx="56">
                        <c:v>0</c:v>
                      </c:pt>
                      <c:pt idx="57">
                        <c:v>0.14325000000000002</c:v>
                      </c:pt>
                      <c:pt idx="58">
                        <c:v>6.7250000000000004E-2</c:v>
                      </c:pt>
                      <c:pt idx="59">
                        <c:v>2.2250000000000002E-2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54C-4065-BF41-0D6956DAE9B3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0.56274999999999997</c:v>
                      </c:pt>
                      <c:pt idx="1">
                        <c:v>0.56274999999999997</c:v>
                      </c:pt>
                      <c:pt idx="2">
                        <c:v>0.56274999999999997</c:v>
                      </c:pt>
                      <c:pt idx="3">
                        <c:v>0.56274999999999997</c:v>
                      </c:pt>
                      <c:pt idx="4">
                        <c:v>0.56274999999999997</c:v>
                      </c:pt>
                      <c:pt idx="5">
                        <c:v>0.56274999999999997</c:v>
                      </c:pt>
                      <c:pt idx="6">
                        <c:v>0.56274999999999997</c:v>
                      </c:pt>
                      <c:pt idx="7">
                        <c:v>0.56274999999999997</c:v>
                      </c:pt>
                      <c:pt idx="8">
                        <c:v>0.56274999999999997</c:v>
                      </c:pt>
                      <c:pt idx="9">
                        <c:v>0.54399999999999993</c:v>
                      </c:pt>
                      <c:pt idx="10">
                        <c:v>0.54399999999999993</c:v>
                      </c:pt>
                      <c:pt idx="11">
                        <c:v>0.54399999999999993</c:v>
                      </c:pt>
                      <c:pt idx="12">
                        <c:v>0.54399999999999993</c:v>
                      </c:pt>
                      <c:pt idx="13">
                        <c:v>0.54399999999999993</c:v>
                      </c:pt>
                      <c:pt idx="14">
                        <c:v>0.54399999999999993</c:v>
                      </c:pt>
                      <c:pt idx="15">
                        <c:v>0.54399999999999993</c:v>
                      </c:pt>
                      <c:pt idx="16">
                        <c:v>0.54399999999999993</c:v>
                      </c:pt>
                      <c:pt idx="17">
                        <c:v>0.54399999999999993</c:v>
                      </c:pt>
                      <c:pt idx="18">
                        <c:v>0.54399999999999993</c:v>
                      </c:pt>
                      <c:pt idx="19">
                        <c:v>0.54399999999999993</c:v>
                      </c:pt>
                      <c:pt idx="20">
                        <c:v>0.54399999999999993</c:v>
                      </c:pt>
                      <c:pt idx="21">
                        <c:v>0.54399999999999993</c:v>
                      </c:pt>
                      <c:pt idx="22">
                        <c:v>0.54399999999999993</c:v>
                      </c:pt>
                      <c:pt idx="23">
                        <c:v>0.54899999999999993</c:v>
                      </c:pt>
                      <c:pt idx="24">
                        <c:v>0.54999999999999993</c:v>
                      </c:pt>
                      <c:pt idx="25">
                        <c:v>0.55899999999999994</c:v>
                      </c:pt>
                      <c:pt idx="26">
                        <c:v>0.74449999999999861</c:v>
                      </c:pt>
                      <c:pt idx="27">
                        <c:v>0.72624999999999851</c:v>
                      </c:pt>
                      <c:pt idx="28">
                        <c:v>0.70799999999999841</c:v>
                      </c:pt>
                      <c:pt idx="29">
                        <c:v>0.56499999999999995</c:v>
                      </c:pt>
                      <c:pt idx="30">
                        <c:v>0.61499999999999999</c:v>
                      </c:pt>
                      <c:pt idx="31">
                        <c:v>0.55199999999999994</c:v>
                      </c:pt>
                      <c:pt idx="32">
                        <c:v>0.55099999999999993</c:v>
                      </c:pt>
                      <c:pt idx="33">
                        <c:v>4.1999999999999996E-2</c:v>
                      </c:pt>
                      <c:pt idx="34">
                        <c:v>3.8999999999999993E-2</c:v>
                      </c:pt>
                      <c:pt idx="35">
                        <c:v>3.3000000000000002E-2</c:v>
                      </c:pt>
                      <c:pt idx="36">
                        <c:v>1.9999999999999997E-2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0.75600000000000012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1.9999999999999997E-2</c:v>
                      </c:pt>
                      <c:pt idx="61">
                        <c:v>3.3000000000000002E-2</c:v>
                      </c:pt>
                      <c:pt idx="62">
                        <c:v>3.8999999999999993E-2</c:v>
                      </c:pt>
                      <c:pt idx="63">
                        <c:v>4.1999999999999996E-2</c:v>
                      </c:pt>
                      <c:pt idx="64">
                        <c:v>1.0430000000000004</c:v>
                      </c:pt>
                      <c:pt idx="65">
                        <c:v>1.0490000000000002</c:v>
                      </c:pt>
                      <c:pt idx="66">
                        <c:v>1.0990000000000002</c:v>
                      </c:pt>
                      <c:pt idx="67">
                        <c:v>1.0815000000000001</c:v>
                      </c:pt>
                      <c:pt idx="68">
                        <c:v>1.089</c:v>
                      </c:pt>
                      <c:pt idx="69">
                        <c:v>1.089</c:v>
                      </c:pt>
                      <c:pt idx="70">
                        <c:v>2.593</c:v>
                      </c:pt>
                      <c:pt idx="71">
                        <c:v>3.343</c:v>
                      </c:pt>
                      <c:pt idx="72">
                        <c:v>2.0935274348422643</c:v>
                      </c:pt>
                      <c:pt idx="73">
                        <c:v>0.9817499999999999</c:v>
                      </c:pt>
                      <c:pt idx="74">
                        <c:v>0.9634999999999998</c:v>
                      </c:pt>
                      <c:pt idx="75">
                        <c:v>0.9452499999999997</c:v>
                      </c:pt>
                      <c:pt idx="76">
                        <c:v>0.9269999999999996</c:v>
                      </c:pt>
                      <c:pt idx="77">
                        <c:v>0.58224999999999993</c:v>
                      </c:pt>
                      <c:pt idx="78">
                        <c:v>0.64474999999999993</c:v>
                      </c:pt>
                      <c:pt idx="79">
                        <c:v>0.64874999999999994</c:v>
                      </c:pt>
                      <c:pt idx="80">
                        <c:v>0.64874999999999994</c:v>
                      </c:pt>
                      <c:pt idx="81">
                        <c:v>0.64874999999999994</c:v>
                      </c:pt>
                      <c:pt idx="82">
                        <c:v>0.64874999999999994</c:v>
                      </c:pt>
                      <c:pt idx="83">
                        <c:v>0.79924999999999891</c:v>
                      </c:pt>
                      <c:pt idx="84">
                        <c:v>0.78099999999999881</c:v>
                      </c:pt>
                      <c:pt idx="85">
                        <c:v>0.76274999999999871</c:v>
                      </c:pt>
                      <c:pt idx="86">
                        <c:v>0.74449999999999861</c:v>
                      </c:pt>
                      <c:pt idx="87">
                        <c:v>0.72624999999999851</c:v>
                      </c:pt>
                      <c:pt idx="88">
                        <c:v>0.70799999999999841</c:v>
                      </c:pt>
                      <c:pt idx="89">
                        <c:v>0.68974999999999831</c:v>
                      </c:pt>
                      <c:pt idx="90">
                        <c:v>0.67149999999999821</c:v>
                      </c:pt>
                      <c:pt idx="91">
                        <c:v>0.59124999999999994</c:v>
                      </c:pt>
                      <c:pt idx="92">
                        <c:v>0.63499999999999801</c:v>
                      </c:pt>
                      <c:pt idx="93">
                        <c:v>0.61674999999999791</c:v>
                      </c:pt>
                      <c:pt idx="94">
                        <c:v>0.56399999999999995</c:v>
                      </c:pt>
                      <c:pt idx="95">
                        <c:v>0.55899999999999994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54C-4065-BF41-0D6956DAE9B3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Leden!$O$3:$O$98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0.62527777777777771</c:v>
                      </c:pt>
                      <c:pt idx="1">
                        <c:v>0.62527777777777771</c:v>
                      </c:pt>
                      <c:pt idx="2">
                        <c:v>0.62527777777777771</c:v>
                      </c:pt>
                      <c:pt idx="3">
                        <c:v>0.62527777777777771</c:v>
                      </c:pt>
                      <c:pt idx="4">
                        <c:v>0.62527777777777771</c:v>
                      </c:pt>
                      <c:pt idx="5">
                        <c:v>0.62527777777777771</c:v>
                      </c:pt>
                      <c:pt idx="6">
                        <c:v>0.62527777777777771</c:v>
                      </c:pt>
                      <c:pt idx="7">
                        <c:v>0.62527777777777771</c:v>
                      </c:pt>
                      <c:pt idx="8">
                        <c:v>0.62527777777777771</c:v>
                      </c:pt>
                      <c:pt idx="9">
                        <c:v>0.60444444444444434</c:v>
                      </c:pt>
                      <c:pt idx="10">
                        <c:v>0.60444444444444434</c:v>
                      </c:pt>
                      <c:pt idx="11">
                        <c:v>0.60444444444444434</c:v>
                      </c:pt>
                      <c:pt idx="12">
                        <c:v>0.60444444444444434</c:v>
                      </c:pt>
                      <c:pt idx="13">
                        <c:v>0.60444444444444434</c:v>
                      </c:pt>
                      <c:pt idx="14">
                        <c:v>0.60444444444444434</c:v>
                      </c:pt>
                      <c:pt idx="15">
                        <c:v>0.60444444444444434</c:v>
                      </c:pt>
                      <c:pt idx="16">
                        <c:v>0.60444444444444434</c:v>
                      </c:pt>
                      <c:pt idx="17">
                        <c:v>0.60444444444444434</c:v>
                      </c:pt>
                      <c:pt idx="18">
                        <c:v>0.60444444444444434</c:v>
                      </c:pt>
                      <c:pt idx="19">
                        <c:v>0.60444444444444434</c:v>
                      </c:pt>
                      <c:pt idx="20">
                        <c:v>0.60444444444444434</c:v>
                      </c:pt>
                      <c:pt idx="21">
                        <c:v>0.60444444444444434</c:v>
                      </c:pt>
                      <c:pt idx="22">
                        <c:v>0.60444444444444434</c:v>
                      </c:pt>
                      <c:pt idx="23">
                        <c:v>0.60999999999999988</c:v>
                      </c:pt>
                      <c:pt idx="24">
                        <c:v>0.61111111111111105</c:v>
                      </c:pt>
                      <c:pt idx="25">
                        <c:v>0.62111111111111106</c:v>
                      </c:pt>
                      <c:pt idx="26">
                        <c:v>0.82722222222222064</c:v>
                      </c:pt>
                      <c:pt idx="27">
                        <c:v>0.8069444444444428</c:v>
                      </c:pt>
                      <c:pt idx="28">
                        <c:v>0.78666666666666485</c:v>
                      </c:pt>
                      <c:pt idx="29">
                        <c:v>0.62777777777777766</c:v>
                      </c:pt>
                      <c:pt idx="30">
                        <c:v>0.68333333333333335</c:v>
                      </c:pt>
                      <c:pt idx="31">
                        <c:v>0.61333333333333329</c:v>
                      </c:pt>
                      <c:pt idx="32">
                        <c:v>0.61222222222222211</c:v>
                      </c:pt>
                      <c:pt idx="33">
                        <c:v>4.6666666666666662E-2</c:v>
                      </c:pt>
                      <c:pt idx="34">
                        <c:v>4.3333333333333328E-2</c:v>
                      </c:pt>
                      <c:pt idx="35">
                        <c:v>3.6666666666666667E-2</c:v>
                      </c:pt>
                      <c:pt idx="36">
                        <c:v>2.222222222222222E-2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0.84000000000000008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2.222222222222222E-2</c:v>
                      </c:pt>
                      <c:pt idx="61">
                        <c:v>3.6666666666666667E-2</c:v>
                      </c:pt>
                      <c:pt idx="62">
                        <c:v>4.3333333333333328E-2</c:v>
                      </c:pt>
                      <c:pt idx="63">
                        <c:v>4.6666666666666662E-2</c:v>
                      </c:pt>
                      <c:pt idx="64">
                        <c:v>1.1588888888888893</c:v>
                      </c:pt>
                      <c:pt idx="65">
                        <c:v>1.1655555555555557</c:v>
                      </c:pt>
                      <c:pt idx="66">
                        <c:v>1.2211111111111113</c:v>
                      </c:pt>
                      <c:pt idx="67">
                        <c:v>1.2016666666666669</c:v>
                      </c:pt>
                      <c:pt idx="68">
                        <c:v>1.21</c:v>
                      </c:pt>
                      <c:pt idx="69">
                        <c:v>1.21</c:v>
                      </c:pt>
                      <c:pt idx="70">
                        <c:v>2.8811111111111112</c:v>
                      </c:pt>
                      <c:pt idx="71">
                        <c:v>3.7144444444444442</c:v>
                      </c:pt>
                      <c:pt idx="72">
                        <c:v>2.3261415942691825</c:v>
                      </c:pt>
                      <c:pt idx="73">
                        <c:v>1.0908333333333331</c:v>
                      </c:pt>
                      <c:pt idx="74">
                        <c:v>1.0705555555555553</c:v>
                      </c:pt>
                      <c:pt idx="75">
                        <c:v>1.0502777777777774</c:v>
                      </c:pt>
                      <c:pt idx="76">
                        <c:v>1.0299999999999996</c:v>
                      </c:pt>
                      <c:pt idx="77">
                        <c:v>0.64694444444444432</c:v>
                      </c:pt>
                      <c:pt idx="78">
                        <c:v>0.71638888888888885</c:v>
                      </c:pt>
                      <c:pt idx="79">
                        <c:v>0.72083333333333321</c:v>
                      </c:pt>
                      <c:pt idx="80">
                        <c:v>0.72083333333333321</c:v>
                      </c:pt>
                      <c:pt idx="81">
                        <c:v>0.72083333333333321</c:v>
                      </c:pt>
                      <c:pt idx="82">
                        <c:v>0.72083333333333321</c:v>
                      </c:pt>
                      <c:pt idx="83">
                        <c:v>0.88805555555555427</c:v>
                      </c:pt>
                      <c:pt idx="84">
                        <c:v>0.86777777777777643</c:v>
                      </c:pt>
                      <c:pt idx="85">
                        <c:v>0.84749999999999859</c:v>
                      </c:pt>
                      <c:pt idx="86">
                        <c:v>0.82722222222222064</c:v>
                      </c:pt>
                      <c:pt idx="87">
                        <c:v>0.8069444444444428</c:v>
                      </c:pt>
                      <c:pt idx="88">
                        <c:v>0.78666666666666485</c:v>
                      </c:pt>
                      <c:pt idx="89">
                        <c:v>0.76638888888888701</c:v>
                      </c:pt>
                      <c:pt idx="90">
                        <c:v>0.74611111111110906</c:v>
                      </c:pt>
                      <c:pt idx="91">
                        <c:v>0.65694444444444433</c:v>
                      </c:pt>
                      <c:pt idx="92">
                        <c:v>0.70555555555555338</c:v>
                      </c:pt>
                      <c:pt idx="93">
                        <c:v>0.68527777777777543</c:v>
                      </c:pt>
                      <c:pt idx="94">
                        <c:v>0.62666666666666659</c:v>
                      </c:pt>
                      <c:pt idx="95">
                        <c:v>0.62111111111111106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54C-4065-BF41-0D6956DAE9B3}"/>
                  </c:ext>
                </c:extLst>
              </c15:ser>
            </c15:filteredLineSeries>
          </c:ext>
        </c:extLst>
      </c:lineChart>
      <c:catAx>
        <c:axId val="69349625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9839"/>
        <c:crosses val="autoZero"/>
        <c:auto val="1"/>
        <c:lblAlgn val="ctr"/>
        <c:lblOffset val="100"/>
        <c:noMultiLvlLbl val="0"/>
      </c:catAx>
      <c:valAx>
        <c:axId val="5403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34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[projekt-FVE-domacnost4.xlsx]Červenec kontig!Kontingenční tabulka1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'Červenec kontig'!$B$1</c:f>
              <c:strCache>
                <c:ptCount val="1"/>
                <c:pt idx="0">
                  <c:v>Součet z Spotřeba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kontig'!$B$2:$B$31</c:f>
              <c:numCache>
                <c:formatCode>General</c:formatCode>
                <c:ptCount val="25"/>
                <c:pt idx="0">
                  <c:v>2.1779999999999999</c:v>
                </c:pt>
                <c:pt idx="1">
                  <c:v>2.1779999999999999</c:v>
                </c:pt>
                <c:pt idx="2">
                  <c:v>2.1217499999999996</c:v>
                </c:pt>
                <c:pt idx="3">
                  <c:v>2.1029999999999998</c:v>
                </c:pt>
                <c:pt idx="4">
                  <c:v>2.1029999999999998</c:v>
                </c:pt>
                <c:pt idx="5">
                  <c:v>2.1079999999999997</c:v>
                </c:pt>
                <c:pt idx="6">
                  <c:v>4.7214999999999998</c:v>
                </c:pt>
                <c:pt idx="7">
                  <c:v>4.2240000000000002</c:v>
                </c:pt>
                <c:pt idx="8">
                  <c:v>0.6110000000000001</c:v>
                </c:pt>
                <c:pt idx="9">
                  <c:v>0.10299999999999999</c:v>
                </c:pt>
                <c:pt idx="10">
                  <c:v>0.10299999999999999</c:v>
                </c:pt>
                <c:pt idx="11">
                  <c:v>1.103</c:v>
                </c:pt>
                <c:pt idx="12">
                  <c:v>0.10299999999999999</c:v>
                </c:pt>
                <c:pt idx="13">
                  <c:v>0.10299999999999999</c:v>
                </c:pt>
                <c:pt idx="14">
                  <c:v>1.103</c:v>
                </c:pt>
                <c:pt idx="15">
                  <c:v>0.10299999999999999</c:v>
                </c:pt>
                <c:pt idx="16">
                  <c:v>4.2004999999999999</c:v>
                </c:pt>
                <c:pt idx="17">
                  <c:v>8.0410000000000004</c:v>
                </c:pt>
                <c:pt idx="18">
                  <c:v>10.257</c:v>
                </c:pt>
                <c:pt idx="19">
                  <c:v>3.66</c:v>
                </c:pt>
                <c:pt idx="20">
                  <c:v>3.0219999999999998</c:v>
                </c:pt>
                <c:pt idx="21">
                  <c:v>6.2190000000000012</c:v>
                </c:pt>
                <c:pt idx="22">
                  <c:v>4.1184999999999992</c:v>
                </c:pt>
                <c:pt idx="23">
                  <c:v>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E-47F5-9349-17D710B25F88}"/>
            </c:ext>
          </c:extLst>
        </c:ser>
        <c:ser>
          <c:idx val="1"/>
          <c:order val="1"/>
          <c:tx>
            <c:strRef>
              <c:f>'Červenec kontig'!$C$1</c:f>
              <c:strCache>
                <c:ptCount val="1"/>
                <c:pt idx="0">
                  <c:v>Součet z Přímá vlastní spotřeba z FVE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kontig'!$C$2:$C$31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3.6999999999999998E-2</c:v>
                </c:pt>
                <c:pt idx="6">
                  <c:v>0.21200000000000002</c:v>
                </c:pt>
                <c:pt idx="7">
                  <c:v>0.72599999999999998</c:v>
                </c:pt>
                <c:pt idx="8">
                  <c:v>0.41125</c:v>
                </c:pt>
                <c:pt idx="9">
                  <c:v>0.10299999999999999</c:v>
                </c:pt>
                <c:pt idx="10">
                  <c:v>0.10299999999999999</c:v>
                </c:pt>
                <c:pt idx="11">
                  <c:v>1.103</c:v>
                </c:pt>
                <c:pt idx="12">
                  <c:v>0.10299999999999999</c:v>
                </c:pt>
                <c:pt idx="13">
                  <c:v>0.10299999999999999</c:v>
                </c:pt>
                <c:pt idx="14">
                  <c:v>1.103</c:v>
                </c:pt>
                <c:pt idx="15">
                  <c:v>0.10299999999999999</c:v>
                </c:pt>
                <c:pt idx="16">
                  <c:v>3.4147500000000002</c:v>
                </c:pt>
                <c:pt idx="17">
                  <c:v>1.5460000000000003</c:v>
                </c:pt>
                <c:pt idx="18">
                  <c:v>0.54799999999999993</c:v>
                </c:pt>
                <c:pt idx="19">
                  <c:v>0.14699999999999999</c:v>
                </c:pt>
                <c:pt idx="20">
                  <c:v>1.9000000000000003E-2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8E-47F5-9349-17D710B25F88}"/>
            </c:ext>
          </c:extLst>
        </c:ser>
        <c:ser>
          <c:idx val="2"/>
          <c:order val="2"/>
          <c:tx>
            <c:strRef>
              <c:f>'Červenec kontig'!$D$1</c:f>
              <c:strCache>
                <c:ptCount val="1"/>
                <c:pt idx="0">
                  <c:v>Součet z Výroba FVE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kontig'!$D$2:$D$31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3.6999999999999998E-2</c:v>
                </c:pt>
                <c:pt idx="6">
                  <c:v>0.21200000000000002</c:v>
                </c:pt>
                <c:pt idx="7">
                  <c:v>0.72599999999999998</c:v>
                </c:pt>
                <c:pt idx="8">
                  <c:v>1.9350000000000001</c:v>
                </c:pt>
                <c:pt idx="9">
                  <c:v>4.1779999999999999</c:v>
                </c:pt>
                <c:pt idx="10">
                  <c:v>7.38</c:v>
                </c:pt>
                <c:pt idx="11">
                  <c:v>10.685</c:v>
                </c:pt>
                <c:pt idx="12">
                  <c:v>12.698</c:v>
                </c:pt>
                <c:pt idx="13">
                  <c:v>12.389000000000001</c:v>
                </c:pt>
                <c:pt idx="14">
                  <c:v>9.923</c:v>
                </c:pt>
                <c:pt idx="15">
                  <c:v>6.5220000000000002</c:v>
                </c:pt>
                <c:pt idx="16">
                  <c:v>3.5129999999999999</c:v>
                </c:pt>
                <c:pt idx="17">
                  <c:v>1.5460000000000003</c:v>
                </c:pt>
                <c:pt idx="18">
                  <c:v>0.54799999999999993</c:v>
                </c:pt>
                <c:pt idx="19">
                  <c:v>0.14699999999999999</c:v>
                </c:pt>
                <c:pt idx="20">
                  <c:v>1.9000000000000003E-2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8E-47F5-9349-17D710B25F88}"/>
            </c:ext>
          </c:extLst>
        </c:ser>
        <c:ser>
          <c:idx val="3"/>
          <c:order val="3"/>
          <c:tx>
            <c:strRef>
              <c:f>'Červenec kontig'!$E$1</c:f>
              <c:strCache>
                <c:ptCount val="1"/>
                <c:pt idx="0">
                  <c:v>Součet z Odběr z 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kontig'!$E$2:$E$31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0.7012222222222193</c:v>
                </c:pt>
                <c:pt idx="4">
                  <c:v>2.1029999999999998</c:v>
                </c:pt>
                <c:pt idx="5">
                  <c:v>2.0709999999999997</c:v>
                </c:pt>
                <c:pt idx="6">
                  <c:v>4.5095000000000001</c:v>
                </c:pt>
                <c:pt idx="7">
                  <c:v>3.4979999999999998</c:v>
                </c:pt>
                <c:pt idx="8">
                  <c:v>0.19974999999999993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1.7297500000000001</c:v>
                </c:pt>
                <c:pt idx="19">
                  <c:v>3.5129999999999999</c:v>
                </c:pt>
                <c:pt idx="20">
                  <c:v>3.0029999999999997</c:v>
                </c:pt>
                <c:pt idx="21">
                  <c:v>6.2190000000000012</c:v>
                </c:pt>
                <c:pt idx="22">
                  <c:v>4.1184999999999992</c:v>
                </c:pt>
                <c:pt idx="23">
                  <c:v>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8E-47F5-9349-17D710B25F88}"/>
            </c:ext>
          </c:extLst>
        </c:ser>
        <c:ser>
          <c:idx val="4"/>
          <c:order val="4"/>
          <c:tx>
            <c:strRef>
              <c:f>'Červenec kontig'!$F$1</c:f>
              <c:strCache>
                <c:ptCount val="1"/>
                <c:pt idx="0">
                  <c:v>Součet z Přetok do DS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kontig'!$F$2:$F$31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5.1651851851851847</c:v>
                </c:pt>
                <c:pt idx="12">
                  <c:v>12.511861420176462</c:v>
                </c:pt>
                <c:pt idx="13">
                  <c:v>12.204888579870641</c:v>
                </c:pt>
                <c:pt idx="14">
                  <c:v>8.7388888888417924</c:v>
                </c:pt>
                <c:pt idx="15">
                  <c:v>6.3378888888888767</c:v>
                </c:pt>
                <c:pt idx="16">
                  <c:v>7.7972222222220083E-2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8E-47F5-9349-17D710B25F88}"/>
            </c:ext>
          </c:extLst>
        </c:ser>
        <c:ser>
          <c:idx val="5"/>
          <c:order val="5"/>
          <c:tx>
            <c:strRef>
              <c:f>'Červenec kontig'!$G$1</c:f>
              <c:strCache>
                <c:ptCount val="1"/>
                <c:pt idx="0">
                  <c:v>Součet z Spotřeba z baterie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kontig'!$G$2:$G$31</c:f>
              <c:numCache>
                <c:formatCode>General</c:formatCode>
                <c:ptCount val="25"/>
                <c:pt idx="0">
                  <c:v>2.1779999999999999</c:v>
                </c:pt>
                <c:pt idx="1">
                  <c:v>2.1779999999999999</c:v>
                </c:pt>
                <c:pt idx="2">
                  <c:v>2.1217499999999996</c:v>
                </c:pt>
                <c:pt idx="3">
                  <c:v>1.4017777777777805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0.78575000000000017</c:v>
                </c:pt>
                <c:pt idx="17">
                  <c:v>6.4949999999999992</c:v>
                </c:pt>
                <c:pt idx="18">
                  <c:v>7.9792499999999995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8E-47F5-9349-17D710B25F88}"/>
            </c:ext>
          </c:extLst>
        </c:ser>
        <c:ser>
          <c:idx val="6"/>
          <c:order val="6"/>
          <c:tx>
            <c:strRef>
              <c:f>'Červenec kontig'!$H$1</c:f>
              <c:strCache>
                <c:ptCount val="1"/>
                <c:pt idx="0">
                  <c:v>Součet z Bilance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kontig'!$H$2:$H$31</c:f>
              <c:numCache>
                <c:formatCode>General</c:formatCode>
                <c:ptCount val="25"/>
                <c:pt idx="0">
                  <c:v>-2.1779999999999999</c:v>
                </c:pt>
                <c:pt idx="1">
                  <c:v>-2.1779999999999999</c:v>
                </c:pt>
                <c:pt idx="2">
                  <c:v>-2.1217499999999996</c:v>
                </c:pt>
                <c:pt idx="3">
                  <c:v>-2.1029999999999998</c:v>
                </c:pt>
                <c:pt idx="4">
                  <c:v>-2.1029999999999998</c:v>
                </c:pt>
                <c:pt idx="5">
                  <c:v>-2.0709999999999997</c:v>
                </c:pt>
                <c:pt idx="6">
                  <c:v>-4.5095000000000001</c:v>
                </c:pt>
                <c:pt idx="7">
                  <c:v>-3.4979999999999998</c:v>
                </c:pt>
                <c:pt idx="8">
                  <c:v>1.3240000000000001</c:v>
                </c:pt>
                <c:pt idx="9">
                  <c:v>4.0750000000000002</c:v>
                </c:pt>
                <c:pt idx="10">
                  <c:v>7.277000000000001</c:v>
                </c:pt>
                <c:pt idx="11">
                  <c:v>9.5820000000000007</c:v>
                </c:pt>
                <c:pt idx="12">
                  <c:v>12.594999999999999</c:v>
                </c:pt>
                <c:pt idx="13">
                  <c:v>12.286000000000001</c:v>
                </c:pt>
                <c:pt idx="14">
                  <c:v>8.82</c:v>
                </c:pt>
                <c:pt idx="15">
                  <c:v>6.4190000000000005</c:v>
                </c:pt>
                <c:pt idx="16">
                  <c:v>-0.68750000000000022</c:v>
                </c:pt>
                <c:pt idx="17">
                  <c:v>-6.4949999999999992</c:v>
                </c:pt>
                <c:pt idx="18">
                  <c:v>-9.7089999999999996</c:v>
                </c:pt>
                <c:pt idx="19">
                  <c:v>-3.5129999999999999</c:v>
                </c:pt>
                <c:pt idx="20">
                  <c:v>-3.0029999999999997</c:v>
                </c:pt>
                <c:pt idx="21">
                  <c:v>-6.2190000000000012</c:v>
                </c:pt>
                <c:pt idx="22">
                  <c:v>-4.1184999999999992</c:v>
                </c:pt>
                <c:pt idx="23">
                  <c:v>-3.2112499999999997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8E-47F5-9349-17D710B25F88}"/>
            </c:ext>
          </c:extLst>
        </c:ser>
        <c:ser>
          <c:idx val="7"/>
          <c:order val="7"/>
          <c:tx>
            <c:strRef>
              <c:f>'Červenec kontig'!$I$1</c:f>
              <c:strCache>
                <c:ptCount val="1"/>
                <c:pt idx="0">
                  <c:v>Součet z Stav baterie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kontig'!$I$2:$I$31</c:f>
              <c:numCache>
                <c:formatCode>General</c:formatCode>
                <c:ptCount val="25"/>
                <c:pt idx="0">
                  <c:v>33.747222222222227</c:v>
                </c:pt>
                <c:pt idx="1">
                  <c:v>23.742777777777786</c:v>
                </c:pt>
                <c:pt idx="2">
                  <c:v>13.863333333333344</c:v>
                </c:pt>
                <c:pt idx="3">
                  <c:v>5.305000000000005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6.7596666666666678</c:v>
                </c:pt>
                <c:pt idx="9">
                  <c:v>19.042500000000004</c:v>
                </c:pt>
                <c:pt idx="10">
                  <c:v>42.80905555555556</c:v>
                </c:pt>
                <c:pt idx="11">
                  <c:v>68.550583333333336</c:v>
                </c:pt>
                <c:pt idx="12">
                  <c:v>71.927202746871245</c:v>
                </c:pt>
                <c:pt idx="13">
                  <c:v>71.927000030901823</c:v>
                </c:pt>
                <c:pt idx="14">
                  <c:v>71.927000000004711</c:v>
                </c:pt>
                <c:pt idx="15">
                  <c:v>71.926999999999992</c:v>
                </c:pt>
                <c:pt idx="16">
                  <c:v>70.427555555555557</c:v>
                </c:pt>
                <c:pt idx="17">
                  <c:v>55.033666666666662</c:v>
                </c:pt>
                <c:pt idx="18">
                  <c:v>10.986833333333333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8E-47F5-9349-17D710B25F88}"/>
            </c:ext>
          </c:extLst>
        </c:ser>
        <c:ser>
          <c:idx val="8"/>
          <c:order val="8"/>
          <c:tx>
            <c:strRef>
              <c:f>'Červenec kontig'!$J$1</c:f>
              <c:strCache>
                <c:ptCount val="1"/>
                <c:pt idx="0">
                  <c:v>Součet z Soc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kontig'!$J$2:$J$31</c:f>
              <c:numCache>
                <c:formatCode>General</c:formatCode>
                <c:ptCount val="25"/>
                <c:pt idx="0">
                  <c:v>2.0021127450980396</c:v>
                </c:pt>
                <c:pt idx="1">
                  <c:v>1.443040849673203</c:v>
                </c:pt>
                <c:pt idx="2">
                  <c:v>0.8874616013071901</c:v>
                </c:pt>
                <c:pt idx="3">
                  <c:v>0.36005637254902007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0.27133227124183013</c:v>
                </c:pt>
                <c:pt idx="9">
                  <c:v>0.81742238562091507</c:v>
                </c:pt>
                <c:pt idx="10">
                  <c:v>1.9666181372549021</c:v>
                </c:pt>
                <c:pt idx="11">
                  <c:v>3.5665671568627451</c:v>
                </c:pt>
                <c:pt idx="12">
                  <c:v>3.9958186184853455</c:v>
                </c:pt>
                <c:pt idx="13">
                  <c:v>3.9959205726934943</c:v>
                </c:pt>
                <c:pt idx="14">
                  <c:v>3.9959205882329258</c:v>
                </c:pt>
                <c:pt idx="15">
                  <c:v>3.9959205882352933</c:v>
                </c:pt>
                <c:pt idx="16">
                  <c:v>3.9643160130718953</c:v>
                </c:pt>
                <c:pt idx="17">
                  <c:v>3.4596983660130718</c:v>
                </c:pt>
                <c:pt idx="18">
                  <c:v>1.0794159313725489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8E-47F5-9349-17D710B25F88}"/>
            </c:ext>
          </c:extLst>
        </c:ser>
        <c:ser>
          <c:idx val="9"/>
          <c:order val="9"/>
          <c:tx>
            <c:strRef>
              <c:f>'Červenec kontig'!$K$1</c:f>
              <c:strCache>
                <c:ptCount val="1"/>
                <c:pt idx="0">
                  <c:v>Součet z Nabíjení (Netto)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kontig'!$K$2:$K$31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1.371375</c:v>
                </c:pt>
                <c:pt idx="9">
                  <c:v>3.6675000000000004</c:v>
                </c:pt>
                <c:pt idx="10">
                  <c:v>6.5493000000000006</c:v>
                </c:pt>
                <c:pt idx="11">
                  <c:v>3.9751333333333339</c:v>
                </c:pt>
                <c:pt idx="12">
                  <c:v>7.4824721841185493E-2</c:v>
                </c:pt>
                <c:pt idx="13">
                  <c:v>7.3000278116424511E-2</c:v>
                </c:pt>
                <c:pt idx="14">
                  <c:v>7.3000000042387825E-2</c:v>
                </c:pt>
                <c:pt idx="15">
                  <c:v>7.3000000000011056E-2</c:v>
                </c:pt>
                <c:pt idx="16">
                  <c:v>1.8250000000001876E-2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8E-47F5-9349-17D710B25F88}"/>
            </c:ext>
          </c:extLst>
        </c:ser>
        <c:ser>
          <c:idx val="10"/>
          <c:order val="10"/>
          <c:tx>
            <c:strRef>
              <c:f>'Červenec kontig'!$L$1</c:f>
              <c:strCache>
                <c:ptCount val="1"/>
                <c:pt idx="0">
                  <c:v>Součet z Nabíjení (Brutto)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kontig'!$L$2:$L$31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1.5237499999999999</c:v>
                </c:pt>
                <c:pt idx="9">
                  <c:v>4.0750000000000002</c:v>
                </c:pt>
                <c:pt idx="10">
                  <c:v>7.277000000000001</c:v>
                </c:pt>
                <c:pt idx="11">
                  <c:v>4.4168148148148152</c:v>
                </c:pt>
                <c:pt idx="12">
                  <c:v>8.3138579823539435E-2</c:v>
                </c:pt>
                <c:pt idx="13">
                  <c:v>8.1111420129360567E-2</c:v>
                </c:pt>
                <c:pt idx="14">
                  <c:v>8.1111111158208696E-2</c:v>
                </c:pt>
                <c:pt idx="15">
                  <c:v>8.1111111111123402E-2</c:v>
                </c:pt>
                <c:pt idx="16">
                  <c:v>2.0277777777779862E-2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8E-47F5-9349-17D710B25F88}"/>
            </c:ext>
          </c:extLst>
        </c:ser>
        <c:ser>
          <c:idx val="11"/>
          <c:order val="11"/>
          <c:tx>
            <c:strRef>
              <c:f>'Červenec kontig'!$M$1</c:f>
              <c:strCache>
                <c:ptCount val="1"/>
                <c:pt idx="0">
                  <c:v>Součet z Vybíjení (Netto)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'Červenec kontig'!$A$2:$A$31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I</c:v>
                  </c:pt>
                  <c:pt idx="24">
                    <c:v>&lt;00.01.1900</c:v>
                  </c:pt>
                </c:lvl>
                <c:lvl>
                  <c:pt idx="0">
                    <c:v>05.07.2026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'Červenec kontig'!$M$2:$M$31</c:f>
              <c:numCache>
                <c:formatCode>General</c:formatCode>
                <c:ptCount val="25"/>
                <c:pt idx="0">
                  <c:v>2.2509999999999999</c:v>
                </c:pt>
                <c:pt idx="1">
                  <c:v>2.2509999999999999</c:v>
                </c:pt>
                <c:pt idx="2">
                  <c:v>2.19475</c:v>
                </c:pt>
                <c:pt idx="3">
                  <c:v>1.4382777777777804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3.6499999999999998E-2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7.2999999999999995E-2</c:v>
                </c:pt>
                <c:pt idx="12">
                  <c:v>7.2999999999999995E-2</c:v>
                </c:pt>
                <c:pt idx="13">
                  <c:v>7.2999999999999995E-2</c:v>
                </c:pt>
                <c:pt idx="14">
                  <c:v>7.2999999999999995E-2</c:v>
                </c:pt>
                <c:pt idx="15">
                  <c:v>7.2999999999999995E-2</c:v>
                </c:pt>
                <c:pt idx="16">
                  <c:v>0.85875000000000012</c:v>
                </c:pt>
                <c:pt idx="17">
                  <c:v>6.5679999999999996</c:v>
                </c:pt>
                <c:pt idx="18">
                  <c:v>8.0340000000000007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8E-47F5-9349-17D710B25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190192"/>
        <c:axId val="1903118416"/>
      </c:lineChart>
      <c:catAx>
        <c:axId val="2871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03118416"/>
        <c:crosses val="autoZero"/>
        <c:auto val="1"/>
        <c:lblAlgn val="ctr"/>
        <c:lblOffset val="100"/>
        <c:noMultiLvlLbl val="0"/>
      </c:catAx>
      <c:valAx>
        <c:axId val="19031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71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Červenec!$C$1:$C$2</c:f>
              <c:strCache>
                <c:ptCount val="2"/>
                <c:pt idx="0">
                  <c:v>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Červenec!$C$3:$C$98</c:f>
              <c:numCache>
                <c:formatCode>0.000</c:formatCode>
                <c:ptCount val="96"/>
                <c:pt idx="0">
                  <c:v>6.2E-2</c:v>
                </c:pt>
                <c:pt idx="1">
                  <c:v>6.2E-2</c:v>
                </c:pt>
                <c:pt idx="2">
                  <c:v>6.2E-2</c:v>
                </c:pt>
                <c:pt idx="3">
                  <c:v>6.2E-2</c:v>
                </c:pt>
                <c:pt idx="4">
                  <c:v>4.0749999999999995E-2</c:v>
                </c:pt>
                <c:pt idx="5">
                  <c:v>4.0749999999999995E-2</c:v>
                </c:pt>
                <c:pt idx="6">
                  <c:v>4.0749999999999995E-2</c:v>
                </c:pt>
                <c:pt idx="7">
                  <c:v>4.0749999999999995E-2</c:v>
                </c:pt>
                <c:pt idx="8">
                  <c:v>4.0749999999999995E-2</c:v>
                </c:pt>
                <c:pt idx="9">
                  <c:v>4.0749999999999995E-2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2.5749999999999999E-2</c:v>
                </c:pt>
                <c:pt idx="18">
                  <c:v>2.5749999999999999E-2</c:v>
                </c:pt>
                <c:pt idx="19">
                  <c:v>2.5749999999999999E-2</c:v>
                </c:pt>
                <c:pt idx="20">
                  <c:v>2.5749999999999999E-2</c:v>
                </c:pt>
                <c:pt idx="21">
                  <c:v>2.5749999999999999E-2</c:v>
                </c:pt>
                <c:pt idx="22">
                  <c:v>2.5749999999999999E-2</c:v>
                </c:pt>
                <c:pt idx="23">
                  <c:v>2.5749999999999999E-2</c:v>
                </c:pt>
                <c:pt idx="24">
                  <c:v>2.5749999999999999E-2</c:v>
                </c:pt>
                <c:pt idx="25">
                  <c:v>2.5749999999999999E-2</c:v>
                </c:pt>
                <c:pt idx="26">
                  <c:v>2.5749999999999999E-2</c:v>
                </c:pt>
                <c:pt idx="27">
                  <c:v>8.0750000000000002E-2</c:v>
                </c:pt>
                <c:pt idx="28">
                  <c:v>0.24074999999999999</c:v>
                </c:pt>
                <c:pt idx="29">
                  <c:v>1.9057500000000001</c:v>
                </c:pt>
                <c:pt idx="30">
                  <c:v>1.56325</c:v>
                </c:pt>
                <c:pt idx="31">
                  <c:v>1.5307500000000001</c:v>
                </c:pt>
                <c:pt idx="32">
                  <c:v>1.5307500000000001</c:v>
                </c:pt>
                <c:pt idx="33">
                  <c:v>3.075E-2</c:v>
                </c:pt>
                <c:pt idx="34">
                  <c:v>3.075E-2</c:v>
                </c:pt>
                <c:pt idx="35">
                  <c:v>3.075E-2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2.5749999999999999E-2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2.5749999999999999E-2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5.0750000000000003E-2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7.2000000000000008E-2</c:v>
                </c:pt>
                <c:pt idx="64">
                  <c:v>7.2000000000000008E-2</c:v>
                </c:pt>
                <c:pt idx="65">
                  <c:v>5.4500000000000007E-2</c:v>
                </c:pt>
                <c:pt idx="66">
                  <c:v>6.9499999999999992E-2</c:v>
                </c:pt>
                <c:pt idx="67">
                  <c:v>6.9499999999999992E-2</c:v>
                </c:pt>
                <c:pt idx="68">
                  <c:v>9.4500000000000001E-2</c:v>
                </c:pt>
                <c:pt idx="69">
                  <c:v>0.11700000000000001</c:v>
                </c:pt>
                <c:pt idx="70">
                  <c:v>0.47075</c:v>
                </c:pt>
                <c:pt idx="71">
                  <c:v>1.17075</c:v>
                </c:pt>
                <c:pt idx="72">
                  <c:v>2.29575</c:v>
                </c:pt>
                <c:pt idx="73">
                  <c:v>2.3132500000000005</c:v>
                </c:pt>
                <c:pt idx="74">
                  <c:v>2.2807500000000003</c:v>
                </c:pt>
                <c:pt idx="75">
                  <c:v>2.3094999999999999</c:v>
                </c:pt>
                <c:pt idx="76">
                  <c:v>0.8095</c:v>
                </c:pt>
                <c:pt idx="77">
                  <c:v>0.8095</c:v>
                </c:pt>
                <c:pt idx="78">
                  <c:v>5.9499999999999997E-2</c:v>
                </c:pt>
                <c:pt idx="79">
                  <c:v>8.0750000000000002E-2</c:v>
                </c:pt>
                <c:pt idx="80">
                  <c:v>2.0182499999999997</c:v>
                </c:pt>
                <c:pt idx="81">
                  <c:v>0.67825000000000002</c:v>
                </c:pt>
                <c:pt idx="82">
                  <c:v>0.14324999999999999</c:v>
                </c:pt>
                <c:pt idx="83">
                  <c:v>1.6432499999999999</c:v>
                </c:pt>
                <c:pt idx="84">
                  <c:v>0.1545</c:v>
                </c:pt>
                <c:pt idx="85">
                  <c:v>0.70450000000000002</c:v>
                </c:pt>
                <c:pt idx="86">
                  <c:v>2.2094999999999998</c:v>
                </c:pt>
                <c:pt idx="87">
                  <c:v>0.69199999999999995</c:v>
                </c:pt>
                <c:pt idx="88">
                  <c:v>0.69199999999999995</c:v>
                </c:pt>
                <c:pt idx="89">
                  <c:v>2.1894999999999998</c:v>
                </c:pt>
                <c:pt idx="90">
                  <c:v>0.1245</c:v>
                </c:pt>
                <c:pt idx="91">
                  <c:v>1.6245000000000001</c:v>
                </c:pt>
                <c:pt idx="92">
                  <c:v>0.16949999999999998</c:v>
                </c:pt>
                <c:pt idx="93">
                  <c:v>0.16449999999999998</c:v>
                </c:pt>
                <c:pt idx="94">
                  <c:v>0.1145</c:v>
                </c:pt>
                <c:pt idx="95">
                  <c:v>5.2000000000000005E-2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1-4510-961C-C10CE5FC7BB1}"/>
            </c:ext>
          </c:extLst>
        </c:ser>
        <c:ser>
          <c:idx val="1"/>
          <c:order val="1"/>
          <c:tx>
            <c:strRef>
              <c:f>Červenec!$D$1:$D$2</c:f>
              <c:strCache>
                <c:ptCount val="2"/>
                <c:pt idx="0">
                  <c:v>Přímá vlastní spotřeba z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Červenec!$D$3:$D$98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6.0000000000000001E-3</c:v>
                </c:pt>
                <c:pt idx="22">
                  <c:v>1.0999999999999999E-2</c:v>
                </c:pt>
                <c:pt idx="23">
                  <c:v>1.7999999999999999E-2</c:v>
                </c:pt>
                <c:pt idx="24">
                  <c:v>2.5749999999999999E-2</c:v>
                </c:pt>
                <c:pt idx="25">
                  <c:v>2.5749999999999999E-2</c:v>
                </c:pt>
                <c:pt idx="26">
                  <c:v>2.5749999999999999E-2</c:v>
                </c:pt>
                <c:pt idx="27">
                  <c:v>8.0750000000000002E-2</c:v>
                </c:pt>
                <c:pt idx="28">
                  <c:v>0.113</c:v>
                </c:pt>
                <c:pt idx="29">
                  <c:v>0.152</c:v>
                </c:pt>
                <c:pt idx="30">
                  <c:v>0.2</c:v>
                </c:pt>
                <c:pt idx="31">
                  <c:v>0.26100000000000001</c:v>
                </c:pt>
                <c:pt idx="32">
                  <c:v>0.33400000000000002</c:v>
                </c:pt>
                <c:pt idx="33">
                  <c:v>3.075E-2</c:v>
                </c:pt>
                <c:pt idx="34">
                  <c:v>3.075E-2</c:v>
                </c:pt>
                <c:pt idx="35">
                  <c:v>3.075E-2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2.5749999999999999E-2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2.5749999999999999E-2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5.0750000000000003E-2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7.2000000000000008E-2</c:v>
                </c:pt>
                <c:pt idx="64">
                  <c:v>7.2000000000000008E-2</c:v>
                </c:pt>
                <c:pt idx="65">
                  <c:v>5.4500000000000007E-2</c:v>
                </c:pt>
                <c:pt idx="66">
                  <c:v>6.9499999999999992E-2</c:v>
                </c:pt>
                <c:pt idx="67">
                  <c:v>6.9499999999999992E-2</c:v>
                </c:pt>
                <c:pt idx="68">
                  <c:v>9.4500000000000001E-2</c:v>
                </c:pt>
                <c:pt idx="69">
                  <c:v>0.11700000000000001</c:v>
                </c:pt>
                <c:pt idx="70">
                  <c:v>0.33400000000000002</c:v>
                </c:pt>
                <c:pt idx="71">
                  <c:v>0.26100000000000001</c:v>
                </c:pt>
                <c:pt idx="72">
                  <c:v>0.2</c:v>
                </c:pt>
                <c:pt idx="73">
                  <c:v>0.152</c:v>
                </c:pt>
                <c:pt idx="74">
                  <c:v>0.113</c:v>
                </c:pt>
                <c:pt idx="75">
                  <c:v>8.3000000000000004E-2</c:v>
                </c:pt>
                <c:pt idx="76">
                  <c:v>5.8999999999999997E-2</c:v>
                </c:pt>
                <c:pt idx="77">
                  <c:v>4.2000000000000003E-2</c:v>
                </c:pt>
                <c:pt idx="78">
                  <c:v>2.8000000000000001E-2</c:v>
                </c:pt>
                <c:pt idx="79">
                  <c:v>1.7999999999999999E-2</c:v>
                </c:pt>
                <c:pt idx="80">
                  <c:v>1.0999999999999999E-2</c:v>
                </c:pt>
                <c:pt idx="81">
                  <c:v>6.0000000000000001E-3</c:v>
                </c:pt>
                <c:pt idx="82">
                  <c:v>2E-3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1-4510-961C-C10CE5FC7BB1}"/>
            </c:ext>
          </c:extLst>
        </c:ser>
        <c:ser>
          <c:idx val="2"/>
          <c:order val="2"/>
          <c:tx>
            <c:strRef>
              <c:f>Červenec!$E$1:$E$2</c:f>
              <c:strCache>
                <c:ptCount val="2"/>
                <c:pt idx="0">
                  <c:v>Výroba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Červenec!$E$3:$E$98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6.0000000000000001E-3</c:v>
                </c:pt>
                <c:pt idx="22">
                  <c:v>1.0999999999999999E-2</c:v>
                </c:pt>
                <c:pt idx="23">
                  <c:v>1.7999999999999999E-2</c:v>
                </c:pt>
                <c:pt idx="24">
                  <c:v>2.8000000000000001E-2</c:v>
                </c:pt>
                <c:pt idx="25">
                  <c:v>4.2000000000000003E-2</c:v>
                </c:pt>
                <c:pt idx="26">
                  <c:v>5.8999999999999997E-2</c:v>
                </c:pt>
                <c:pt idx="27">
                  <c:v>8.3000000000000004E-2</c:v>
                </c:pt>
                <c:pt idx="28">
                  <c:v>0.113</c:v>
                </c:pt>
                <c:pt idx="29">
                  <c:v>0.152</c:v>
                </c:pt>
                <c:pt idx="30">
                  <c:v>0.2</c:v>
                </c:pt>
                <c:pt idx="31">
                  <c:v>0.26100000000000001</c:v>
                </c:pt>
                <c:pt idx="32">
                  <c:v>0.33400000000000002</c:v>
                </c:pt>
                <c:pt idx="33">
                  <c:v>0.42299999999999999</c:v>
                </c:pt>
                <c:pt idx="34">
                  <c:v>0.52800000000000002</c:v>
                </c:pt>
                <c:pt idx="35">
                  <c:v>0.65</c:v>
                </c:pt>
                <c:pt idx="36">
                  <c:v>0.79</c:v>
                </c:pt>
                <c:pt idx="37">
                  <c:v>0.94899999999999995</c:v>
                </c:pt>
                <c:pt idx="38">
                  <c:v>1.1240000000000001</c:v>
                </c:pt>
                <c:pt idx="39">
                  <c:v>1.3149999999999999</c:v>
                </c:pt>
                <c:pt idx="40">
                  <c:v>1.52</c:v>
                </c:pt>
                <c:pt idx="41">
                  <c:v>1.734</c:v>
                </c:pt>
                <c:pt idx="42">
                  <c:v>1.9530000000000001</c:v>
                </c:pt>
                <c:pt idx="43">
                  <c:v>2.173</c:v>
                </c:pt>
                <c:pt idx="44">
                  <c:v>2.387</c:v>
                </c:pt>
                <c:pt idx="45">
                  <c:v>2.589</c:v>
                </c:pt>
                <c:pt idx="46">
                  <c:v>2.774</c:v>
                </c:pt>
                <c:pt idx="47">
                  <c:v>2.9350000000000001</c:v>
                </c:pt>
                <c:pt idx="48">
                  <c:v>3.0659999999999998</c:v>
                </c:pt>
                <c:pt idx="49">
                  <c:v>3.1640000000000001</c:v>
                </c:pt>
                <c:pt idx="50">
                  <c:v>3.2240000000000002</c:v>
                </c:pt>
                <c:pt idx="51">
                  <c:v>3.2440000000000002</c:v>
                </c:pt>
                <c:pt idx="52">
                  <c:v>3.2240000000000002</c:v>
                </c:pt>
                <c:pt idx="53">
                  <c:v>3.1640000000000001</c:v>
                </c:pt>
                <c:pt idx="54">
                  <c:v>3.0659999999999998</c:v>
                </c:pt>
                <c:pt idx="55">
                  <c:v>2.9350000000000001</c:v>
                </c:pt>
                <c:pt idx="56">
                  <c:v>2.774</c:v>
                </c:pt>
                <c:pt idx="57">
                  <c:v>2.589</c:v>
                </c:pt>
                <c:pt idx="58">
                  <c:v>2.387</c:v>
                </c:pt>
                <c:pt idx="59">
                  <c:v>2.173</c:v>
                </c:pt>
                <c:pt idx="60">
                  <c:v>1.9530000000000001</c:v>
                </c:pt>
                <c:pt idx="61">
                  <c:v>1.734</c:v>
                </c:pt>
                <c:pt idx="62">
                  <c:v>1.52</c:v>
                </c:pt>
                <c:pt idx="63">
                  <c:v>1.3149999999999999</c:v>
                </c:pt>
                <c:pt idx="64">
                  <c:v>1.1240000000000001</c:v>
                </c:pt>
                <c:pt idx="65">
                  <c:v>0.94899999999999995</c:v>
                </c:pt>
                <c:pt idx="66">
                  <c:v>0.79</c:v>
                </c:pt>
                <c:pt idx="67">
                  <c:v>0.65</c:v>
                </c:pt>
                <c:pt idx="68">
                  <c:v>0.52800000000000002</c:v>
                </c:pt>
                <c:pt idx="69">
                  <c:v>0.42299999999999999</c:v>
                </c:pt>
                <c:pt idx="70">
                  <c:v>0.33400000000000002</c:v>
                </c:pt>
                <c:pt idx="71">
                  <c:v>0.26100000000000001</c:v>
                </c:pt>
                <c:pt idx="72">
                  <c:v>0.2</c:v>
                </c:pt>
                <c:pt idx="73">
                  <c:v>0.152</c:v>
                </c:pt>
                <c:pt idx="74">
                  <c:v>0.113</c:v>
                </c:pt>
                <c:pt idx="75">
                  <c:v>8.3000000000000004E-2</c:v>
                </c:pt>
                <c:pt idx="76">
                  <c:v>5.8999999999999997E-2</c:v>
                </c:pt>
                <c:pt idx="77">
                  <c:v>4.2000000000000003E-2</c:v>
                </c:pt>
                <c:pt idx="78">
                  <c:v>2.8000000000000001E-2</c:v>
                </c:pt>
                <c:pt idx="79">
                  <c:v>1.7999999999999999E-2</c:v>
                </c:pt>
                <c:pt idx="80">
                  <c:v>1.0999999999999999E-2</c:v>
                </c:pt>
                <c:pt idx="81">
                  <c:v>6.0000000000000001E-3</c:v>
                </c:pt>
                <c:pt idx="82">
                  <c:v>2E-3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1-4510-961C-C10CE5FC7BB1}"/>
            </c:ext>
          </c:extLst>
        </c:ser>
        <c:ser>
          <c:idx val="3"/>
          <c:order val="3"/>
          <c:tx>
            <c:strRef>
              <c:f>Červenec!$F$1:$F$2</c:f>
              <c:strCache>
                <c:ptCount val="2"/>
                <c:pt idx="0">
                  <c:v>Odběr z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Červenec!$F$3:$F$98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0.67975000000000008</c:v>
                </c:pt>
                <c:pt idx="84">
                  <c:v>0</c:v>
                </c:pt>
                <c:pt idx="85">
                  <c:v>0</c:v>
                </c:pt>
                <c:pt idx="86">
                  <c:v>1.3007500000000003</c:v>
                </c:pt>
                <c:pt idx="87">
                  <c:v>0</c:v>
                </c:pt>
                <c:pt idx="88">
                  <c:v>0</c:v>
                </c:pt>
                <c:pt idx="89">
                  <c:v>1.3355000000000006</c:v>
                </c:pt>
                <c:pt idx="90">
                  <c:v>0</c:v>
                </c:pt>
                <c:pt idx="91">
                  <c:v>0.80700000000000105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1-4510-961C-C10CE5FC7BB1}"/>
            </c:ext>
          </c:extLst>
        </c:ser>
        <c:ser>
          <c:idx val="4"/>
          <c:order val="4"/>
          <c:tx>
            <c:strRef>
              <c:f>Červenec!$G$1:$G$2</c:f>
              <c:strCache>
                <c:ptCount val="2"/>
                <c:pt idx="0">
                  <c:v>Přetok do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Červenec!$G$3:$G$98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0.87870061728393623</c:v>
                </c:pt>
                <c:pt idx="44">
                  <c:v>2.3612500000000001</c:v>
                </c:pt>
                <c:pt idx="45">
                  <c:v>2.5204413580246925</c:v>
                </c:pt>
                <c:pt idx="46">
                  <c:v>2.710197873799725</c:v>
                </c:pt>
                <c:pt idx="47">
                  <c:v>2.8706693720469443</c:v>
                </c:pt>
                <c:pt idx="48">
                  <c:v>3.0017280944639215</c:v>
                </c:pt>
                <c:pt idx="49">
                  <c:v>3.0997215697509248</c:v>
                </c:pt>
                <c:pt idx="50">
                  <c:v>3.1597222947190358</c:v>
                </c:pt>
                <c:pt idx="51">
                  <c:v>3.1797222141670205</c:v>
                </c:pt>
                <c:pt idx="52">
                  <c:v>3.1597222231172459</c:v>
                </c:pt>
                <c:pt idx="53">
                  <c:v>3.0997222221227778</c:v>
                </c:pt>
                <c:pt idx="54">
                  <c:v>3.0017222222332709</c:v>
                </c:pt>
                <c:pt idx="55">
                  <c:v>2.8707222222209947</c:v>
                </c:pt>
                <c:pt idx="56">
                  <c:v>2.7097222222223603</c:v>
                </c:pt>
                <c:pt idx="57">
                  <c:v>2.5247222222222065</c:v>
                </c:pt>
                <c:pt idx="58">
                  <c:v>2.3227222222222261</c:v>
                </c:pt>
                <c:pt idx="59">
                  <c:v>2.1087222222222222</c:v>
                </c:pt>
                <c:pt idx="60">
                  <c:v>1.8637222222222223</c:v>
                </c:pt>
                <c:pt idx="61">
                  <c:v>1.6234722222222222</c:v>
                </c:pt>
                <c:pt idx="62">
                  <c:v>1.4094722222222222</c:v>
                </c:pt>
                <c:pt idx="63">
                  <c:v>1.2044722222222222</c:v>
                </c:pt>
                <c:pt idx="64">
                  <c:v>1.0134722222222223</c:v>
                </c:pt>
                <c:pt idx="65">
                  <c:v>0.85597222222222213</c:v>
                </c:pt>
                <c:pt idx="66">
                  <c:v>0.6819722222222222</c:v>
                </c:pt>
                <c:pt idx="67">
                  <c:v>0.54197222222222219</c:v>
                </c:pt>
                <c:pt idx="68">
                  <c:v>0.39497222222222222</c:v>
                </c:pt>
                <c:pt idx="69">
                  <c:v>0.26747222222222222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C1-4510-961C-C10CE5FC7BB1}"/>
            </c:ext>
          </c:extLst>
        </c:ser>
        <c:ser>
          <c:idx val="5"/>
          <c:order val="5"/>
          <c:tx>
            <c:strRef>
              <c:f>Červenec!$H$1:$H$2</c:f>
              <c:strCache>
                <c:ptCount val="2"/>
                <c:pt idx="0">
                  <c:v>Spotřeba z baterie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Červenec!$H$3:$H$98</c:f>
              <c:numCache>
                <c:formatCode>0.000</c:formatCode>
                <c:ptCount val="96"/>
                <c:pt idx="0">
                  <c:v>6.2E-2</c:v>
                </c:pt>
                <c:pt idx="1">
                  <c:v>6.2E-2</c:v>
                </c:pt>
                <c:pt idx="2">
                  <c:v>6.2E-2</c:v>
                </c:pt>
                <c:pt idx="3">
                  <c:v>6.2E-2</c:v>
                </c:pt>
                <c:pt idx="4">
                  <c:v>4.0749999999999995E-2</c:v>
                </c:pt>
                <c:pt idx="5">
                  <c:v>4.0749999999999995E-2</c:v>
                </c:pt>
                <c:pt idx="6">
                  <c:v>4.0749999999999995E-2</c:v>
                </c:pt>
                <c:pt idx="7">
                  <c:v>4.0749999999999995E-2</c:v>
                </c:pt>
                <c:pt idx="8">
                  <c:v>4.0749999999999995E-2</c:v>
                </c:pt>
                <c:pt idx="9">
                  <c:v>4.0749999999999995E-2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2.5749999999999999E-2</c:v>
                </c:pt>
                <c:pt idx="18">
                  <c:v>2.5749999999999999E-2</c:v>
                </c:pt>
                <c:pt idx="19">
                  <c:v>2.5749999999999999E-2</c:v>
                </c:pt>
                <c:pt idx="20">
                  <c:v>2.375E-2</c:v>
                </c:pt>
                <c:pt idx="21">
                  <c:v>1.9749999999999997E-2</c:v>
                </c:pt>
                <c:pt idx="22">
                  <c:v>1.4749999999999999E-2</c:v>
                </c:pt>
                <c:pt idx="23">
                  <c:v>7.7499999999999999E-3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0.12774999999999997</c:v>
                </c:pt>
                <c:pt idx="29">
                  <c:v>1.7537500000000001</c:v>
                </c:pt>
                <c:pt idx="30">
                  <c:v>1.3632500000000001</c:v>
                </c:pt>
                <c:pt idx="31">
                  <c:v>1.2697500000000002</c:v>
                </c:pt>
                <c:pt idx="32">
                  <c:v>1.19675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0.13674999999999998</c:v>
                </c:pt>
                <c:pt idx="71">
                  <c:v>0.90974999999999995</c:v>
                </c:pt>
                <c:pt idx="72">
                  <c:v>2.0957499999999998</c:v>
                </c:pt>
                <c:pt idx="73">
                  <c:v>2.1612500000000003</c:v>
                </c:pt>
                <c:pt idx="74">
                  <c:v>2.1677500000000003</c:v>
                </c:pt>
                <c:pt idx="75">
                  <c:v>2.2264999999999997</c:v>
                </c:pt>
                <c:pt idx="76">
                  <c:v>0.75049999999999994</c:v>
                </c:pt>
                <c:pt idx="77">
                  <c:v>0.76749999999999996</c:v>
                </c:pt>
                <c:pt idx="78">
                  <c:v>3.15E-2</c:v>
                </c:pt>
                <c:pt idx="79">
                  <c:v>6.275E-2</c:v>
                </c:pt>
                <c:pt idx="80">
                  <c:v>2.0072499999999995</c:v>
                </c:pt>
                <c:pt idx="81">
                  <c:v>0.67225000000000001</c:v>
                </c:pt>
                <c:pt idx="82">
                  <c:v>0.14124999999999999</c:v>
                </c:pt>
                <c:pt idx="83">
                  <c:v>0.9634999999999998</c:v>
                </c:pt>
                <c:pt idx="84">
                  <c:v>0.1545</c:v>
                </c:pt>
                <c:pt idx="85">
                  <c:v>0.70450000000000002</c:v>
                </c:pt>
                <c:pt idx="86">
                  <c:v>0.9087499999999995</c:v>
                </c:pt>
                <c:pt idx="87">
                  <c:v>0.69199999999999995</c:v>
                </c:pt>
                <c:pt idx="88">
                  <c:v>0.69199999999999995</c:v>
                </c:pt>
                <c:pt idx="89">
                  <c:v>0.8539999999999992</c:v>
                </c:pt>
                <c:pt idx="90">
                  <c:v>0.1245</c:v>
                </c:pt>
                <c:pt idx="91">
                  <c:v>0.81749999999999901</c:v>
                </c:pt>
                <c:pt idx="92">
                  <c:v>0.16949999999999998</c:v>
                </c:pt>
                <c:pt idx="93">
                  <c:v>0.16449999999999998</c:v>
                </c:pt>
                <c:pt idx="94">
                  <c:v>0.1145</c:v>
                </c:pt>
                <c:pt idx="95">
                  <c:v>5.2000000000000005E-2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C1-4510-961C-C10CE5FC7BB1}"/>
            </c:ext>
          </c:extLst>
        </c:ser>
        <c:ser>
          <c:idx val="6"/>
          <c:order val="6"/>
          <c:tx>
            <c:strRef>
              <c:f>Červenec!$I$1:$I$2</c:f>
              <c:strCache>
                <c:ptCount val="2"/>
                <c:pt idx="0">
                  <c:v>Bilance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Červenec!$I$3:$I$98</c:f>
              <c:numCache>
                <c:formatCode>0.000</c:formatCode>
                <c:ptCount val="96"/>
                <c:pt idx="0">
                  <c:v>-6.2E-2</c:v>
                </c:pt>
                <c:pt idx="1">
                  <c:v>-6.2E-2</c:v>
                </c:pt>
                <c:pt idx="2">
                  <c:v>-6.2E-2</c:v>
                </c:pt>
                <c:pt idx="3">
                  <c:v>-6.2E-2</c:v>
                </c:pt>
                <c:pt idx="4">
                  <c:v>-4.0749999999999995E-2</c:v>
                </c:pt>
                <c:pt idx="5">
                  <c:v>-4.0749999999999995E-2</c:v>
                </c:pt>
                <c:pt idx="6">
                  <c:v>-4.0749999999999995E-2</c:v>
                </c:pt>
                <c:pt idx="7">
                  <c:v>-4.0749999999999995E-2</c:v>
                </c:pt>
                <c:pt idx="8">
                  <c:v>-4.0749999999999995E-2</c:v>
                </c:pt>
                <c:pt idx="9">
                  <c:v>-4.0749999999999995E-2</c:v>
                </c:pt>
                <c:pt idx="10">
                  <c:v>-2.5749999999999999E-2</c:v>
                </c:pt>
                <c:pt idx="11">
                  <c:v>-2.5749999999999999E-2</c:v>
                </c:pt>
                <c:pt idx="12">
                  <c:v>-2.5749999999999999E-2</c:v>
                </c:pt>
                <c:pt idx="13">
                  <c:v>-2.5749999999999999E-2</c:v>
                </c:pt>
                <c:pt idx="14">
                  <c:v>-2.5749999999999999E-2</c:v>
                </c:pt>
                <c:pt idx="15">
                  <c:v>-2.5749999999999999E-2</c:v>
                </c:pt>
                <c:pt idx="16">
                  <c:v>-2.5749999999999999E-2</c:v>
                </c:pt>
                <c:pt idx="17">
                  <c:v>-2.5749999999999999E-2</c:v>
                </c:pt>
                <c:pt idx="18">
                  <c:v>-2.5749999999999999E-2</c:v>
                </c:pt>
                <c:pt idx="19">
                  <c:v>-2.5749999999999999E-2</c:v>
                </c:pt>
                <c:pt idx="20">
                  <c:v>-2.375E-2</c:v>
                </c:pt>
                <c:pt idx="21">
                  <c:v>-1.9749999999999997E-2</c:v>
                </c:pt>
                <c:pt idx="22">
                  <c:v>-1.4749999999999999E-2</c:v>
                </c:pt>
                <c:pt idx="23">
                  <c:v>-7.7499999999999999E-3</c:v>
                </c:pt>
                <c:pt idx="24">
                  <c:v>2.250000000000002E-3</c:v>
                </c:pt>
                <c:pt idx="25">
                  <c:v>1.6250000000000004E-2</c:v>
                </c:pt>
                <c:pt idx="26">
                  <c:v>3.3250000000000002E-2</c:v>
                </c:pt>
                <c:pt idx="27">
                  <c:v>2.250000000000002E-3</c:v>
                </c:pt>
                <c:pt idx="28">
                  <c:v>-0.12774999999999997</c:v>
                </c:pt>
                <c:pt idx="29">
                  <c:v>-1.7537500000000001</c:v>
                </c:pt>
                <c:pt idx="30">
                  <c:v>-1.3632500000000001</c:v>
                </c:pt>
                <c:pt idx="31">
                  <c:v>-1.2697500000000002</c:v>
                </c:pt>
                <c:pt idx="32">
                  <c:v>-1.19675</c:v>
                </c:pt>
                <c:pt idx="33">
                  <c:v>0.39224999999999999</c:v>
                </c:pt>
                <c:pt idx="34">
                  <c:v>0.49725000000000003</c:v>
                </c:pt>
                <c:pt idx="35">
                  <c:v>0.61925000000000008</c:v>
                </c:pt>
                <c:pt idx="36">
                  <c:v>0.76424999999999998</c:v>
                </c:pt>
                <c:pt idx="37">
                  <c:v>0.9232499999999999</c:v>
                </c:pt>
                <c:pt idx="38">
                  <c:v>1.0982500000000002</c:v>
                </c:pt>
                <c:pt idx="39">
                  <c:v>1.28925</c:v>
                </c:pt>
                <c:pt idx="40">
                  <c:v>1.4942500000000001</c:v>
                </c:pt>
                <c:pt idx="41">
                  <c:v>1.70825</c:v>
                </c:pt>
                <c:pt idx="42">
                  <c:v>1.9272500000000001</c:v>
                </c:pt>
                <c:pt idx="43">
                  <c:v>2.1472500000000001</c:v>
                </c:pt>
                <c:pt idx="44">
                  <c:v>2.3612500000000001</c:v>
                </c:pt>
                <c:pt idx="45">
                  <c:v>2.56325</c:v>
                </c:pt>
                <c:pt idx="46">
                  <c:v>2.7482500000000001</c:v>
                </c:pt>
                <c:pt idx="47">
                  <c:v>2.9092500000000001</c:v>
                </c:pt>
                <c:pt idx="48">
                  <c:v>3.0402499999999999</c:v>
                </c:pt>
                <c:pt idx="49">
                  <c:v>3.1382500000000002</c:v>
                </c:pt>
                <c:pt idx="50">
                  <c:v>3.1982500000000003</c:v>
                </c:pt>
                <c:pt idx="51">
                  <c:v>3.2182500000000003</c:v>
                </c:pt>
                <c:pt idx="52">
                  <c:v>3.1982500000000003</c:v>
                </c:pt>
                <c:pt idx="53">
                  <c:v>3.1382500000000002</c:v>
                </c:pt>
                <c:pt idx="54">
                  <c:v>3.0402499999999999</c:v>
                </c:pt>
                <c:pt idx="55">
                  <c:v>2.9092500000000001</c:v>
                </c:pt>
                <c:pt idx="56">
                  <c:v>2.7482500000000001</c:v>
                </c:pt>
                <c:pt idx="57">
                  <c:v>2.56325</c:v>
                </c:pt>
                <c:pt idx="58">
                  <c:v>2.3612500000000001</c:v>
                </c:pt>
                <c:pt idx="59">
                  <c:v>2.1472500000000001</c:v>
                </c:pt>
                <c:pt idx="60">
                  <c:v>1.90225</c:v>
                </c:pt>
                <c:pt idx="61">
                  <c:v>1.6619999999999999</c:v>
                </c:pt>
                <c:pt idx="62">
                  <c:v>1.448</c:v>
                </c:pt>
                <c:pt idx="63">
                  <c:v>1.2429999999999999</c:v>
                </c:pt>
                <c:pt idx="64">
                  <c:v>1.052</c:v>
                </c:pt>
                <c:pt idx="65">
                  <c:v>0.89449999999999996</c:v>
                </c:pt>
                <c:pt idx="66">
                  <c:v>0.72050000000000003</c:v>
                </c:pt>
                <c:pt idx="67">
                  <c:v>0.58050000000000002</c:v>
                </c:pt>
                <c:pt idx="68">
                  <c:v>0.4335</c:v>
                </c:pt>
                <c:pt idx="69">
                  <c:v>0.30599999999999999</c:v>
                </c:pt>
                <c:pt idx="70">
                  <c:v>-0.13674999999999998</c:v>
                </c:pt>
                <c:pt idx="71">
                  <c:v>-0.90974999999999995</c:v>
                </c:pt>
                <c:pt idx="72">
                  <c:v>-2.0957499999999998</c:v>
                </c:pt>
                <c:pt idx="73">
                  <c:v>-2.1612500000000003</c:v>
                </c:pt>
                <c:pt idx="74">
                  <c:v>-2.1677500000000003</c:v>
                </c:pt>
                <c:pt idx="75">
                  <c:v>-2.2264999999999997</c:v>
                </c:pt>
                <c:pt idx="76">
                  <c:v>-0.75049999999999994</c:v>
                </c:pt>
                <c:pt idx="77">
                  <c:v>-0.76749999999999996</c:v>
                </c:pt>
                <c:pt idx="78">
                  <c:v>-3.15E-2</c:v>
                </c:pt>
                <c:pt idx="79">
                  <c:v>-6.275E-2</c:v>
                </c:pt>
                <c:pt idx="80">
                  <c:v>-2.0072499999999995</c:v>
                </c:pt>
                <c:pt idx="81">
                  <c:v>-0.67225000000000001</c:v>
                </c:pt>
                <c:pt idx="82">
                  <c:v>-0.14124999999999999</c:v>
                </c:pt>
                <c:pt idx="83">
                  <c:v>-1.6432499999999999</c:v>
                </c:pt>
                <c:pt idx="84">
                  <c:v>-0.1545</c:v>
                </c:pt>
                <c:pt idx="85">
                  <c:v>-0.70450000000000002</c:v>
                </c:pt>
                <c:pt idx="86">
                  <c:v>-2.2094999999999998</c:v>
                </c:pt>
                <c:pt idx="87">
                  <c:v>-0.69199999999999995</c:v>
                </c:pt>
                <c:pt idx="88">
                  <c:v>-0.69199999999999995</c:v>
                </c:pt>
                <c:pt idx="89">
                  <c:v>-2.1894999999999998</c:v>
                </c:pt>
                <c:pt idx="90">
                  <c:v>-0.1245</c:v>
                </c:pt>
                <c:pt idx="91">
                  <c:v>-1.6245000000000001</c:v>
                </c:pt>
                <c:pt idx="92">
                  <c:v>-0.16949999999999998</c:v>
                </c:pt>
                <c:pt idx="93">
                  <c:v>-0.16449999999999998</c:v>
                </c:pt>
                <c:pt idx="94">
                  <c:v>-0.1145</c:v>
                </c:pt>
                <c:pt idx="95">
                  <c:v>-5.2000000000000005E-2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C1-4510-961C-C10CE5FC7BB1}"/>
            </c:ext>
          </c:extLst>
        </c:ser>
        <c:ser>
          <c:idx val="7"/>
          <c:order val="7"/>
          <c:tx>
            <c:strRef>
              <c:f>Červenec!$J$1:$J$2</c:f>
              <c:strCache>
                <c:ptCount val="2"/>
                <c:pt idx="0">
                  <c:v>Stav baterie</c:v>
                </c:pt>
                <c:pt idx="1">
                  <c:v>15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Červenec!$J$3:$J$98</c:f>
              <c:numCache>
                <c:formatCode>0.000</c:formatCode>
                <c:ptCount val="96"/>
                <c:pt idx="0">
                  <c:v>14.892583333333333</c:v>
                </c:pt>
                <c:pt idx="1">
                  <c:v>14.785166666666665</c:v>
                </c:pt>
                <c:pt idx="2">
                  <c:v>14.677749999999998</c:v>
                </c:pt>
                <c:pt idx="3">
                  <c:v>14.57033333333333</c:v>
                </c:pt>
                <c:pt idx="4">
                  <c:v>14.486527777777775</c:v>
                </c:pt>
                <c:pt idx="5">
                  <c:v>14.40272222222222</c:v>
                </c:pt>
                <c:pt idx="6">
                  <c:v>14.318916666666665</c:v>
                </c:pt>
                <c:pt idx="7">
                  <c:v>14.235111111111109</c:v>
                </c:pt>
                <c:pt idx="8">
                  <c:v>14.151305555555554</c:v>
                </c:pt>
                <c:pt idx="9">
                  <c:v>14.067499999999999</c:v>
                </c:pt>
                <c:pt idx="10">
                  <c:v>14.000361111111109</c:v>
                </c:pt>
                <c:pt idx="11">
                  <c:v>13.93322222222222</c:v>
                </c:pt>
                <c:pt idx="12">
                  <c:v>13.86608333333333</c:v>
                </c:pt>
                <c:pt idx="13">
                  <c:v>13.798944444444441</c:v>
                </c:pt>
                <c:pt idx="14">
                  <c:v>13.731805555555551</c:v>
                </c:pt>
                <c:pt idx="15">
                  <c:v>13.664666666666662</c:v>
                </c:pt>
                <c:pt idx="16">
                  <c:v>13.597527777777772</c:v>
                </c:pt>
                <c:pt idx="17">
                  <c:v>13.530388888888883</c:v>
                </c:pt>
                <c:pt idx="18">
                  <c:v>13.463249999999993</c:v>
                </c:pt>
                <c:pt idx="19">
                  <c:v>13.396111111111104</c:v>
                </c:pt>
                <c:pt idx="20">
                  <c:v>13.331194444444437</c:v>
                </c:pt>
                <c:pt idx="21">
                  <c:v>13.270722222222215</c:v>
                </c:pt>
                <c:pt idx="22">
                  <c:v>13.215805555555548</c:v>
                </c:pt>
                <c:pt idx="23">
                  <c:v>13.16866666666666</c:v>
                </c:pt>
                <c:pt idx="24">
                  <c:v>13.132388888888881</c:v>
                </c:pt>
                <c:pt idx="25">
                  <c:v>13.110111111111102</c:v>
                </c:pt>
                <c:pt idx="26">
                  <c:v>13.104833333333325</c:v>
                </c:pt>
                <c:pt idx="27">
                  <c:v>13.068555555555546</c:v>
                </c:pt>
                <c:pt idx="28">
                  <c:v>12.888083333333324</c:v>
                </c:pt>
                <c:pt idx="29">
                  <c:v>10.900944444444434</c:v>
                </c:pt>
                <c:pt idx="30">
                  <c:v>9.3476944444444339</c:v>
                </c:pt>
                <c:pt idx="31">
                  <c:v>7.8983333333333228</c:v>
                </c:pt>
                <c:pt idx="32">
                  <c:v>6.530083333333323</c:v>
                </c:pt>
                <c:pt idx="33">
                  <c:v>6.8838055555555453</c:v>
                </c:pt>
                <c:pt idx="34">
                  <c:v>7.342527777777768</c:v>
                </c:pt>
                <c:pt idx="35">
                  <c:v>7.9232499999999906</c:v>
                </c:pt>
                <c:pt idx="36">
                  <c:v>8.6489722222222127</c:v>
                </c:pt>
                <c:pt idx="37">
                  <c:v>9.5336944444444338</c:v>
                </c:pt>
                <c:pt idx="38">
                  <c:v>10.593416666666656</c:v>
                </c:pt>
                <c:pt idx="39">
                  <c:v>11.844138888888876</c:v>
                </c:pt>
                <c:pt idx="40">
                  <c:v>13.299861111111097</c:v>
                </c:pt>
                <c:pt idx="41">
                  <c:v>14.969583333333318</c:v>
                </c:pt>
                <c:pt idx="42">
                  <c:v>16.858305555555543</c:v>
                </c:pt>
                <c:pt idx="43">
                  <c:v>18</c:v>
                </c:pt>
                <c:pt idx="44">
                  <c:v>17.961472222222223</c:v>
                </c:pt>
                <c:pt idx="45">
                  <c:v>17.965753086419753</c:v>
                </c:pt>
                <c:pt idx="46">
                  <c:v>17.96527743484225</c:v>
                </c:pt>
                <c:pt idx="47">
                  <c:v>17.965330285017529</c:v>
                </c:pt>
                <c:pt idx="48">
                  <c:v>17.965324412775832</c:v>
                </c:pt>
                <c:pt idx="49">
                  <c:v>17.965325065247132</c:v>
                </c:pt>
                <c:pt idx="50">
                  <c:v>17.965324992750318</c:v>
                </c:pt>
                <c:pt idx="51">
                  <c:v>17.965325000805521</c:v>
                </c:pt>
                <c:pt idx="52">
                  <c:v>17.9653249999105</c:v>
                </c:pt>
                <c:pt idx="53">
                  <c:v>17.965325000009944</c:v>
                </c:pt>
                <c:pt idx="54">
                  <c:v>17.965324999998895</c:v>
                </c:pt>
                <c:pt idx="55">
                  <c:v>17.965325000000124</c:v>
                </c:pt>
                <c:pt idx="56">
                  <c:v>17.965324999999986</c:v>
                </c:pt>
                <c:pt idx="57">
                  <c:v>17.965325000000004</c:v>
                </c:pt>
                <c:pt idx="58">
                  <c:v>17.965325</c:v>
                </c:pt>
                <c:pt idx="59">
                  <c:v>17.965325</c:v>
                </c:pt>
                <c:pt idx="60">
                  <c:v>17.965325</c:v>
                </c:pt>
                <c:pt idx="61">
                  <c:v>17.965325</c:v>
                </c:pt>
                <c:pt idx="62">
                  <c:v>17.965325</c:v>
                </c:pt>
                <c:pt idx="63">
                  <c:v>17.965325</c:v>
                </c:pt>
                <c:pt idx="64">
                  <c:v>17.965325</c:v>
                </c:pt>
                <c:pt idx="65">
                  <c:v>17.965325</c:v>
                </c:pt>
                <c:pt idx="66">
                  <c:v>17.965325</c:v>
                </c:pt>
                <c:pt idx="67">
                  <c:v>17.965325</c:v>
                </c:pt>
                <c:pt idx="68">
                  <c:v>17.965325</c:v>
                </c:pt>
                <c:pt idx="69">
                  <c:v>17.965325</c:v>
                </c:pt>
                <c:pt idx="70">
                  <c:v>17.774852777777781</c:v>
                </c:pt>
                <c:pt idx="71">
                  <c:v>16.72549166666667</c:v>
                </c:pt>
                <c:pt idx="72">
                  <c:v>14.358352777777782</c:v>
                </c:pt>
                <c:pt idx="73">
                  <c:v>11.918436111111115</c:v>
                </c:pt>
                <c:pt idx="74">
                  <c:v>9.4712972222222245</c:v>
                </c:pt>
                <c:pt idx="75">
                  <c:v>6.9588805555555577</c:v>
                </c:pt>
                <c:pt idx="76">
                  <c:v>6.0864638888888916</c:v>
                </c:pt>
                <c:pt idx="77">
                  <c:v>5.1951583333333362</c:v>
                </c:pt>
                <c:pt idx="78">
                  <c:v>5.1216305555555586</c:v>
                </c:pt>
                <c:pt idx="79">
                  <c:v>5.0133805555555586</c:v>
                </c:pt>
                <c:pt idx="80">
                  <c:v>2.7445750000000033</c:v>
                </c:pt>
                <c:pt idx="81">
                  <c:v>1.9817499999999999</c:v>
                </c:pt>
                <c:pt idx="82">
                  <c:v>1.9634999999999998</c:v>
                </c:pt>
                <c:pt idx="83">
                  <c:v>1.9452499999999997</c:v>
                </c:pt>
                <c:pt idx="84">
                  <c:v>1.9269999999999996</c:v>
                </c:pt>
                <c:pt idx="85">
                  <c:v>1.9087499999999995</c:v>
                </c:pt>
                <c:pt idx="86">
                  <c:v>1.8904999999999994</c:v>
                </c:pt>
                <c:pt idx="87">
                  <c:v>1.8722499999999993</c:v>
                </c:pt>
                <c:pt idx="88">
                  <c:v>1.8539999999999992</c:v>
                </c:pt>
                <c:pt idx="89">
                  <c:v>1.8357499999999991</c:v>
                </c:pt>
                <c:pt idx="90">
                  <c:v>1.817499999999999</c:v>
                </c:pt>
                <c:pt idx="91">
                  <c:v>1.7992499999999989</c:v>
                </c:pt>
                <c:pt idx="92">
                  <c:v>1.7809999999999988</c:v>
                </c:pt>
                <c:pt idx="93">
                  <c:v>1.7627499999999987</c:v>
                </c:pt>
                <c:pt idx="94">
                  <c:v>1.7444999999999986</c:v>
                </c:pt>
                <c:pt idx="95">
                  <c:v>1.7262499999999985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C1-4510-961C-C10CE5FC7BB1}"/>
            </c:ext>
          </c:extLst>
        </c:ser>
        <c:ser>
          <c:idx val="8"/>
          <c:order val="8"/>
          <c:tx>
            <c:strRef>
              <c:f>Červenec!$K$1:$K$2</c:f>
              <c:strCache>
                <c:ptCount val="2"/>
                <c:pt idx="0">
                  <c:v>Soc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Červenec!$K$3:$K$98</c:f>
              <c:numCache>
                <c:formatCode>0%</c:formatCode>
                <c:ptCount val="96"/>
                <c:pt idx="0">
                  <c:v>0.74462916666666668</c:v>
                </c:pt>
                <c:pt idx="1">
                  <c:v>0.73925833333333324</c:v>
                </c:pt>
                <c:pt idx="2">
                  <c:v>0.73388749999999991</c:v>
                </c:pt>
                <c:pt idx="3">
                  <c:v>0.72851666666666648</c:v>
                </c:pt>
                <c:pt idx="4">
                  <c:v>0.72432638888888878</c:v>
                </c:pt>
                <c:pt idx="5">
                  <c:v>0.72013611111111098</c:v>
                </c:pt>
                <c:pt idx="6">
                  <c:v>0.71594583333333328</c:v>
                </c:pt>
                <c:pt idx="7">
                  <c:v>0.71175555555555547</c:v>
                </c:pt>
                <c:pt idx="8">
                  <c:v>0.70756527777777767</c:v>
                </c:pt>
                <c:pt idx="9">
                  <c:v>0.70337499999999997</c:v>
                </c:pt>
                <c:pt idx="10">
                  <c:v>0.70001805555555552</c:v>
                </c:pt>
                <c:pt idx="11">
                  <c:v>0.69666111111111095</c:v>
                </c:pt>
                <c:pt idx="12">
                  <c:v>0.6933041666666665</c:v>
                </c:pt>
                <c:pt idx="13">
                  <c:v>0.68994722222222205</c:v>
                </c:pt>
                <c:pt idx="14">
                  <c:v>0.68659027777777759</c:v>
                </c:pt>
                <c:pt idx="15">
                  <c:v>0.68323333333333314</c:v>
                </c:pt>
                <c:pt idx="16">
                  <c:v>0.67987638888888857</c:v>
                </c:pt>
                <c:pt idx="17">
                  <c:v>0.67651944444444412</c:v>
                </c:pt>
                <c:pt idx="18">
                  <c:v>0.67316249999999966</c:v>
                </c:pt>
                <c:pt idx="19">
                  <c:v>0.66980555555555521</c:v>
                </c:pt>
                <c:pt idx="20">
                  <c:v>0.66655972222222182</c:v>
                </c:pt>
                <c:pt idx="21">
                  <c:v>0.66353611111111077</c:v>
                </c:pt>
                <c:pt idx="22">
                  <c:v>0.66079027777777744</c:v>
                </c:pt>
                <c:pt idx="23">
                  <c:v>0.65843333333333298</c:v>
                </c:pt>
                <c:pt idx="24">
                  <c:v>0.65661944444444409</c:v>
                </c:pt>
                <c:pt idx="25">
                  <c:v>0.65550555555555512</c:v>
                </c:pt>
                <c:pt idx="26">
                  <c:v>0.65524166666666628</c:v>
                </c:pt>
                <c:pt idx="27">
                  <c:v>0.65342777777777727</c:v>
                </c:pt>
                <c:pt idx="28">
                  <c:v>0.64440416666666622</c:v>
                </c:pt>
                <c:pt idx="29">
                  <c:v>0.54504722222222168</c:v>
                </c:pt>
                <c:pt idx="30">
                  <c:v>0.46738472222222172</c:v>
                </c:pt>
                <c:pt idx="31">
                  <c:v>0.39491666666666614</c:v>
                </c:pt>
                <c:pt idx="32">
                  <c:v>0.32650416666666615</c:v>
                </c:pt>
                <c:pt idx="33">
                  <c:v>0.34419027777777728</c:v>
                </c:pt>
                <c:pt idx="34">
                  <c:v>0.36712638888888838</c:v>
                </c:pt>
                <c:pt idx="35">
                  <c:v>0.39616249999999953</c:v>
                </c:pt>
                <c:pt idx="36">
                  <c:v>0.43244861111111066</c:v>
                </c:pt>
                <c:pt idx="37">
                  <c:v>0.47668472222222169</c:v>
                </c:pt>
                <c:pt idx="38">
                  <c:v>0.52967083333333276</c:v>
                </c:pt>
                <c:pt idx="39">
                  <c:v>0.59220694444444377</c:v>
                </c:pt>
                <c:pt idx="40">
                  <c:v>0.66499305555555488</c:v>
                </c:pt>
                <c:pt idx="41">
                  <c:v>0.74847916666666592</c:v>
                </c:pt>
                <c:pt idx="42">
                  <c:v>0.84291527777777708</c:v>
                </c:pt>
                <c:pt idx="43">
                  <c:v>0.9</c:v>
                </c:pt>
                <c:pt idx="44">
                  <c:v>0.89807361111111117</c:v>
                </c:pt>
                <c:pt idx="45">
                  <c:v>0.89828765432098767</c:v>
                </c:pt>
                <c:pt idx="46">
                  <c:v>0.89826387174211253</c:v>
                </c:pt>
                <c:pt idx="47">
                  <c:v>0.89826651425087645</c:v>
                </c:pt>
                <c:pt idx="48">
                  <c:v>0.89826622063879158</c:v>
                </c:pt>
                <c:pt idx="49">
                  <c:v>0.89826625326235665</c:v>
                </c:pt>
                <c:pt idx="50">
                  <c:v>0.89826624963751589</c:v>
                </c:pt>
                <c:pt idx="51">
                  <c:v>0.89826625004027605</c:v>
                </c:pt>
                <c:pt idx="52">
                  <c:v>0.89826624999552496</c:v>
                </c:pt>
                <c:pt idx="53">
                  <c:v>0.8982662500004972</c:v>
                </c:pt>
                <c:pt idx="54">
                  <c:v>0.89826624999994475</c:v>
                </c:pt>
                <c:pt idx="55">
                  <c:v>0.89826625000000626</c:v>
                </c:pt>
                <c:pt idx="56">
                  <c:v>0.89826624999999927</c:v>
                </c:pt>
                <c:pt idx="57">
                  <c:v>0.89826625000000015</c:v>
                </c:pt>
                <c:pt idx="58">
                  <c:v>0.89826625000000004</c:v>
                </c:pt>
                <c:pt idx="59">
                  <c:v>0.89826625000000004</c:v>
                </c:pt>
                <c:pt idx="60">
                  <c:v>0.89826625000000004</c:v>
                </c:pt>
                <c:pt idx="61">
                  <c:v>0.89826625000000004</c:v>
                </c:pt>
                <c:pt idx="62">
                  <c:v>0.89826625000000004</c:v>
                </c:pt>
                <c:pt idx="63">
                  <c:v>0.89826625000000004</c:v>
                </c:pt>
                <c:pt idx="64">
                  <c:v>0.89826625000000004</c:v>
                </c:pt>
                <c:pt idx="65">
                  <c:v>0.89826625000000004</c:v>
                </c:pt>
                <c:pt idx="66">
                  <c:v>0.89826625000000004</c:v>
                </c:pt>
                <c:pt idx="67">
                  <c:v>0.89826625000000004</c:v>
                </c:pt>
                <c:pt idx="68">
                  <c:v>0.89826625000000004</c:v>
                </c:pt>
                <c:pt idx="69">
                  <c:v>0.89826625000000004</c:v>
                </c:pt>
                <c:pt idx="70">
                  <c:v>0.88874263888888905</c:v>
                </c:pt>
                <c:pt idx="71">
                  <c:v>0.83627458333333349</c:v>
                </c:pt>
                <c:pt idx="72">
                  <c:v>0.71791763888888904</c:v>
                </c:pt>
                <c:pt idx="73">
                  <c:v>0.59592180555555574</c:v>
                </c:pt>
                <c:pt idx="74">
                  <c:v>0.47356486111111123</c:v>
                </c:pt>
                <c:pt idx="75">
                  <c:v>0.34794402777777789</c:v>
                </c:pt>
                <c:pt idx="76">
                  <c:v>0.30432319444444456</c:v>
                </c:pt>
                <c:pt idx="77">
                  <c:v>0.25975791666666681</c:v>
                </c:pt>
                <c:pt idx="78">
                  <c:v>0.25608152777777793</c:v>
                </c:pt>
                <c:pt idx="79">
                  <c:v>0.25066902777777794</c:v>
                </c:pt>
                <c:pt idx="80">
                  <c:v>0.13722875000000018</c:v>
                </c:pt>
                <c:pt idx="81">
                  <c:v>9.9087499999999995E-2</c:v>
                </c:pt>
                <c:pt idx="82">
                  <c:v>9.8174999999999985E-2</c:v>
                </c:pt>
                <c:pt idx="83">
                  <c:v>9.7262499999999988E-2</c:v>
                </c:pt>
                <c:pt idx="84">
                  <c:v>9.6349999999999977E-2</c:v>
                </c:pt>
                <c:pt idx="85">
                  <c:v>9.5437499999999981E-2</c:v>
                </c:pt>
                <c:pt idx="86">
                  <c:v>9.452499999999997E-2</c:v>
                </c:pt>
                <c:pt idx="87">
                  <c:v>9.361249999999996E-2</c:v>
                </c:pt>
                <c:pt idx="88">
                  <c:v>9.2699999999999963E-2</c:v>
                </c:pt>
                <c:pt idx="89">
                  <c:v>9.1787499999999952E-2</c:v>
                </c:pt>
                <c:pt idx="90">
                  <c:v>9.0874999999999956E-2</c:v>
                </c:pt>
                <c:pt idx="91">
                  <c:v>8.9962499999999945E-2</c:v>
                </c:pt>
                <c:pt idx="92">
                  <c:v>8.9049999999999935E-2</c:v>
                </c:pt>
                <c:pt idx="93">
                  <c:v>8.8137499999999938E-2</c:v>
                </c:pt>
                <c:pt idx="94">
                  <c:v>8.7224999999999928E-2</c:v>
                </c:pt>
                <c:pt idx="95">
                  <c:v>8.6312499999999931E-2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C1-4510-961C-C10CE5FC7BB1}"/>
            </c:ext>
          </c:extLst>
        </c:ser>
        <c:ser>
          <c:idx val="9"/>
          <c:order val="9"/>
          <c:tx>
            <c:strRef>
              <c:f>Červenec!$L$1:$L$2</c:f>
              <c:strCache>
                <c:ptCount val="2"/>
                <c:pt idx="0">
                  <c:v>Nabíjení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Červenec!$L$3:$L$98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2.0250000000000021E-3</c:v>
                </c:pt>
                <c:pt idx="25">
                  <c:v>1.4625000000000004E-2</c:v>
                </c:pt>
                <c:pt idx="26">
                  <c:v>2.9925000000000004E-2</c:v>
                </c:pt>
                <c:pt idx="27">
                  <c:v>2.0250000000000021E-3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0.35302499999999998</c:v>
                </c:pt>
                <c:pt idx="34">
                  <c:v>0.44752500000000001</c:v>
                </c:pt>
                <c:pt idx="35">
                  <c:v>0.55732500000000007</c:v>
                </c:pt>
                <c:pt idx="36">
                  <c:v>0.68782500000000002</c:v>
                </c:pt>
                <c:pt idx="37">
                  <c:v>0.83092499999999991</c:v>
                </c:pt>
                <c:pt idx="38">
                  <c:v>0.98842500000000022</c:v>
                </c:pt>
                <c:pt idx="39">
                  <c:v>1.1603250000000001</c:v>
                </c:pt>
                <c:pt idx="40">
                  <c:v>1.3448250000000002</c:v>
                </c:pt>
                <c:pt idx="41">
                  <c:v>1.537425</c:v>
                </c:pt>
                <c:pt idx="42">
                  <c:v>1.7345250000000001</c:v>
                </c:pt>
                <c:pt idx="43">
                  <c:v>1.1416944444444574</c:v>
                </c:pt>
                <c:pt idx="44">
                  <c:v>0</c:v>
                </c:pt>
                <c:pt idx="45">
                  <c:v>3.8527777777776606E-2</c:v>
                </c:pt>
                <c:pt idx="46">
                  <c:v>3.4246913580247451E-2</c:v>
                </c:pt>
                <c:pt idx="47">
                  <c:v>3.4722565157750296E-2</c:v>
                </c:pt>
                <c:pt idx="48">
                  <c:v>3.4669714982470623E-2</c:v>
                </c:pt>
                <c:pt idx="49">
                  <c:v>3.467558722416797E-2</c:v>
                </c:pt>
                <c:pt idx="50">
                  <c:v>3.467493475286787E-2</c:v>
                </c:pt>
                <c:pt idx="51">
                  <c:v>3.4675007249681755E-2</c:v>
                </c:pt>
                <c:pt idx="52">
                  <c:v>3.4674999194479028E-2</c:v>
                </c:pt>
                <c:pt idx="53">
                  <c:v>3.4675000089499974E-2</c:v>
                </c:pt>
                <c:pt idx="54">
                  <c:v>3.4674999990055966E-2</c:v>
                </c:pt>
                <c:pt idx="55">
                  <c:v>3.4675000001104905E-2</c:v>
                </c:pt>
                <c:pt idx="56">
                  <c:v>3.4674999999875666E-2</c:v>
                </c:pt>
                <c:pt idx="57">
                  <c:v>3.4675000000014222E-2</c:v>
                </c:pt>
                <c:pt idx="58">
                  <c:v>3.4674999999996459E-2</c:v>
                </c:pt>
                <c:pt idx="59">
                  <c:v>3.4675000000000011E-2</c:v>
                </c:pt>
                <c:pt idx="60">
                  <c:v>3.4675000000000011E-2</c:v>
                </c:pt>
                <c:pt idx="61">
                  <c:v>3.4675000000000011E-2</c:v>
                </c:pt>
                <c:pt idx="62">
                  <c:v>3.4675000000000011E-2</c:v>
                </c:pt>
                <c:pt idx="63">
                  <c:v>3.4675000000000011E-2</c:v>
                </c:pt>
                <c:pt idx="64">
                  <c:v>3.4675000000000011E-2</c:v>
                </c:pt>
                <c:pt idx="65">
                  <c:v>3.4675000000000011E-2</c:v>
                </c:pt>
                <c:pt idx="66">
                  <c:v>3.4675000000000011E-2</c:v>
                </c:pt>
                <c:pt idx="67">
                  <c:v>3.4675000000000011E-2</c:v>
                </c:pt>
                <c:pt idx="68">
                  <c:v>3.4675000000000011E-2</c:v>
                </c:pt>
                <c:pt idx="69">
                  <c:v>3.4675000000000011E-2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C1-4510-961C-C10CE5FC7BB1}"/>
            </c:ext>
          </c:extLst>
        </c:ser>
        <c:ser>
          <c:idx val="10"/>
          <c:order val="10"/>
          <c:tx>
            <c:strRef>
              <c:f>Červenec!$M$1:$M$2</c:f>
              <c:strCache>
                <c:ptCount val="2"/>
                <c:pt idx="0">
                  <c:v>Nabíjení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Červenec!$M$3:$M$98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2.250000000000002E-3</c:v>
                </c:pt>
                <c:pt idx="25">
                  <c:v>1.6250000000000004E-2</c:v>
                </c:pt>
                <c:pt idx="26">
                  <c:v>3.3250000000000002E-2</c:v>
                </c:pt>
                <c:pt idx="27">
                  <c:v>2.250000000000002E-3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0.39224999999999999</c:v>
                </c:pt>
                <c:pt idx="34">
                  <c:v>0.49725000000000003</c:v>
                </c:pt>
                <c:pt idx="35">
                  <c:v>0.61925000000000008</c:v>
                </c:pt>
                <c:pt idx="36">
                  <c:v>0.76424999999999998</c:v>
                </c:pt>
                <c:pt idx="37">
                  <c:v>0.9232499999999999</c:v>
                </c:pt>
                <c:pt idx="38">
                  <c:v>1.0982500000000002</c:v>
                </c:pt>
                <c:pt idx="39">
                  <c:v>1.28925</c:v>
                </c:pt>
                <c:pt idx="40">
                  <c:v>1.4942500000000001</c:v>
                </c:pt>
                <c:pt idx="41">
                  <c:v>1.70825</c:v>
                </c:pt>
                <c:pt idx="42">
                  <c:v>1.9272500000000001</c:v>
                </c:pt>
                <c:pt idx="43">
                  <c:v>1.2685493827160639</c:v>
                </c:pt>
                <c:pt idx="44">
                  <c:v>0</c:v>
                </c:pt>
                <c:pt idx="45">
                  <c:v>4.2808641975307336E-2</c:v>
                </c:pt>
                <c:pt idx="46">
                  <c:v>3.8052126200274948E-2</c:v>
                </c:pt>
                <c:pt idx="47">
                  <c:v>3.8580627953055883E-2</c:v>
                </c:pt>
                <c:pt idx="48">
                  <c:v>3.8521905536078468E-2</c:v>
                </c:pt>
                <c:pt idx="49">
                  <c:v>3.852843024907552E-2</c:v>
                </c:pt>
                <c:pt idx="50">
                  <c:v>3.8527705280964296E-2</c:v>
                </c:pt>
                <c:pt idx="51">
                  <c:v>3.8527785832979729E-2</c:v>
                </c:pt>
                <c:pt idx="52">
                  <c:v>3.8527776882754473E-2</c:v>
                </c:pt>
                <c:pt idx="53">
                  <c:v>3.852777787722219E-2</c:v>
                </c:pt>
                <c:pt idx="54">
                  <c:v>3.8527777766728853E-2</c:v>
                </c:pt>
                <c:pt idx="55">
                  <c:v>3.852777777900545E-2</c:v>
                </c:pt>
                <c:pt idx="56">
                  <c:v>3.8527777777639625E-2</c:v>
                </c:pt>
                <c:pt idx="57">
                  <c:v>3.8527777777793579E-2</c:v>
                </c:pt>
                <c:pt idx="58">
                  <c:v>3.8527777777773844E-2</c:v>
                </c:pt>
                <c:pt idx="59">
                  <c:v>3.8527777777777793E-2</c:v>
                </c:pt>
                <c:pt idx="60">
                  <c:v>3.8527777777777793E-2</c:v>
                </c:pt>
                <c:pt idx="61">
                  <c:v>3.8527777777777793E-2</c:v>
                </c:pt>
                <c:pt idx="62">
                  <c:v>3.8527777777777793E-2</c:v>
                </c:pt>
                <c:pt idx="63">
                  <c:v>3.8527777777777793E-2</c:v>
                </c:pt>
                <c:pt idx="64">
                  <c:v>3.8527777777777793E-2</c:v>
                </c:pt>
                <c:pt idx="65">
                  <c:v>3.8527777777777793E-2</c:v>
                </c:pt>
                <c:pt idx="66">
                  <c:v>3.8527777777777793E-2</c:v>
                </c:pt>
                <c:pt idx="67">
                  <c:v>3.8527777777777793E-2</c:v>
                </c:pt>
                <c:pt idx="68">
                  <c:v>3.8527777777777793E-2</c:v>
                </c:pt>
                <c:pt idx="69">
                  <c:v>3.8527777777777793E-2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C1-4510-961C-C10CE5FC7BB1}"/>
            </c:ext>
          </c:extLst>
        </c:ser>
        <c:ser>
          <c:idx val="11"/>
          <c:order val="11"/>
          <c:tx>
            <c:strRef>
              <c:f>Červenec!$N$1:$N$2</c:f>
              <c:strCache>
                <c:ptCount val="2"/>
                <c:pt idx="0">
                  <c:v>Vybíjení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Červenec!$N$3:$N$98</c:f>
              <c:numCache>
                <c:formatCode>0.000</c:formatCode>
                <c:ptCount val="96"/>
                <c:pt idx="0">
                  <c:v>8.0250000000000002E-2</c:v>
                </c:pt>
                <c:pt idx="1">
                  <c:v>8.0250000000000002E-2</c:v>
                </c:pt>
                <c:pt idx="2">
                  <c:v>8.0250000000000002E-2</c:v>
                </c:pt>
                <c:pt idx="3">
                  <c:v>8.0250000000000002E-2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5.8999999999999997E-2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4.3999999999999997E-2</c:v>
                </c:pt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4.3999999999999997E-2</c:v>
                </c:pt>
                <c:pt idx="17">
                  <c:v>4.3999999999999997E-2</c:v>
                </c:pt>
                <c:pt idx="18">
                  <c:v>4.3999999999999997E-2</c:v>
                </c:pt>
                <c:pt idx="19">
                  <c:v>4.3999999999999997E-2</c:v>
                </c:pt>
                <c:pt idx="20">
                  <c:v>4.1999999999999996E-2</c:v>
                </c:pt>
                <c:pt idx="21">
                  <c:v>3.7999999999999992E-2</c:v>
                </c:pt>
                <c:pt idx="22">
                  <c:v>3.3000000000000002E-2</c:v>
                </c:pt>
                <c:pt idx="23">
                  <c:v>2.5999999999999999E-2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0.14599999999999996</c:v>
                </c:pt>
                <c:pt idx="29">
                  <c:v>1.7720000000000002</c:v>
                </c:pt>
                <c:pt idx="30">
                  <c:v>1.3815000000000002</c:v>
                </c:pt>
                <c:pt idx="31">
                  <c:v>1.2880000000000003</c:v>
                </c:pt>
                <c:pt idx="32">
                  <c:v>1.2150000000000001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0.15499999999999997</c:v>
                </c:pt>
                <c:pt idx="71">
                  <c:v>0.92799999999999994</c:v>
                </c:pt>
                <c:pt idx="72">
                  <c:v>2.1139999999999999</c:v>
                </c:pt>
                <c:pt idx="73">
                  <c:v>2.1795000000000004</c:v>
                </c:pt>
                <c:pt idx="74">
                  <c:v>2.1860000000000004</c:v>
                </c:pt>
                <c:pt idx="75">
                  <c:v>2.2447499999999998</c:v>
                </c:pt>
                <c:pt idx="76">
                  <c:v>0.76874999999999993</c:v>
                </c:pt>
                <c:pt idx="77">
                  <c:v>0.78574999999999995</c:v>
                </c:pt>
                <c:pt idx="78">
                  <c:v>4.9750000000000003E-2</c:v>
                </c:pt>
                <c:pt idx="79">
                  <c:v>8.1000000000000003E-2</c:v>
                </c:pt>
                <c:pt idx="80">
                  <c:v>2.0254999999999996</c:v>
                </c:pt>
                <c:pt idx="81">
                  <c:v>0.6905</c:v>
                </c:pt>
                <c:pt idx="82">
                  <c:v>0.15949999999999998</c:v>
                </c:pt>
                <c:pt idx="83">
                  <c:v>0.9634999999999998</c:v>
                </c:pt>
                <c:pt idx="84">
                  <c:v>0.17274999999999999</c:v>
                </c:pt>
                <c:pt idx="85">
                  <c:v>0.72275</c:v>
                </c:pt>
                <c:pt idx="86">
                  <c:v>0.9087499999999995</c:v>
                </c:pt>
                <c:pt idx="87">
                  <c:v>0.71024999999999994</c:v>
                </c:pt>
                <c:pt idx="88">
                  <c:v>0.71024999999999994</c:v>
                </c:pt>
                <c:pt idx="89">
                  <c:v>0.8539999999999992</c:v>
                </c:pt>
                <c:pt idx="90">
                  <c:v>0.14274999999999999</c:v>
                </c:pt>
                <c:pt idx="91">
                  <c:v>0.81749999999999901</c:v>
                </c:pt>
                <c:pt idx="92">
                  <c:v>0.18774999999999997</c:v>
                </c:pt>
                <c:pt idx="93">
                  <c:v>0.18274999999999997</c:v>
                </c:pt>
                <c:pt idx="94">
                  <c:v>0.13275000000000001</c:v>
                </c:pt>
                <c:pt idx="95">
                  <c:v>7.0250000000000007E-2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C1-4510-961C-C10CE5FC7BB1}"/>
            </c:ext>
          </c:extLst>
        </c:ser>
        <c:ser>
          <c:idx val="12"/>
          <c:order val="12"/>
          <c:tx>
            <c:strRef>
              <c:f>Červenec!$O$1:$O$2</c:f>
              <c:strCache>
                <c:ptCount val="2"/>
                <c:pt idx="0">
                  <c:v>Vybíjení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Červenec!$O$3:$O$98</c:f>
              <c:numCache>
                <c:formatCode>0.000</c:formatCode>
                <c:ptCount val="96"/>
                <c:pt idx="0">
                  <c:v>8.9166666666666672E-2</c:v>
                </c:pt>
                <c:pt idx="1">
                  <c:v>8.9166666666666672E-2</c:v>
                </c:pt>
                <c:pt idx="2">
                  <c:v>8.9166666666666672E-2</c:v>
                </c:pt>
                <c:pt idx="3">
                  <c:v>8.9166666666666672E-2</c:v>
                </c:pt>
                <c:pt idx="4">
                  <c:v>6.5555555555555547E-2</c:v>
                </c:pt>
                <c:pt idx="5">
                  <c:v>6.5555555555555547E-2</c:v>
                </c:pt>
                <c:pt idx="6">
                  <c:v>6.5555555555555547E-2</c:v>
                </c:pt>
                <c:pt idx="7">
                  <c:v>6.5555555555555547E-2</c:v>
                </c:pt>
                <c:pt idx="8">
                  <c:v>6.5555555555555547E-2</c:v>
                </c:pt>
                <c:pt idx="9">
                  <c:v>6.5555555555555547E-2</c:v>
                </c:pt>
                <c:pt idx="10">
                  <c:v>4.8888888888888885E-2</c:v>
                </c:pt>
                <c:pt idx="11">
                  <c:v>4.8888888888888885E-2</c:v>
                </c:pt>
                <c:pt idx="12">
                  <c:v>4.8888888888888885E-2</c:v>
                </c:pt>
                <c:pt idx="13">
                  <c:v>4.8888888888888885E-2</c:v>
                </c:pt>
                <c:pt idx="14">
                  <c:v>4.8888888888888885E-2</c:v>
                </c:pt>
                <c:pt idx="15">
                  <c:v>4.8888888888888885E-2</c:v>
                </c:pt>
                <c:pt idx="16">
                  <c:v>4.8888888888888885E-2</c:v>
                </c:pt>
                <c:pt idx="17">
                  <c:v>4.8888888888888885E-2</c:v>
                </c:pt>
                <c:pt idx="18">
                  <c:v>4.8888888888888885E-2</c:v>
                </c:pt>
                <c:pt idx="19">
                  <c:v>4.8888888888888885E-2</c:v>
                </c:pt>
                <c:pt idx="20">
                  <c:v>4.6666666666666662E-2</c:v>
                </c:pt>
                <c:pt idx="21">
                  <c:v>4.222222222222221E-2</c:v>
                </c:pt>
                <c:pt idx="22">
                  <c:v>3.6666666666666667E-2</c:v>
                </c:pt>
                <c:pt idx="23">
                  <c:v>2.8888888888888888E-2</c:v>
                </c:pt>
                <c:pt idx="24">
                  <c:v>2.0277777777777777E-2</c:v>
                </c:pt>
                <c:pt idx="25">
                  <c:v>2.0277777777777777E-2</c:v>
                </c:pt>
                <c:pt idx="26">
                  <c:v>2.0277777777777777E-2</c:v>
                </c:pt>
                <c:pt idx="27">
                  <c:v>2.0277777777777777E-2</c:v>
                </c:pt>
                <c:pt idx="28">
                  <c:v>0.16222222222222218</c:v>
                </c:pt>
                <c:pt idx="29">
                  <c:v>1.9688888888888891</c:v>
                </c:pt>
                <c:pt idx="30">
                  <c:v>1.5350000000000001</c:v>
                </c:pt>
                <c:pt idx="31">
                  <c:v>1.4311111111111114</c:v>
                </c:pt>
                <c:pt idx="32">
                  <c:v>1.35</c:v>
                </c:pt>
                <c:pt idx="33">
                  <c:v>2.0277777777777777E-2</c:v>
                </c:pt>
                <c:pt idx="34">
                  <c:v>2.0277777777777777E-2</c:v>
                </c:pt>
                <c:pt idx="35">
                  <c:v>2.0277777777777777E-2</c:v>
                </c:pt>
                <c:pt idx="36">
                  <c:v>2.0277777777777777E-2</c:v>
                </c:pt>
                <c:pt idx="37">
                  <c:v>2.0277777777777777E-2</c:v>
                </c:pt>
                <c:pt idx="38">
                  <c:v>2.0277777777777777E-2</c:v>
                </c:pt>
                <c:pt idx="39">
                  <c:v>2.0277777777777777E-2</c:v>
                </c:pt>
                <c:pt idx="40">
                  <c:v>2.0277777777777777E-2</c:v>
                </c:pt>
                <c:pt idx="41">
                  <c:v>2.0277777777777777E-2</c:v>
                </c:pt>
                <c:pt idx="42">
                  <c:v>2.0277777777777777E-2</c:v>
                </c:pt>
                <c:pt idx="43">
                  <c:v>2.0277777777777777E-2</c:v>
                </c:pt>
                <c:pt idx="44">
                  <c:v>2.0277777777777777E-2</c:v>
                </c:pt>
                <c:pt idx="45">
                  <c:v>2.0277777777777777E-2</c:v>
                </c:pt>
                <c:pt idx="46">
                  <c:v>2.0277777777777777E-2</c:v>
                </c:pt>
                <c:pt idx="47">
                  <c:v>2.0277777777777777E-2</c:v>
                </c:pt>
                <c:pt idx="48">
                  <c:v>2.0277777777777777E-2</c:v>
                </c:pt>
                <c:pt idx="49">
                  <c:v>2.0277777777777777E-2</c:v>
                </c:pt>
                <c:pt idx="50">
                  <c:v>2.0277777777777777E-2</c:v>
                </c:pt>
                <c:pt idx="51">
                  <c:v>2.0277777777777777E-2</c:v>
                </c:pt>
                <c:pt idx="52">
                  <c:v>2.0277777777777777E-2</c:v>
                </c:pt>
                <c:pt idx="53">
                  <c:v>2.0277777777777777E-2</c:v>
                </c:pt>
                <c:pt idx="54">
                  <c:v>2.0277777777777777E-2</c:v>
                </c:pt>
                <c:pt idx="55">
                  <c:v>2.0277777777777777E-2</c:v>
                </c:pt>
                <c:pt idx="56">
                  <c:v>2.0277777777777777E-2</c:v>
                </c:pt>
                <c:pt idx="57">
                  <c:v>2.0277777777777777E-2</c:v>
                </c:pt>
                <c:pt idx="58">
                  <c:v>2.0277777777777777E-2</c:v>
                </c:pt>
                <c:pt idx="59">
                  <c:v>2.0277777777777777E-2</c:v>
                </c:pt>
                <c:pt idx="60">
                  <c:v>2.0277777777777777E-2</c:v>
                </c:pt>
                <c:pt idx="61">
                  <c:v>2.0277777777777777E-2</c:v>
                </c:pt>
                <c:pt idx="62">
                  <c:v>2.0277777777777777E-2</c:v>
                </c:pt>
                <c:pt idx="63">
                  <c:v>2.0277777777777777E-2</c:v>
                </c:pt>
                <c:pt idx="64">
                  <c:v>2.0277777777777777E-2</c:v>
                </c:pt>
                <c:pt idx="65">
                  <c:v>2.0277777777777777E-2</c:v>
                </c:pt>
                <c:pt idx="66">
                  <c:v>2.0277777777777777E-2</c:v>
                </c:pt>
                <c:pt idx="67">
                  <c:v>2.0277777777777777E-2</c:v>
                </c:pt>
                <c:pt idx="68">
                  <c:v>2.0277777777777777E-2</c:v>
                </c:pt>
                <c:pt idx="69">
                  <c:v>2.0277777777777777E-2</c:v>
                </c:pt>
                <c:pt idx="70">
                  <c:v>0.17222222222222219</c:v>
                </c:pt>
                <c:pt idx="71">
                  <c:v>1.0311111111111111</c:v>
                </c:pt>
                <c:pt idx="72">
                  <c:v>2.3488888888888888</c:v>
                </c:pt>
                <c:pt idx="73">
                  <c:v>2.4216666666666673</c:v>
                </c:pt>
                <c:pt idx="74">
                  <c:v>2.4288888888888893</c:v>
                </c:pt>
                <c:pt idx="75">
                  <c:v>2.4941666666666662</c:v>
                </c:pt>
                <c:pt idx="76">
                  <c:v>0.85416666666666652</c:v>
                </c:pt>
                <c:pt idx="77">
                  <c:v>0.87305555555555547</c:v>
                </c:pt>
                <c:pt idx="78">
                  <c:v>5.527777777777778E-2</c:v>
                </c:pt>
                <c:pt idx="79">
                  <c:v>0.09</c:v>
                </c:pt>
                <c:pt idx="80">
                  <c:v>2.2505555555555552</c:v>
                </c:pt>
                <c:pt idx="81">
                  <c:v>0.76722222222222225</c:v>
                </c:pt>
                <c:pt idx="82">
                  <c:v>0.1772222222222222</c:v>
                </c:pt>
                <c:pt idx="83">
                  <c:v>1.0705555555555553</c:v>
                </c:pt>
                <c:pt idx="84">
                  <c:v>0.19194444444444442</c:v>
                </c:pt>
                <c:pt idx="85">
                  <c:v>0.80305555555555552</c:v>
                </c:pt>
                <c:pt idx="86">
                  <c:v>1.0097222222222217</c:v>
                </c:pt>
                <c:pt idx="87">
                  <c:v>0.78916666666666657</c:v>
                </c:pt>
                <c:pt idx="88">
                  <c:v>0.78916666666666657</c:v>
                </c:pt>
                <c:pt idx="89">
                  <c:v>0.948888888888888</c:v>
                </c:pt>
                <c:pt idx="90">
                  <c:v>0.15861111111111109</c:v>
                </c:pt>
                <c:pt idx="91">
                  <c:v>0.90833333333333222</c:v>
                </c:pt>
                <c:pt idx="92">
                  <c:v>0.20861111111111108</c:v>
                </c:pt>
                <c:pt idx="93">
                  <c:v>0.20305555555555552</c:v>
                </c:pt>
                <c:pt idx="94">
                  <c:v>0.14749999999999999</c:v>
                </c:pt>
                <c:pt idx="95">
                  <c:v>7.8055555555555559E-2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C1-4510-961C-C10CE5FC7BB1}"/>
            </c:ext>
          </c:extLst>
        </c:ser>
        <c:ser>
          <c:idx val="13"/>
          <c:order val="13"/>
          <c:tx>
            <c:strRef>
              <c:f>Červenec!$P$1:$P$2</c:f>
              <c:strCache>
                <c:ptCount val="2"/>
                <c:pt idx="0">
                  <c:v>Vlastní 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Červenec!$P$3:$P$98</c:f>
              <c:numCache>
                <c:formatCode>0.000</c:formatCode>
                <c:ptCount val="96"/>
                <c:pt idx="0">
                  <c:v>1.8249999999999999E-2</c:v>
                </c:pt>
                <c:pt idx="1">
                  <c:v>1.8249999999999999E-2</c:v>
                </c:pt>
                <c:pt idx="2">
                  <c:v>1.8249999999999999E-2</c:v>
                </c:pt>
                <c:pt idx="3">
                  <c:v>1.8249999999999999E-2</c:v>
                </c:pt>
                <c:pt idx="4">
                  <c:v>1.8249999999999999E-2</c:v>
                </c:pt>
                <c:pt idx="5">
                  <c:v>1.8249999999999999E-2</c:v>
                </c:pt>
                <c:pt idx="6">
                  <c:v>1.8249999999999999E-2</c:v>
                </c:pt>
                <c:pt idx="7">
                  <c:v>1.8249999999999999E-2</c:v>
                </c:pt>
                <c:pt idx="8">
                  <c:v>1.8249999999999999E-2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1.8249999999999999E-2</c:v>
                </c:pt>
                <c:pt idx="18">
                  <c:v>1.8249999999999999E-2</c:v>
                </c:pt>
                <c:pt idx="19">
                  <c:v>1.8249999999999999E-2</c:v>
                </c:pt>
                <c:pt idx="20">
                  <c:v>1.8249999999999999E-2</c:v>
                </c:pt>
                <c:pt idx="21">
                  <c:v>1.8249999999999999E-2</c:v>
                </c:pt>
                <c:pt idx="22">
                  <c:v>1.8249999999999999E-2</c:v>
                </c:pt>
                <c:pt idx="23">
                  <c:v>1.8249999999999999E-2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1.8249999999999999E-2</c:v>
                </c:pt>
                <c:pt idx="29">
                  <c:v>1.8249999999999999E-2</c:v>
                </c:pt>
                <c:pt idx="30">
                  <c:v>1.8249999999999999E-2</c:v>
                </c:pt>
                <c:pt idx="31">
                  <c:v>1.8249999999999999E-2</c:v>
                </c:pt>
                <c:pt idx="32">
                  <c:v>1.8249999999999999E-2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1.8249999999999999E-2</c:v>
                </c:pt>
                <c:pt idx="71">
                  <c:v>1.8249999999999999E-2</c:v>
                </c:pt>
                <c:pt idx="72">
                  <c:v>1.8249999999999999E-2</c:v>
                </c:pt>
                <c:pt idx="73">
                  <c:v>1.8249999999999999E-2</c:v>
                </c:pt>
                <c:pt idx="74">
                  <c:v>1.8249999999999999E-2</c:v>
                </c:pt>
                <c:pt idx="75">
                  <c:v>1.8249999999999999E-2</c:v>
                </c:pt>
                <c:pt idx="76">
                  <c:v>1.8249999999999999E-2</c:v>
                </c:pt>
                <c:pt idx="77">
                  <c:v>1.8249999999999999E-2</c:v>
                </c:pt>
                <c:pt idx="78">
                  <c:v>1.8249999999999999E-2</c:v>
                </c:pt>
                <c:pt idx="79">
                  <c:v>1.8249999999999999E-2</c:v>
                </c:pt>
                <c:pt idx="80">
                  <c:v>1.8249999999999999E-2</c:v>
                </c:pt>
                <c:pt idx="81">
                  <c:v>1.8249999999999999E-2</c:v>
                </c:pt>
                <c:pt idx="82">
                  <c:v>1.8249999999999999E-2</c:v>
                </c:pt>
                <c:pt idx="83">
                  <c:v>1.8249999999999999E-2</c:v>
                </c:pt>
                <c:pt idx="84">
                  <c:v>1.8249999999999999E-2</c:v>
                </c:pt>
                <c:pt idx="85">
                  <c:v>1.8249999999999999E-2</c:v>
                </c:pt>
                <c:pt idx="86">
                  <c:v>1.8249999999999999E-2</c:v>
                </c:pt>
                <c:pt idx="87">
                  <c:v>1.8249999999999999E-2</c:v>
                </c:pt>
                <c:pt idx="88">
                  <c:v>1.8249999999999999E-2</c:v>
                </c:pt>
                <c:pt idx="89">
                  <c:v>1.8249999999999999E-2</c:v>
                </c:pt>
                <c:pt idx="90">
                  <c:v>1.8249999999999999E-2</c:v>
                </c:pt>
                <c:pt idx="91">
                  <c:v>1.8249999999999999E-2</c:v>
                </c:pt>
                <c:pt idx="92">
                  <c:v>1.8249999999999999E-2</c:v>
                </c:pt>
                <c:pt idx="93">
                  <c:v>1.8249999999999999E-2</c:v>
                </c:pt>
                <c:pt idx="94">
                  <c:v>1.8249999999999999E-2</c:v>
                </c:pt>
                <c:pt idx="95">
                  <c:v>1.8249999999999999E-2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C1-4510-961C-C10CE5FC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Červenec!$C$1:$C$2</c:f>
              <c:strCache>
                <c:ptCount val="2"/>
                <c:pt idx="0">
                  <c:v>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Červenec!$C$3:$C$98</c:f>
              <c:numCache>
                <c:formatCode>0.000</c:formatCode>
                <c:ptCount val="96"/>
                <c:pt idx="0">
                  <c:v>6.2E-2</c:v>
                </c:pt>
                <c:pt idx="1">
                  <c:v>6.2E-2</c:v>
                </c:pt>
                <c:pt idx="2">
                  <c:v>6.2E-2</c:v>
                </c:pt>
                <c:pt idx="3">
                  <c:v>6.2E-2</c:v>
                </c:pt>
                <c:pt idx="4">
                  <c:v>4.0749999999999995E-2</c:v>
                </c:pt>
                <c:pt idx="5">
                  <c:v>4.0749999999999995E-2</c:v>
                </c:pt>
                <c:pt idx="6">
                  <c:v>4.0749999999999995E-2</c:v>
                </c:pt>
                <c:pt idx="7">
                  <c:v>4.0749999999999995E-2</c:v>
                </c:pt>
                <c:pt idx="8">
                  <c:v>4.0749999999999995E-2</c:v>
                </c:pt>
                <c:pt idx="9">
                  <c:v>4.0749999999999995E-2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2.5749999999999999E-2</c:v>
                </c:pt>
                <c:pt idx="18">
                  <c:v>2.5749999999999999E-2</c:v>
                </c:pt>
                <c:pt idx="19">
                  <c:v>2.5749999999999999E-2</c:v>
                </c:pt>
                <c:pt idx="20">
                  <c:v>2.5749999999999999E-2</c:v>
                </c:pt>
                <c:pt idx="21">
                  <c:v>2.5749999999999999E-2</c:v>
                </c:pt>
                <c:pt idx="22">
                  <c:v>2.5749999999999999E-2</c:v>
                </c:pt>
                <c:pt idx="23">
                  <c:v>2.5749999999999999E-2</c:v>
                </c:pt>
                <c:pt idx="24">
                  <c:v>2.5749999999999999E-2</c:v>
                </c:pt>
                <c:pt idx="25">
                  <c:v>2.5749999999999999E-2</c:v>
                </c:pt>
                <c:pt idx="26">
                  <c:v>2.5749999999999999E-2</c:v>
                </c:pt>
                <c:pt idx="27">
                  <c:v>8.0750000000000002E-2</c:v>
                </c:pt>
                <c:pt idx="28">
                  <c:v>0.24074999999999999</c:v>
                </c:pt>
                <c:pt idx="29">
                  <c:v>1.9057500000000001</c:v>
                </c:pt>
                <c:pt idx="30">
                  <c:v>1.56325</c:v>
                </c:pt>
                <c:pt idx="31">
                  <c:v>1.5307500000000001</c:v>
                </c:pt>
                <c:pt idx="32">
                  <c:v>1.5307500000000001</c:v>
                </c:pt>
                <c:pt idx="33">
                  <c:v>3.075E-2</c:v>
                </c:pt>
                <c:pt idx="34">
                  <c:v>3.075E-2</c:v>
                </c:pt>
                <c:pt idx="35">
                  <c:v>3.075E-2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2.5749999999999999E-2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2.5749999999999999E-2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5.0750000000000003E-2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7.2000000000000008E-2</c:v>
                </c:pt>
                <c:pt idx="64">
                  <c:v>7.2000000000000008E-2</c:v>
                </c:pt>
                <c:pt idx="65">
                  <c:v>5.4500000000000007E-2</c:v>
                </c:pt>
                <c:pt idx="66">
                  <c:v>6.9499999999999992E-2</c:v>
                </c:pt>
                <c:pt idx="67">
                  <c:v>6.9499999999999992E-2</c:v>
                </c:pt>
                <c:pt idx="68">
                  <c:v>9.4500000000000001E-2</c:v>
                </c:pt>
                <c:pt idx="69">
                  <c:v>0.11700000000000001</c:v>
                </c:pt>
                <c:pt idx="70">
                  <c:v>0.47075</c:v>
                </c:pt>
                <c:pt idx="71">
                  <c:v>1.17075</c:v>
                </c:pt>
                <c:pt idx="72">
                  <c:v>2.29575</c:v>
                </c:pt>
                <c:pt idx="73">
                  <c:v>2.3132500000000005</c:v>
                </c:pt>
                <c:pt idx="74">
                  <c:v>2.2807500000000003</c:v>
                </c:pt>
                <c:pt idx="75">
                  <c:v>2.3094999999999999</c:v>
                </c:pt>
                <c:pt idx="76">
                  <c:v>0.8095</c:v>
                </c:pt>
                <c:pt idx="77">
                  <c:v>0.8095</c:v>
                </c:pt>
                <c:pt idx="78">
                  <c:v>5.9499999999999997E-2</c:v>
                </c:pt>
                <c:pt idx="79">
                  <c:v>8.0750000000000002E-2</c:v>
                </c:pt>
                <c:pt idx="80">
                  <c:v>2.0182499999999997</c:v>
                </c:pt>
                <c:pt idx="81">
                  <c:v>0.67825000000000002</c:v>
                </c:pt>
                <c:pt idx="82">
                  <c:v>0.14324999999999999</c:v>
                </c:pt>
                <c:pt idx="83">
                  <c:v>1.6432499999999999</c:v>
                </c:pt>
                <c:pt idx="84">
                  <c:v>0.1545</c:v>
                </c:pt>
                <c:pt idx="85">
                  <c:v>0.70450000000000002</c:v>
                </c:pt>
                <c:pt idx="86">
                  <c:v>2.2094999999999998</c:v>
                </c:pt>
                <c:pt idx="87">
                  <c:v>0.69199999999999995</c:v>
                </c:pt>
                <c:pt idx="88">
                  <c:v>0.69199999999999995</c:v>
                </c:pt>
                <c:pt idx="89">
                  <c:v>2.1894999999999998</c:v>
                </c:pt>
                <c:pt idx="90">
                  <c:v>0.1245</c:v>
                </c:pt>
                <c:pt idx="91">
                  <c:v>1.6245000000000001</c:v>
                </c:pt>
                <c:pt idx="92">
                  <c:v>0.16949999999999998</c:v>
                </c:pt>
                <c:pt idx="93">
                  <c:v>0.16449999999999998</c:v>
                </c:pt>
                <c:pt idx="94">
                  <c:v>0.1145</c:v>
                </c:pt>
                <c:pt idx="95">
                  <c:v>5.2000000000000005E-2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B-49CE-989B-994F9F0C9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AB-49CE-989B-994F9F0C9BC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8AB-49CE-989B-994F9F0C9BC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AB-49CE-989B-994F9F0C9BC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AB-49CE-989B-994F9F0C9BC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AB-49CE-989B-994F9F0C9BC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AB-49CE-989B-994F9F0C9BC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AB-49CE-989B-994F9F0C9BC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AB-49CE-989B-994F9F0C9BC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AB-49CE-989B-994F9F0C9BC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8AB-49CE-989B-994F9F0C9BC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8AB-49CE-989B-994F9F0C9BC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8AB-49CE-989B-994F9F0C9BC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8AB-49CE-989B-994F9F0C9BCE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Červenec!$D$1:$D$2</c:f>
              <c:strCache>
                <c:ptCount val="2"/>
                <c:pt idx="0">
                  <c:v>Přímá vlastní spotřeba z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Červenec!$D$3:$D$98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6.0000000000000001E-3</c:v>
                </c:pt>
                <c:pt idx="22">
                  <c:v>1.0999999999999999E-2</c:v>
                </c:pt>
                <c:pt idx="23">
                  <c:v>1.7999999999999999E-2</c:v>
                </c:pt>
                <c:pt idx="24">
                  <c:v>2.5749999999999999E-2</c:v>
                </c:pt>
                <c:pt idx="25">
                  <c:v>2.5749999999999999E-2</c:v>
                </c:pt>
                <c:pt idx="26">
                  <c:v>2.5749999999999999E-2</c:v>
                </c:pt>
                <c:pt idx="27">
                  <c:v>8.0750000000000002E-2</c:v>
                </c:pt>
                <c:pt idx="28">
                  <c:v>0.113</c:v>
                </c:pt>
                <c:pt idx="29">
                  <c:v>0.152</c:v>
                </c:pt>
                <c:pt idx="30">
                  <c:v>0.2</c:v>
                </c:pt>
                <c:pt idx="31">
                  <c:v>0.26100000000000001</c:v>
                </c:pt>
                <c:pt idx="32">
                  <c:v>0.33400000000000002</c:v>
                </c:pt>
                <c:pt idx="33">
                  <c:v>3.075E-2</c:v>
                </c:pt>
                <c:pt idx="34">
                  <c:v>3.075E-2</c:v>
                </c:pt>
                <c:pt idx="35">
                  <c:v>3.075E-2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2.5749999999999999E-2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2.5749999999999999E-2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5.0750000000000003E-2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7.2000000000000008E-2</c:v>
                </c:pt>
                <c:pt idx="64">
                  <c:v>7.2000000000000008E-2</c:v>
                </c:pt>
                <c:pt idx="65">
                  <c:v>5.4500000000000007E-2</c:v>
                </c:pt>
                <c:pt idx="66">
                  <c:v>6.9499999999999992E-2</c:v>
                </c:pt>
                <c:pt idx="67">
                  <c:v>6.9499999999999992E-2</c:v>
                </c:pt>
                <c:pt idx="68">
                  <c:v>9.4500000000000001E-2</c:v>
                </c:pt>
                <c:pt idx="69">
                  <c:v>0.11700000000000001</c:v>
                </c:pt>
                <c:pt idx="70">
                  <c:v>0.33400000000000002</c:v>
                </c:pt>
                <c:pt idx="71">
                  <c:v>0.26100000000000001</c:v>
                </c:pt>
                <c:pt idx="72">
                  <c:v>0.2</c:v>
                </c:pt>
                <c:pt idx="73">
                  <c:v>0.152</c:v>
                </c:pt>
                <c:pt idx="74">
                  <c:v>0.113</c:v>
                </c:pt>
                <c:pt idx="75">
                  <c:v>8.3000000000000004E-2</c:v>
                </c:pt>
                <c:pt idx="76">
                  <c:v>5.8999999999999997E-2</c:v>
                </c:pt>
                <c:pt idx="77">
                  <c:v>4.2000000000000003E-2</c:v>
                </c:pt>
                <c:pt idx="78">
                  <c:v>2.8000000000000001E-2</c:v>
                </c:pt>
                <c:pt idx="79">
                  <c:v>1.7999999999999999E-2</c:v>
                </c:pt>
                <c:pt idx="80">
                  <c:v>1.0999999999999999E-2</c:v>
                </c:pt>
                <c:pt idx="81">
                  <c:v>6.0000000000000001E-3</c:v>
                </c:pt>
                <c:pt idx="82">
                  <c:v>2E-3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9-43EF-A117-782A8FA3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469-43EF-A117-782A8FA33E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69-43EF-A117-782A8FA33E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69-43EF-A117-782A8FA33E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69-43EF-A117-782A8FA33E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69-43EF-A117-782A8FA33E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69-43EF-A117-782A8FA33E0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69-43EF-A117-782A8FA33E0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69-43EF-A117-782A8FA33E0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69-43EF-A117-782A8FA33E0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469-43EF-A117-782A8FA33E0F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469-43EF-A117-782A8FA33E0F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469-43EF-A117-782A8FA33E0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469-43EF-A117-782A8FA33E0F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Červenec!$E$1:$E$2</c:f>
              <c:strCache>
                <c:ptCount val="2"/>
                <c:pt idx="0">
                  <c:v>Výroba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Červenec!$E$3:$E$98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6.0000000000000001E-3</c:v>
                </c:pt>
                <c:pt idx="22">
                  <c:v>1.0999999999999999E-2</c:v>
                </c:pt>
                <c:pt idx="23">
                  <c:v>1.7999999999999999E-2</c:v>
                </c:pt>
                <c:pt idx="24">
                  <c:v>2.8000000000000001E-2</c:v>
                </c:pt>
                <c:pt idx="25">
                  <c:v>4.2000000000000003E-2</c:v>
                </c:pt>
                <c:pt idx="26">
                  <c:v>5.8999999999999997E-2</c:v>
                </c:pt>
                <c:pt idx="27">
                  <c:v>8.3000000000000004E-2</c:v>
                </c:pt>
                <c:pt idx="28">
                  <c:v>0.113</c:v>
                </c:pt>
                <c:pt idx="29">
                  <c:v>0.152</c:v>
                </c:pt>
                <c:pt idx="30">
                  <c:v>0.2</c:v>
                </c:pt>
                <c:pt idx="31">
                  <c:v>0.26100000000000001</c:v>
                </c:pt>
                <c:pt idx="32">
                  <c:v>0.33400000000000002</c:v>
                </c:pt>
                <c:pt idx="33">
                  <c:v>0.42299999999999999</c:v>
                </c:pt>
                <c:pt idx="34">
                  <c:v>0.52800000000000002</c:v>
                </c:pt>
                <c:pt idx="35">
                  <c:v>0.65</c:v>
                </c:pt>
                <c:pt idx="36">
                  <c:v>0.79</c:v>
                </c:pt>
                <c:pt idx="37">
                  <c:v>0.94899999999999995</c:v>
                </c:pt>
                <c:pt idx="38">
                  <c:v>1.1240000000000001</c:v>
                </c:pt>
                <c:pt idx="39">
                  <c:v>1.3149999999999999</c:v>
                </c:pt>
                <c:pt idx="40">
                  <c:v>1.52</c:v>
                </c:pt>
                <c:pt idx="41">
                  <c:v>1.734</c:v>
                </c:pt>
                <c:pt idx="42">
                  <c:v>1.9530000000000001</c:v>
                </c:pt>
                <c:pt idx="43">
                  <c:v>2.173</c:v>
                </c:pt>
                <c:pt idx="44">
                  <c:v>2.387</c:v>
                </c:pt>
                <c:pt idx="45">
                  <c:v>2.589</c:v>
                </c:pt>
                <c:pt idx="46">
                  <c:v>2.774</c:v>
                </c:pt>
                <c:pt idx="47">
                  <c:v>2.9350000000000001</c:v>
                </c:pt>
                <c:pt idx="48">
                  <c:v>3.0659999999999998</c:v>
                </c:pt>
                <c:pt idx="49">
                  <c:v>3.1640000000000001</c:v>
                </c:pt>
                <c:pt idx="50">
                  <c:v>3.2240000000000002</c:v>
                </c:pt>
                <c:pt idx="51">
                  <c:v>3.2440000000000002</c:v>
                </c:pt>
                <c:pt idx="52">
                  <c:v>3.2240000000000002</c:v>
                </c:pt>
                <c:pt idx="53">
                  <c:v>3.1640000000000001</c:v>
                </c:pt>
                <c:pt idx="54">
                  <c:v>3.0659999999999998</c:v>
                </c:pt>
                <c:pt idx="55">
                  <c:v>2.9350000000000001</c:v>
                </c:pt>
                <c:pt idx="56">
                  <c:v>2.774</c:v>
                </c:pt>
                <c:pt idx="57">
                  <c:v>2.589</c:v>
                </c:pt>
                <c:pt idx="58">
                  <c:v>2.387</c:v>
                </c:pt>
                <c:pt idx="59">
                  <c:v>2.173</c:v>
                </c:pt>
                <c:pt idx="60">
                  <c:v>1.9530000000000001</c:v>
                </c:pt>
                <c:pt idx="61">
                  <c:v>1.734</c:v>
                </c:pt>
                <c:pt idx="62">
                  <c:v>1.52</c:v>
                </c:pt>
                <c:pt idx="63">
                  <c:v>1.3149999999999999</c:v>
                </c:pt>
                <c:pt idx="64">
                  <c:v>1.1240000000000001</c:v>
                </c:pt>
                <c:pt idx="65">
                  <c:v>0.94899999999999995</c:v>
                </c:pt>
                <c:pt idx="66">
                  <c:v>0.79</c:v>
                </c:pt>
                <c:pt idx="67">
                  <c:v>0.65</c:v>
                </c:pt>
                <c:pt idx="68">
                  <c:v>0.52800000000000002</c:v>
                </c:pt>
                <c:pt idx="69">
                  <c:v>0.42299999999999999</c:v>
                </c:pt>
                <c:pt idx="70">
                  <c:v>0.33400000000000002</c:v>
                </c:pt>
                <c:pt idx="71">
                  <c:v>0.26100000000000001</c:v>
                </c:pt>
                <c:pt idx="72">
                  <c:v>0.2</c:v>
                </c:pt>
                <c:pt idx="73">
                  <c:v>0.152</c:v>
                </c:pt>
                <c:pt idx="74">
                  <c:v>0.113</c:v>
                </c:pt>
                <c:pt idx="75">
                  <c:v>8.3000000000000004E-2</c:v>
                </c:pt>
                <c:pt idx="76">
                  <c:v>5.8999999999999997E-2</c:v>
                </c:pt>
                <c:pt idx="77">
                  <c:v>4.2000000000000003E-2</c:v>
                </c:pt>
                <c:pt idx="78">
                  <c:v>2.8000000000000001E-2</c:v>
                </c:pt>
                <c:pt idx="79">
                  <c:v>1.7999999999999999E-2</c:v>
                </c:pt>
                <c:pt idx="80">
                  <c:v>1.0999999999999999E-2</c:v>
                </c:pt>
                <c:pt idx="81">
                  <c:v>6.0000000000000001E-3</c:v>
                </c:pt>
                <c:pt idx="82">
                  <c:v>2E-3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8D-4808-B469-B17700F5F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18D-4808-B469-B17700F5F31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8D-4808-B469-B17700F5F31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8D-4808-B469-B17700F5F31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8D-4808-B469-B17700F5F31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8D-4808-B469-B17700F5F31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18D-4808-B469-B17700F5F31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8D-4808-B469-B17700F5F31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8D-4808-B469-B17700F5F31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18D-4808-B469-B17700F5F31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18D-4808-B469-B17700F5F31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18D-4808-B469-B17700F5F31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18D-4808-B469-B17700F5F312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18D-4808-B469-B17700F5F312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Červenec!$F$1:$F$2</c:f>
              <c:strCache>
                <c:ptCount val="2"/>
                <c:pt idx="0">
                  <c:v>Odběr z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Červenec!$F$3:$F$98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0.67975000000000008</c:v>
                </c:pt>
                <c:pt idx="84">
                  <c:v>0</c:v>
                </c:pt>
                <c:pt idx="85">
                  <c:v>0</c:v>
                </c:pt>
                <c:pt idx="86">
                  <c:v>1.3007500000000003</c:v>
                </c:pt>
                <c:pt idx="87">
                  <c:v>0</c:v>
                </c:pt>
                <c:pt idx="88">
                  <c:v>0</c:v>
                </c:pt>
                <c:pt idx="89">
                  <c:v>1.3355000000000006</c:v>
                </c:pt>
                <c:pt idx="90">
                  <c:v>0</c:v>
                </c:pt>
                <c:pt idx="91">
                  <c:v>0.80700000000000105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D0-4A8F-8561-12768F073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BD0-4A8F-8561-12768F0731D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BD0-4A8F-8561-12768F0731D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BD0-4A8F-8561-12768F0731D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D0-4A8F-8561-12768F0731D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D0-4A8F-8561-12768F0731D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D0-4A8F-8561-12768F0731D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D0-4A8F-8561-12768F0731D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D0-4A8F-8561-12768F0731D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D0-4A8F-8561-12768F0731D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D0-4A8F-8561-12768F0731D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BD0-4A8F-8561-12768F0731D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BD0-4A8F-8561-12768F0731D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BD0-4A8F-8561-12768F0731D0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Červenec!$G$1:$G$2</c:f>
              <c:strCache>
                <c:ptCount val="2"/>
                <c:pt idx="0">
                  <c:v>Přetok do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Červenec!$G$3:$G$98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0.87870061728393623</c:v>
                </c:pt>
                <c:pt idx="44">
                  <c:v>2.3612500000000001</c:v>
                </c:pt>
                <c:pt idx="45">
                  <c:v>2.5204413580246925</c:v>
                </c:pt>
                <c:pt idx="46">
                  <c:v>2.710197873799725</c:v>
                </c:pt>
                <c:pt idx="47">
                  <c:v>2.8706693720469443</c:v>
                </c:pt>
                <c:pt idx="48">
                  <c:v>3.0017280944639215</c:v>
                </c:pt>
                <c:pt idx="49">
                  <c:v>3.0997215697509248</c:v>
                </c:pt>
                <c:pt idx="50">
                  <c:v>3.1597222947190358</c:v>
                </c:pt>
                <c:pt idx="51">
                  <c:v>3.1797222141670205</c:v>
                </c:pt>
                <c:pt idx="52">
                  <c:v>3.1597222231172459</c:v>
                </c:pt>
                <c:pt idx="53">
                  <c:v>3.0997222221227778</c:v>
                </c:pt>
                <c:pt idx="54">
                  <c:v>3.0017222222332709</c:v>
                </c:pt>
                <c:pt idx="55">
                  <c:v>2.8707222222209947</c:v>
                </c:pt>
                <c:pt idx="56">
                  <c:v>2.7097222222223603</c:v>
                </c:pt>
                <c:pt idx="57">
                  <c:v>2.5247222222222065</c:v>
                </c:pt>
                <c:pt idx="58">
                  <c:v>2.3227222222222261</c:v>
                </c:pt>
                <c:pt idx="59">
                  <c:v>2.1087222222222222</c:v>
                </c:pt>
                <c:pt idx="60">
                  <c:v>1.8637222222222223</c:v>
                </c:pt>
                <c:pt idx="61">
                  <c:v>1.6234722222222222</c:v>
                </c:pt>
                <c:pt idx="62">
                  <c:v>1.4094722222222222</c:v>
                </c:pt>
                <c:pt idx="63">
                  <c:v>1.2044722222222222</c:v>
                </c:pt>
                <c:pt idx="64">
                  <c:v>1.0134722222222223</c:v>
                </c:pt>
                <c:pt idx="65">
                  <c:v>0.85597222222222213</c:v>
                </c:pt>
                <c:pt idx="66">
                  <c:v>0.6819722222222222</c:v>
                </c:pt>
                <c:pt idx="67">
                  <c:v>0.54197222222222219</c:v>
                </c:pt>
                <c:pt idx="68">
                  <c:v>0.39497222222222222</c:v>
                </c:pt>
                <c:pt idx="69">
                  <c:v>0.26747222222222222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53-4386-80B7-11CD70D3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753-4386-80B7-11CD70D3BAE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53-4386-80B7-11CD70D3BAE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53-4386-80B7-11CD70D3BAE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53-4386-80B7-11CD70D3BAE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753-4386-80B7-11CD70D3BAE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753-4386-80B7-11CD70D3BAE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753-4386-80B7-11CD70D3BAE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753-4386-80B7-11CD70D3BAE9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753-4386-80B7-11CD70D3BAE9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753-4386-80B7-11CD70D3BAE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753-4386-80B7-11CD70D3BAE9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53-4386-80B7-11CD70D3BAE9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753-4386-80B7-11CD70D3BAE9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Červenec!$H$1:$H$2</c:f>
              <c:strCache>
                <c:ptCount val="2"/>
                <c:pt idx="0">
                  <c:v>Spotřeba z baterie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Červenec!$H$3:$H$98</c:f>
              <c:numCache>
                <c:formatCode>0.000</c:formatCode>
                <c:ptCount val="96"/>
                <c:pt idx="0">
                  <c:v>6.2E-2</c:v>
                </c:pt>
                <c:pt idx="1">
                  <c:v>6.2E-2</c:v>
                </c:pt>
                <c:pt idx="2">
                  <c:v>6.2E-2</c:v>
                </c:pt>
                <c:pt idx="3">
                  <c:v>6.2E-2</c:v>
                </c:pt>
                <c:pt idx="4">
                  <c:v>4.0749999999999995E-2</c:v>
                </c:pt>
                <c:pt idx="5">
                  <c:v>4.0749999999999995E-2</c:v>
                </c:pt>
                <c:pt idx="6">
                  <c:v>4.0749999999999995E-2</c:v>
                </c:pt>
                <c:pt idx="7">
                  <c:v>4.0749999999999995E-2</c:v>
                </c:pt>
                <c:pt idx="8">
                  <c:v>4.0749999999999995E-2</c:v>
                </c:pt>
                <c:pt idx="9">
                  <c:v>4.0749999999999995E-2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2.5749999999999999E-2</c:v>
                </c:pt>
                <c:pt idx="18">
                  <c:v>2.5749999999999999E-2</c:v>
                </c:pt>
                <c:pt idx="19">
                  <c:v>2.5749999999999999E-2</c:v>
                </c:pt>
                <c:pt idx="20">
                  <c:v>2.375E-2</c:v>
                </c:pt>
                <c:pt idx="21">
                  <c:v>1.9749999999999997E-2</c:v>
                </c:pt>
                <c:pt idx="22">
                  <c:v>1.4749999999999999E-2</c:v>
                </c:pt>
                <c:pt idx="23">
                  <c:v>7.7499999999999999E-3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0.12774999999999997</c:v>
                </c:pt>
                <c:pt idx="29">
                  <c:v>1.7537500000000001</c:v>
                </c:pt>
                <c:pt idx="30">
                  <c:v>1.3632500000000001</c:v>
                </c:pt>
                <c:pt idx="31">
                  <c:v>1.2697500000000002</c:v>
                </c:pt>
                <c:pt idx="32">
                  <c:v>1.19675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0.13674999999999998</c:v>
                </c:pt>
                <c:pt idx="71">
                  <c:v>0.90974999999999995</c:v>
                </c:pt>
                <c:pt idx="72">
                  <c:v>2.0957499999999998</c:v>
                </c:pt>
                <c:pt idx="73">
                  <c:v>2.1612500000000003</c:v>
                </c:pt>
                <c:pt idx="74">
                  <c:v>2.1677500000000003</c:v>
                </c:pt>
                <c:pt idx="75">
                  <c:v>2.2264999999999997</c:v>
                </c:pt>
                <c:pt idx="76">
                  <c:v>0.75049999999999994</c:v>
                </c:pt>
                <c:pt idx="77">
                  <c:v>0.76749999999999996</c:v>
                </c:pt>
                <c:pt idx="78">
                  <c:v>3.15E-2</c:v>
                </c:pt>
                <c:pt idx="79">
                  <c:v>6.275E-2</c:v>
                </c:pt>
                <c:pt idx="80">
                  <c:v>2.0072499999999995</c:v>
                </c:pt>
                <c:pt idx="81">
                  <c:v>0.67225000000000001</c:v>
                </c:pt>
                <c:pt idx="82">
                  <c:v>0.14124999999999999</c:v>
                </c:pt>
                <c:pt idx="83">
                  <c:v>0.9634999999999998</c:v>
                </c:pt>
                <c:pt idx="84">
                  <c:v>0.1545</c:v>
                </c:pt>
                <c:pt idx="85">
                  <c:v>0.70450000000000002</c:v>
                </c:pt>
                <c:pt idx="86">
                  <c:v>0.9087499999999995</c:v>
                </c:pt>
                <c:pt idx="87">
                  <c:v>0.69199999999999995</c:v>
                </c:pt>
                <c:pt idx="88">
                  <c:v>0.69199999999999995</c:v>
                </c:pt>
                <c:pt idx="89">
                  <c:v>0.8539999999999992</c:v>
                </c:pt>
                <c:pt idx="90">
                  <c:v>0.1245</c:v>
                </c:pt>
                <c:pt idx="91">
                  <c:v>0.81749999999999901</c:v>
                </c:pt>
                <c:pt idx="92">
                  <c:v>0.16949999999999998</c:v>
                </c:pt>
                <c:pt idx="93">
                  <c:v>0.16449999999999998</c:v>
                </c:pt>
                <c:pt idx="94">
                  <c:v>0.1145</c:v>
                </c:pt>
                <c:pt idx="95">
                  <c:v>5.2000000000000005E-2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D6-4FD1-BF2D-7FE538ABC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9D6-4FD1-BF2D-7FE538ABC7E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9D6-4FD1-BF2D-7FE538ABC7E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D6-4FD1-BF2D-7FE538ABC7E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D6-4FD1-BF2D-7FE538ABC7E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D6-4FD1-BF2D-7FE538ABC7E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9D6-4FD1-BF2D-7FE538ABC7E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D6-4FD1-BF2D-7FE538ABC7E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9D6-4FD1-BF2D-7FE538ABC7E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9D6-4FD1-BF2D-7FE538ABC7E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9D6-4FD1-BF2D-7FE538ABC7E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9D6-4FD1-BF2D-7FE538ABC7E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9D6-4FD1-BF2D-7FE538ABC7E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9D6-4FD1-BF2D-7FE538ABC7E0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Červenec!$I$1:$I$2</c:f>
              <c:strCache>
                <c:ptCount val="2"/>
                <c:pt idx="0">
                  <c:v>Bilance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Červenec!$I$3:$I$98</c:f>
              <c:numCache>
                <c:formatCode>0.000</c:formatCode>
                <c:ptCount val="96"/>
                <c:pt idx="0">
                  <c:v>-6.2E-2</c:v>
                </c:pt>
                <c:pt idx="1">
                  <c:v>-6.2E-2</c:v>
                </c:pt>
                <c:pt idx="2">
                  <c:v>-6.2E-2</c:v>
                </c:pt>
                <c:pt idx="3">
                  <c:v>-6.2E-2</c:v>
                </c:pt>
                <c:pt idx="4">
                  <c:v>-4.0749999999999995E-2</c:v>
                </c:pt>
                <c:pt idx="5">
                  <c:v>-4.0749999999999995E-2</c:v>
                </c:pt>
                <c:pt idx="6">
                  <c:v>-4.0749999999999995E-2</c:v>
                </c:pt>
                <c:pt idx="7">
                  <c:v>-4.0749999999999995E-2</c:v>
                </c:pt>
                <c:pt idx="8">
                  <c:v>-4.0749999999999995E-2</c:v>
                </c:pt>
                <c:pt idx="9">
                  <c:v>-4.0749999999999995E-2</c:v>
                </c:pt>
                <c:pt idx="10">
                  <c:v>-2.5749999999999999E-2</c:v>
                </c:pt>
                <c:pt idx="11">
                  <c:v>-2.5749999999999999E-2</c:v>
                </c:pt>
                <c:pt idx="12">
                  <c:v>-2.5749999999999999E-2</c:v>
                </c:pt>
                <c:pt idx="13">
                  <c:v>-2.5749999999999999E-2</c:v>
                </c:pt>
                <c:pt idx="14">
                  <c:v>-2.5749999999999999E-2</c:v>
                </c:pt>
                <c:pt idx="15">
                  <c:v>-2.5749999999999999E-2</c:v>
                </c:pt>
                <c:pt idx="16">
                  <c:v>-2.5749999999999999E-2</c:v>
                </c:pt>
                <c:pt idx="17">
                  <c:v>-2.5749999999999999E-2</c:v>
                </c:pt>
                <c:pt idx="18">
                  <c:v>-2.5749999999999999E-2</c:v>
                </c:pt>
                <c:pt idx="19">
                  <c:v>-2.5749999999999999E-2</c:v>
                </c:pt>
                <c:pt idx="20">
                  <c:v>-2.375E-2</c:v>
                </c:pt>
                <c:pt idx="21">
                  <c:v>-1.9749999999999997E-2</c:v>
                </c:pt>
                <c:pt idx="22">
                  <c:v>-1.4749999999999999E-2</c:v>
                </c:pt>
                <c:pt idx="23">
                  <c:v>-7.7499999999999999E-3</c:v>
                </c:pt>
                <c:pt idx="24">
                  <c:v>2.250000000000002E-3</c:v>
                </c:pt>
                <c:pt idx="25">
                  <c:v>1.6250000000000004E-2</c:v>
                </c:pt>
                <c:pt idx="26">
                  <c:v>3.3250000000000002E-2</c:v>
                </c:pt>
                <c:pt idx="27">
                  <c:v>2.250000000000002E-3</c:v>
                </c:pt>
                <c:pt idx="28">
                  <c:v>-0.12774999999999997</c:v>
                </c:pt>
                <c:pt idx="29">
                  <c:v>-1.7537500000000001</c:v>
                </c:pt>
                <c:pt idx="30">
                  <c:v>-1.3632500000000001</c:v>
                </c:pt>
                <c:pt idx="31">
                  <c:v>-1.2697500000000002</c:v>
                </c:pt>
                <c:pt idx="32">
                  <c:v>-1.19675</c:v>
                </c:pt>
                <c:pt idx="33">
                  <c:v>0.39224999999999999</c:v>
                </c:pt>
                <c:pt idx="34">
                  <c:v>0.49725000000000003</c:v>
                </c:pt>
                <c:pt idx="35">
                  <c:v>0.61925000000000008</c:v>
                </c:pt>
                <c:pt idx="36">
                  <c:v>0.76424999999999998</c:v>
                </c:pt>
                <c:pt idx="37">
                  <c:v>0.9232499999999999</c:v>
                </c:pt>
                <c:pt idx="38">
                  <c:v>1.0982500000000002</c:v>
                </c:pt>
                <c:pt idx="39">
                  <c:v>1.28925</c:v>
                </c:pt>
                <c:pt idx="40">
                  <c:v>1.4942500000000001</c:v>
                </c:pt>
                <c:pt idx="41">
                  <c:v>1.70825</c:v>
                </c:pt>
                <c:pt idx="42">
                  <c:v>1.9272500000000001</c:v>
                </c:pt>
                <c:pt idx="43">
                  <c:v>2.1472500000000001</c:v>
                </c:pt>
                <c:pt idx="44">
                  <c:v>2.3612500000000001</c:v>
                </c:pt>
                <c:pt idx="45">
                  <c:v>2.56325</c:v>
                </c:pt>
                <c:pt idx="46">
                  <c:v>2.7482500000000001</c:v>
                </c:pt>
                <c:pt idx="47">
                  <c:v>2.9092500000000001</c:v>
                </c:pt>
                <c:pt idx="48">
                  <c:v>3.0402499999999999</c:v>
                </c:pt>
                <c:pt idx="49">
                  <c:v>3.1382500000000002</c:v>
                </c:pt>
                <c:pt idx="50">
                  <c:v>3.1982500000000003</c:v>
                </c:pt>
                <c:pt idx="51">
                  <c:v>3.2182500000000003</c:v>
                </c:pt>
                <c:pt idx="52">
                  <c:v>3.1982500000000003</c:v>
                </c:pt>
                <c:pt idx="53">
                  <c:v>3.1382500000000002</c:v>
                </c:pt>
                <c:pt idx="54">
                  <c:v>3.0402499999999999</c:v>
                </c:pt>
                <c:pt idx="55">
                  <c:v>2.9092500000000001</c:v>
                </c:pt>
                <c:pt idx="56">
                  <c:v>2.7482500000000001</c:v>
                </c:pt>
                <c:pt idx="57">
                  <c:v>2.56325</c:v>
                </c:pt>
                <c:pt idx="58">
                  <c:v>2.3612500000000001</c:v>
                </c:pt>
                <c:pt idx="59">
                  <c:v>2.1472500000000001</c:v>
                </c:pt>
                <c:pt idx="60">
                  <c:v>1.90225</c:v>
                </c:pt>
                <c:pt idx="61">
                  <c:v>1.6619999999999999</c:v>
                </c:pt>
                <c:pt idx="62">
                  <c:v>1.448</c:v>
                </c:pt>
                <c:pt idx="63">
                  <c:v>1.2429999999999999</c:v>
                </c:pt>
                <c:pt idx="64">
                  <c:v>1.052</c:v>
                </c:pt>
                <c:pt idx="65">
                  <c:v>0.89449999999999996</c:v>
                </c:pt>
                <c:pt idx="66">
                  <c:v>0.72050000000000003</c:v>
                </c:pt>
                <c:pt idx="67">
                  <c:v>0.58050000000000002</c:v>
                </c:pt>
                <c:pt idx="68">
                  <c:v>0.4335</c:v>
                </c:pt>
                <c:pt idx="69">
                  <c:v>0.30599999999999999</c:v>
                </c:pt>
                <c:pt idx="70">
                  <c:v>-0.13674999999999998</c:v>
                </c:pt>
                <c:pt idx="71">
                  <c:v>-0.90974999999999995</c:v>
                </c:pt>
                <c:pt idx="72">
                  <c:v>-2.0957499999999998</c:v>
                </c:pt>
                <c:pt idx="73">
                  <c:v>-2.1612500000000003</c:v>
                </c:pt>
                <c:pt idx="74">
                  <c:v>-2.1677500000000003</c:v>
                </c:pt>
                <c:pt idx="75">
                  <c:v>-2.2264999999999997</c:v>
                </c:pt>
                <c:pt idx="76">
                  <c:v>-0.75049999999999994</c:v>
                </c:pt>
                <c:pt idx="77">
                  <c:v>-0.76749999999999996</c:v>
                </c:pt>
                <c:pt idx="78">
                  <c:v>-3.15E-2</c:v>
                </c:pt>
                <c:pt idx="79">
                  <c:v>-6.275E-2</c:v>
                </c:pt>
                <c:pt idx="80">
                  <c:v>-2.0072499999999995</c:v>
                </c:pt>
                <c:pt idx="81">
                  <c:v>-0.67225000000000001</c:v>
                </c:pt>
                <c:pt idx="82">
                  <c:v>-0.14124999999999999</c:v>
                </c:pt>
                <c:pt idx="83">
                  <c:v>-1.6432499999999999</c:v>
                </c:pt>
                <c:pt idx="84">
                  <c:v>-0.1545</c:v>
                </c:pt>
                <c:pt idx="85">
                  <c:v>-0.70450000000000002</c:v>
                </c:pt>
                <c:pt idx="86">
                  <c:v>-2.2094999999999998</c:v>
                </c:pt>
                <c:pt idx="87">
                  <c:v>-0.69199999999999995</c:v>
                </c:pt>
                <c:pt idx="88">
                  <c:v>-0.69199999999999995</c:v>
                </c:pt>
                <c:pt idx="89">
                  <c:v>-2.1894999999999998</c:v>
                </c:pt>
                <c:pt idx="90">
                  <c:v>-0.1245</c:v>
                </c:pt>
                <c:pt idx="91">
                  <c:v>-1.6245000000000001</c:v>
                </c:pt>
                <c:pt idx="92">
                  <c:v>-0.16949999999999998</c:v>
                </c:pt>
                <c:pt idx="93">
                  <c:v>-0.16449999999999998</c:v>
                </c:pt>
                <c:pt idx="94">
                  <c:v>-0.1145</c:v>
                </c:pt>
                <c:pt idx="95">
                  <c:v>-5.2000000000000005E-2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F4-4511-ABED-F4AE41FDC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AF4-4511-ABED-F4AE41FDC10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AF4-4511-ABED-F4AE41FDC10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AF4-4511-ABED-F4AE41FDC10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F4-4511-ABED-F4AE41FDC10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AF4-4511-ABED-F4AE41FDC10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AF4-4511-ABED-F4AE41FDC10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AF4-4511-ABED-F4AE41FDC10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AF4-4511-ABED-F4AE41FDC10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AF4-4511-ABED-F4AE41FDC10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AF4-4511-ABED-F4AE41FDC10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AF4-4511-ABED-F4AE41FDC10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AF4-4511-ABED-F4AE41FDC102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AF4-4511-ABED-F4AE41FDC102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Červenec!$J$1:$J$2</c:f>
              <c:strCache>
                <c:ptCount val="2"/>
                <c:pt idx="0">
                  <c:v>Stav baterie</c:v>
                </c:pt>
                <c:pt idx="1">
                  <c:v>15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Červenec!$J$3:$J$98</c:f>
              <c:numCache>
                <c:formatCode>0.000</c:formatCode>
                <c:ptCount val="96"/>
                <c:pt idx="0">
                  <c:v>14.892583333333333</c:v>
                </c:pt>
                <c:pt idx="1">
                  <c:v>14.785166666666665</c:v>
                </c:pt>
                <c:pt idx="2">
                  <c:v>14.677749999999998</c:v>
                </c:pt>
                <c:pt idx="3">
                  <c:v>14.57033333333333</c:v>
                </c:pt>
                <c:pt idx="4">
                  <c:v>14.486527777777775</c:v>
                </c:pt>
                <c:pt idx="5">
                  <c:v>14.40272222222222</c:v>
                </c:pt>
                <c:pt idx="6">
                  <c:v>14.318916666666665</c:v>
                </c:pt>
                <c:pt idx="7">
                  <c:v>14.235111111111109</c:v>
                </c:pt>
                <c:pt idx="8">
                  <c:v>14.151305555555554</c:v>
                </c:pt>
                <c:pt idx="9">
                  <c:v>14.067499999999999</c:v>
                </c:pt>
                <c:pt idx="10">
                  <c:v>14.000361111111109</c:v>
                </c:pt>
                <c:pt idx="11">
                  <c:v>13.93322222222222</c:v>
                </c:pt>
                <c:pt idx="12">
                  <c:v>13.86608333333333</c:v>
                </c:pt>
                <c:pt idx="13">
                  <c:v>13.798944444444441</c:v>
                </c:pt>
                <c:pt idx="14">
                  <c:v>13.731805555555551</c:v>
                </c:pt>
                <c:pt idx="15">
                  <c:v>13.664666666666662</c:v>
                </c:pt>
                <c:pt idx="16">
                  <c:v>13.597527777777772</c:v>
                </c:pt>
                <c:pt idx="17">
                  <c:v>13.530388888888883</c:v>
                </c:pt>
                <c:pt idx="18">
                  <c:v>13.463249999999993</c:v>
                </c:pt>
                <c:pt idx="19">
                  <c:v>13.396111111111104</c:v>
                </c:pt>
                <c:pt idx="20">
                  <c:v>13.331194444444437</c:v>
                </c:pt>
                <c:pt idx="21">
                  <c:v>13.270722222222215</c:v>
                </c:pt>
                <c:pt idx="22">
                  <c:v>13.215805555555548</c:v>
                </c:pt>
                <c:pt idx="23">
                  <c:v>13.16866666666666</c:v>
                </c:pt>
                <c:pt idx="24">
                  <c:v>13.132388888888881</c:v>
                </c:pt>
                <c:pt idx="25">
                  <c:v>13.110111111111102</c:v>
                </c:pt>
                <c:pt idx="26">
                  <c:v>13.104833333333325</c:v>
                </c:pt>
                <c:pt idx="27">
                  <c:v>13.068555555555546</c:v>
                </c:pt>
                <c:pt idx="28">
                  <c:v>12.888083333333324</c:v>
                </c:pt>
                <c:pt idx="29">
                  <c:v>10.900944444444434</c:v>
                </c:pt>
                <c:pt idx="30">
                  <c:v>9.3476944444444339</c:v>
                </c:pt>
                <c:pt idx="31">
                  <c:v>7.8983333333333228</c:v>
                </c:pt>
                <c:pt idx="32">
                  <c:v>6.530083333333323</c:v>
                </c:pt>
                <c:pt idx="33">
                  <c:v>6.8838055555555453</c:v>
                </c:pt>
                <c:pt idx="34">
                  <c:v>7.342527777777768</c:v>
                </c:pt>
                <c:pt idx="35">
                  <c:v>7.9232499999999906</c:v>
                </c:pt>
                <c:pt idx="36">
                  <c:v>8.6489722222222127</c:v>
                </c:pt>
                <c:pt idx="37">
                  <c:v>9.5336944444444338</c:v>
                </c:pt>
                <c:pt idx="38">
                  <c:v>10.593416666666656</c:v>
                </c:pt>
                <c:pt idx="39">
                  <c:v>11.844138888888876</c:v>
                </c:pt>
                <c:pt idx="40">
                  <c:v>13.299861111111097</c:v>
                </c:pt>
                <c:pt idx="41">
                  <c:v>14.969583333333318</c:v>
                </c:pt>
                <c:pt idx="42">
                  <c:v>16.858305555555543</c:v>
                </c:pt>
                <c:pt idx="43">
                  <c:v>18</c:v>
                </c:pt>
                <c:pt idx="44">
                  <c:v>17.961472222222223</c:v>
                </c:pt>
                <c:pt idx="45">
                  <c:v>17.965753086419753</c:v>
                </c:pt>
                <c:pt idx="46">
                  <c:v>17.96527743484225</c:v>
                </c:pt>
                <c:pt idx="47">
                  <c:v>17.965330285017529</c:v>
                </c:pt>
                <c:pt idx="48">
                  <c:v>17.965324412775832</c:v>
                </c:pt>
                <c:pt idx="49">
                  <c:v>17.965325065247132</c:v>
                </c:pt>
                <c:pt idx="50">
                  <c:v>17.965324992750318</c:v>
                </c:pt>
                <c:pt idx="51">
                  <c:v>17.965325000805521</c:v>
                </c:pt>
                <c:pt idx="52">
                  <c:v>17.9653249999105</c:v>
                </c:pt>
                <c:pt idx="53">
                  <c:v>17.965325000009944</c:v>
                </c:pt>
                <c:pt idx="54">
                  <c:v>17.965324999998895</c:v>
                </c:pt>
                <c:pt idx="55">
                  <c:v>17.965325000000124</c:v>
                </c:pt>
                <c:pt idx="56">
                  <c:v>17.965324999999986</c:v>
                </c:pt>
                <c:pt idx="57">
                  <c:v>17.965325000000004</c:v>
                </c:pt>
                <c:pt idx="58">
                  <c:v>17.965325</c:v>
                </c:pt>
                <c:pt idx="59">
                  <c:v>17.965325</c:v>
                </c:pt>
                <c:pt idx="60">
                  <c:v>17.965325</c:v>
                </c:pt>
                <c:pt idx="61">
                  <c:v>17.965325</c:v>
                </c:pt>
                <c:pt idx="62">
                  <c:v>17.965325</c:v>
                </c:pt>
                <c:pt idx="63">
                  <c:v>17.965325</c:v>
                </c:pt>
                <c:pt idx="64">
                  <c:v>17.965325</c:v>
                </c:pt>
                <c:pt idx="65">
                  <c:v>17.965325</c:v>
                </c:pt>
                <c:pt idx="66">
                  <c:v>17.965325</c:v>
                </c:pt>
                <c:pt idx="67">
                  <c:v>17.965325</c:v>
                </c:pt>
                <c:pt idx="68">
                  <c:v>17.965325</c:v>
                </c:pt>
                <c:pt idx="69">
                  <c:v>17.965325</c:v>
                </c:pt>
                <c:pt idx="70">
                  <c:v>17.774852777777781</c:v>
                </c:pt>
                <c:pt idx="71">
                  <c:v>16.72549166666667</c:v>
                </c:pt>
                <c:pt idx="72">
                  <c:v>14.358352777777782</c:v>
                </c:pt>
                <c:pt idx="73">
                  <c:v>11.918436111111115</c:v>
                </c:pt>
                <c:pt idx="74">
                  <c:v>9.4712972222222245</c:v>
                </c:pt>
                <c:pt idx="75">
                  <c:v>6.9588805555555577</c:v>
                </c:pt>
                <c:pt idx="76">
                  <c:v>6.0864638888888916</c:v>
                </c:pt>
                <c:pt idx="77">
                  <c:v>5.1951583333333362</c:v>
                </c:pt>
                <c:pt idx="78">
                  <c:v>5.1216305555555586</c:v>
                </c:pt>
                <c:pt idx="79">
                  <c:v>5.0133805555555586</c:v>
                </c:pt>
                <c:pt idx="80">
                  <c:v>2.7445750000000033</c:v>
                </c:pt>
                <c:pt idx="81">
                  <c:v>1.9817499999999999</c:v>
                </c:pt>
                <c:pt idx="82">
                  <c:v>1.9634999999999998</c:v>
                </c:pt>
                <c:pt idx="83">
                  <c:v>1.9452499999999997</c:v>
                </c:pt>
                <c:pt idx="84">
                  <c:v>1.9269999999999996</c:v>
                </c:pt>
                <c:pt idx="85">
                  <c:v>1.9087499999999995</c:v>
                </c:pt>
                <c:pt idx="86">
                  <c:v>1.8904999999999994</c:v>
                </c:pt>
                <c:pt idx="87">
                  <c:v>1.8722499999999993</c:v>
                </c:pt>
                <c:pt idx="88">
                  <c:v>1.8539999999999992</c:v>
                </c:pt>
                <c:pt idx="89">
                  <c:v>1.8357499999999991</c:v>
                </c:pt>
                <c:pt idx="90">
                  <c:v>1.817499999999999</c:v>
                </c:pt>
                <c:pt idx="91">
                  <c:v>1.7992499999999989</c:v>
                </c:pt>
                <c:pt idx="92">
                  <c:v>1.7809999999999988</c:v>
                </c:pt>
                <c:pt idx="93">
                  <c:v>1.7627499999999987</c:v>
                </c:pt>
                <c:pt idx="94">
                  <c:v>1.7444999999999986</c:v>
                </c:pt>
                <c:pt idx="95">
                  <c:v>1.7262499999999985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B8-45B6-AF22-2253DBF7F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FB8-45B6-AF22-2253DBF7F2E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FB8-45B6-AF22-2253DBF7F2E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FB8-45B6-AF22-2253DBF7F2E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FB8-45B6-AF22-2253DBF7F2E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FB8-45B6-AF22-2253DBF7F2E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FB8-45B6-AF22-2253DBF7F2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FB8-45B6-AF22-2253DBF7F2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FB8-45B6-AF22-2253DBF7F2E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FB8-45B6-AF22-2253DBF7F2E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FB8-45B6-AF22-2253DBF7F2E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FB8-45B6-AF22-2253DBF7F2E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FB8-45B6-AF22-2253DBF7F2EA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FB8-45B6-AF22-2253DBF7F2EA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Červenec!$K$1:$K$2</c:f>
              <c:strCache>
                <c:ptCount val="2"/>
                <c:pt idx="0">
                  <c:v>Soc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Červenec!$K$3:$K$98</c:f>
              <c:numCache>
                <c:formatCode>0%</c:formatCode>
                <c:ptCount val="96"/>
                <c:pt idx="0">
                  <c:v>0.74462916666666668</c:v>
                </c:pt>
                <c:pt idx="1">
                  <c:v>0.73925833333333324</c:v>
                </c:pt>
                <c:pt idx="2">
                  <c:v>0.73388749999999991</c:v>
                </c:pt>
                <c:pt idx="3">
                  <c:v>0.72851666666666648</c:v>
                </c:pt>
                <c:pt idx="4">
                  <c:v>0.72432638888888878</c:v>
                </c:pt>
                <c:pt idx="5">
                  <c:v>0.72013611111111098</c:v>
                </c:pt>
                <c:pt idx="6">
                  <c:v>0.71594583333333328</c:v>
                </c:pt>
                <c:pt idx="7">
                  <c:v>0.71175555555555547</c:v>
                </c:pt>
                <c:pt idx="8">
                  <c:v>0.70756527777777767</c:v>
                </c:pt>
                <c:pt idx="9">
                  <c:v>0.70337499999999997</c:v>
                </c:pt>
                <c:pt idx="10">
                  <c:v>0.70001805555555552</c:v>
                </c:pt>
                <c:pt idx="11">
                  <c:v>0.69666111111111095</c:v>
                </c:pt>
                <c:pt idx="12">
                  <c:v>0.6933041666666665</c:v>
                </c:pt>
                <c:pt idx="13">
                  <c:v>0.68994722222222205</c:v>
                </c:pt>
                <c:pt idx="14">
                  <c:v>0.68659027777777759</c:v>
                </c:pt>
                <c:pt idx="15">
                  <c:v>0.68323333333333314</c:v>
                </c:pt>
                <c:pt idx="16">
                  <c:v>0.67987638888888857</c:v>
                </c:pt>
                <c:pt idx="17">
                  <c:v>0.67651944444444412</c:v>
                </c:pt>
                <c:pt idx="18">
                  <c:v>0.67316249999999966</c:v>
                </c:pt>
                <c:pt idx="19">
                  <c:v>0.66980555555555521</c:v>
                </c:pt>
                <c:pt idx="20">
                  <c:v>0.66655972222222182</c:v>
                </c:pt>
                <c:pt idx="21">
                  <c:v>0.66353611111111077</c:v>
                </c:pt>
                <c:pt idx="22">
                  <c:v>0.66079027777777744</c:v>
                </c:pt>
                <c:pt idx="23">
                  <c:v>0.65843333333333298</c:v>
                </c:pt>
                <c:pt idx="24">
                  <c:v>0.65661944444444409</c:v>
                </c:pt>
                <c:pt idx="25">
                  <c:v>0.65550555555555512</c:v>
                </c:pt>
                <c:pt idx="26">
                  <c:v>0.65524166666666628</c:v>
                </c:pt>
                <c:pt idx="27">
                  <c:v>0.65342777777777727</c:v>
                </c:pt>
                <c:pt idx="28">
                  <c:v>0.64440416666666622</c:v>
                </c:pt>
                <c:pt idx="29">
                  <c:v>0.54504722222222168</c:v>
                </c:pt>
                <c:pt idx="30">
                  <c:v>0.46738472222222172</c:v>
                </c:pt>
                <c:pt idx="31">
                  <c:v>0.39491666666666614</c:v>
                </c:pt>
                <c:pt idx="32">
                  <c:v>0.32650416666666615</c:v>
                </c:pt>
                <c:pt idx="33">
                  <c:v>0.34419027777777728</c:v>
                </c:pt>
                <c:pt idx="34">
                  <c:v>0.36712638888888838</c:v>
                </c:pt>
                <c:pt idx="35">
                  <c:v>0.39616249999999953</c:v>
                </c:pt>
                <c:pt idx="36">
                  <c:v>0.43244861111111066</c:v>
                </c:pt>
                <c:pt idx="37">
                  <c:v>0.47668472222222169</c:v>
                </c:pt>
                <c:pt idx="38">
                  <c:v>0.52967083333333276</c:v>
                </c:pt>
                <c:pt idx="39">
                  <c:v>0.59220694444444377</c:v>
                </c:pt>
                <c:pt idx="40">
                  <c:v>0.66499305555555488</c:v>
                </c:pt>
                <c:pt idx="41">
                  <c:v>0.74847916666666592</c:v>
                </c:pt>
                <c:pt idx="42">
                  <c:v>0.84291527777777708</c:v>
                </c:pt>
                <c:pt idx="43">
                  <c:v>0.9</c:v>
                </c:pt>
                <c:pt idx="44">
                  <c:v>0.89807361111111117</c:v>
                </c:pt>
                <c:pt idx="45">
                  <c:v>0.89828765432098767</c:v>
                </c:pt>
                <c:pt idx="46">
                  <c:v>0.89826387174211253</c:v>
                </c:pt>
                <c:pt idx="47">
                  <c:v>0.89826651425087645</c:v>
                </c:pt>
                <c:pt idx="48">
                  <c:v>0.89826622063879158</c:v>
                </c:pt>
                <c:pt idx="49">
                  <c:v>0.89826625326235665</c:v>
                </c:pt>
                <c:pt idx="50">
                  <c:v>0.89826624963751589</c:v>
                </c:pt>
                <c:pt idx="51">
                  <c:v>0.89826625004027605</c:v>
                </c:pt>
                <c:pt idx="52">
                  <c:v>0.89826624999552496</c:v>
                </c:pt>
                <c:pt idx="53">
                  <c:v>0.8982662500004972</c:v>
                </c:pt>
                <c:pt idx="54">
                  <c:v>0.89826624999994475</c:v>
                </c:pt>
                <c:pt idx="55">
                  <c:v>0.89826625000000626</c:v>
                </c:pt>
                <c:pt idx="56">
                  <c:v>0.89826624999999927</c:v>
                </c:pt>
                <c:pt idx="57">
                  <c:v>0.89826625000000015</c:v>
                </c:pt>
                <c:pt idx="58">
                  <c:v>0.89826625000000004</c:v>
                </c:pt>
                <c:pt idx="59">
                  <c:v>0.89826625000000004</c:v>
                </c:pt>
                <c:pt idx="60">
                  <c:v>0.89826625000000004</c:v>
                </c:pt>
                <c:pt idx="61">
                  <c:v>0.89826625000000004</c:v>
                </c:pt>
                <c:pt idx="62">
                  <c:v>0.89826625000000004</c:v>
                </c:pt>
                <c:pt idx="63">
                  <c:v>0.89826625000000004</c:v>
                </c:pt>
                <c:pt idx="64">
                  <c:v>0.89826625000000004</c:v>
                </c:pt>
                <c:pt idx="65">
                  <c:v>0.89826625000000004</c:v>
                </c:pt>
                <c:pt idx="66">
                  <c:v>0.89826625000000004</c:v>
                </c:pt>
                <c:pt idx="67">
                  <c:v>0.89826625000000004</c:v>
                </c:pt>
                <c:pt idx="68">
                  <c:v>0.89826625000000004</c:v>
                </c:pt>
                <c:pt idx="69">
                  <c:v>0.89826625000000004</c:v>
                </c:pt>
                <c:pt idx="70">
                  <c:v>0.88874263888888905</c:v>
                </c:pt>
                <c:pt idx="71">
                  <c:v>0.83627458333333349</c:v>
                </c:pt>
                <c:pt idx="72">
                  <c:v>0.71791763888888904</c:v>
                </c:pt>
                <c:pt idx="73">
                  <c:v>0.59592180555555574</c:v>
                </c:pt>
                <c:pt idx="74">
                  <c:v>0.47356486111111123</c:v>
                </c:pt>
                <c:pt idx="75">
                  <c:v>0.34794402777777789</c:v>
                </c:pt>
                <c:pt idx="76">
                  <c:v>0.30432319444444456</c:v>
                </c:pt>
                <c:pt idx="77">
                  <c:v>0.25975791666666681</c:v>
                </c:pt>
                <c:pt idx="78">
                  <c:v>0.25608152777777793</c:v>
                </c:pt>
                <c:pt idx="79">
                  <c:v>0.25066902777777794</c:v>
                </c:pt>
                <c:pt idx="80">
                  <c:v>0.13722875000000018</c:v>
                </c:pt>
                <c:pt idx="81">
                  <c:v>9.9087499999999995E-2</c:v>
                </c:pt>
                <c:pt idx="82">
                  <c:v>9.8174999999999985E-2</c:v>
                </c:pt>
                <c:pt idx="83">
                  <c:v>9.7262499999999988E-2</c:v>
                </c:pt>
                <c:pt idx="84">
                  <c:v>9.6349999999999977E-2</c:v>
                </c:pt>
                <c:pt idx="85">
                  <c:v>9.5437499999999981E-2</c:v>
                </c:pt>
                <c:pt idx="86">
                  <c:v>9.452499999999997E-2</c:v>
                </c:pt>
                <c:pt idx="87">
                  <c:v>9.361249999999996E-2</c:v>
                </c:pt>
                <c:pt idx="88">
                  <c:v>9.2699999999999963E-2</c:v>
                </c:pt>
                <c:pt idx="89">
                  <c:v>9.1787499999999952E-2</c:v>
                </c:pt>
                <c:pt idx="90">
                  <c:v>9.0874999999999956E-2</c:v>
                </c:pt>
                <c:pt idx="91">
                  <c:v>8.9962499999999945E-2</c:v>
                </c:pt>
                <c:pt idx="92">
                  <c:v>8.9049999999999935E-2</c:v>
                </c:pt>
                <c:pt idx="93">
                  <c:v>8.8137499999999938E-2</c:v>
                </c:pt>
                <c:pt idx="94">
                  <c:v>8.7224999999999928E-2</c:v>
                </c:pt>
                <c:pt idx="95">
                  <c:v>8.6312499999999931E-2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8D-447C-862F-6E145E8A6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C8D-447C-862F-6E145E8A6E3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C8D-447C-862F-6E145E8A6E3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C8D-447C-862F-6E145E8A6E3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D-447C-862F-6E145E8A6E3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D-447C-862F-6E145E8A6E3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D-447C-862F-6E145E8A6E3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D-447C-862F-6E145E8A6E3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C8D-447C-862F-6E145E8A6E3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C8D-447C-862F-6E145E8A6E3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C8D-447C-862F-6E145E8A6E3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C8D-447C-862F-6E145E8A6E3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C8D-447C-862F-6E145E8A6E3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C8D-447C-862F-6E145E8A6E3C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Červenec!$L$1:$L$2</c:f>
              <c:strCache>
                <c:ptCount val="2"/>
                <c:pt idx="0">
                  <c:v>Nabíjení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Červenec!$L$3:$L$98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2.0250000000000021E-3</c:v>
                </c:pt>
                <c:pt idx="25">
                  <c:v>1.4625000000000004E-2</c:v>
                </c:pt>
                <c:pt idx="26">
                  <c:v>2.9925000000000004E-2</c:v>
                </c:pt>
                <c:pt idx="27">
                  <c:v>2.0250000000000021E-3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0.35302499999999998</c:v>
                </c:pt>
                <c:pt idx="34">
                  <c:v>0.44752500000000001</c:v>
                </c:pt>
                <c:pt idx="35">
                  <c:v>0.55732500000000007</c:v>
                </c:pt>
                <c:pt idx="36">
                  <c:v>0.68782500000000002</c:v>
                </c:pt>
                <c:pt idx="37">
                  <c:v>0.83092499999999991</c:v>
                </c:pt>
                <c:pt idx="38">
                  <c:v>0.98842500000000022</c:v>
                </c:pt>
                <c:pt idx="39">
                  <c:v>1.1603250000000001</c:v>
                </c:pt>
                <c:pt idx="40">
                  <c:v>1.3448250000000002</c:v>
                </c:pt>
                <c:pt idx="41">
                  <c:v>1.537425</c:v>
                </c:pt>
                <c:pt idx="42">
                  <c:v>1.7345250000000001</c:v>
                </c:pt>
                <c:pt idx="43">
                  <c:v>1.1416944444444574</c:v>
                </c:pt>
                <c:pt idx="44">
                  <c:v>0</c:v>
                </c:pt>
                <c:pt idx="45">
                  <c:v>3.8527777777776606E-2</c:v>
                </c:pt>
                <c:pt idx="46">
                  <c:v>3.4246913580247451E-2</c:v>
                </c:pt>
                <c:pt idx="47">
                  <c:v>3.4722565157750296E-2</c:v>
                </c:pt>
                <c:pt idx="48">
                  <c:v>3.4669714982470623E-2</c:v>
                </c:pt>
                <c:pt idx="49">
                  <c:v>3.467558722416797E-2</c:v>
                </c:pt>
                <c:pt idx="50">
                  <c:v>3.467493475286787E-2</c:v>
                </c:pt>
                <c:pt idx="51">
                  <c:v>3.4675007249681755E-2</c:v>
                </c:pt>
                <c:pt idx="52">
                  <c:v>3.4674999194479028E-2</c:v>
                </c:pt>
                <c:pt idx="53">
                  <c:v>3.4675000089499974E-2</c:v>
                </c:pt>
                <c:pt idx="54">
                  <c:v>3.4674999990055966E-2</c:v>
                </c:pt>
                <c:pt idx="55">
                  <c:v>3.4675000001104905E-2</c:v>
                </c:pt>
                <c:pt idx="56">
                  <c:v>3.4674999999875666E-2</c:v>
                </c:pt>
                <c:pt idx="57">
                  <c:v>3.4675000000014222E-2</c:v>
                </c:pt>
                <c:pt idx="58">
                  <c:v>3.4674999999996459E-2</c:v>
                </c:pt>
                <c:pt idx="59">
                  <c:v>3.4675000000000011E-2</c:v>
                </c:pt>
                <c:pt idx="60">
                  <c:v>3.4675000000000011E-2</c:v>
                </c:pt>
                <c:pt idx="61">
                  <c:v>3.4675000000000011E-2</c:v>
                </c:pt>
                <c:pt idx="62">
                  <c:v>3.4675000000000011E-2</c:v>
                </c:pt>
                <c:pt idx="63">
                  <c:v>3.4675000000000011E-2</c:v>
                </c:pt>
                <c:pt idx="64">
                  <c:v>3.4675000000000011E-2</c:v>
                </c:pt>
                <c:pt idx="65">
                  <c:v>3.4675000000000011E-2</c:v>
                </c:pt>
                <c:pt idx="66">
                  <c:v>3.4675000000000011E-2</c:v>
                </c:pt>
                <c:pt idx="67">
                  <c:v>3.4675000000000011E-2</c:v>
                </c:pt>
                <c:pt idx="68">
                  <c:v>3.4675000000000011E-2</c:v>
                </c:pt>
                <c:pt idx="69">
                  <c:v>3.4675000000000011E-2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AA-42BE-A5E0-C7EF61F75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3AA-42BE-A5E0-C7EF61F75F8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3AA-42BE-A5E0-C7EF61F75F8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AA-42BE-A5E0-C7EF61F75F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3AA-42BE-A5E0-C7EF61F75F8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3AA-42BE-A5E0-C7EF61F75F8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3AA-42BE-A5E0-C7EF61F75F8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3AA-42BE-A5E0-C7EF61F75F8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3AA-42BE-A5E0-C7EF61F75F8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3AA-42BE-A5E0-C7EF61F75F8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3AA-42BE-A5E0-C7EF61F75F8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3AA-42BE-A5E0-C7EF61F75F8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3AA-42BE-A5E0-C7EF61F75F8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3AA-42BE-A5E0-C7EF61F75F84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0"/>
          <c:order val="10"/>
          <c:tx>
            <c:strRef>
              <c:f>Červenec!$M$1:$M$2</c:f>
              <c:strCache>
                <c:ptCount val="2"/>
                <c:pt idx="0">
                  <c:v>Nabíjení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Červenec!$M$3:$M$98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2.250000000000002E-3</c:v>
                </c:pt>
                <c:pt idx="25">
                  <c:v>1.6250000000000004E-2</c:v>
                </c:pt>
                <c:pt idx="26">
                  <c:v>3.3250000000000002E-2</c:v>
                </c:pt>
                <c:pt idx="27">
                  <c:v>2.250000000000002E-3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0.39224999999999999</c:v>
                </c:pt>
                <c:pt idx="34">
                  <c:v>0.49725000000000003</c:v>
                </c:pt>
                <c:pt idx="35">
                  <c:v>0.61925000000000008</c:v>
                </c:pt>
                <c:pt idx="36">
                  <c:v>0.76424999999999998</c:v>
                </c:pt>
                <c:pt idx="37">
                  <c:v>0.9232499999999999</c:v>
                </c:pt>
                <c:pt idx="38">
                  <c:v>1.0982500000000002</c:v>
                </c:pt>
                <c:pt idx="39">
                  <c:v>1.28925</c:v>
                </c:pt>
                <c:pt idx="40">
                  <c:v>1.4942500000000001</c:v>
                </c:pt>
                <c:pt idx="41">
                  <c:v>1.70825</c:v>
                </c:pt>
                <c:pt idx="42">
                  <c:v>1.9272500000000001</c:v>
                </c:pt>
                <c:pt idx="43">
                  <c:v>1.2685493827160639</c:v>
                </c:pt>
                <c:pt idx="44">
                  <c:v>0</c:v>
                </c:pt>
                <c:pt idx="45">
                  <c:v>4.2808641975307336E-2</c:v>
                </c:pt>
                <c:pt idx="46">
                  <c:v>3.8052126200274948E-2</c:v>
                </c:pt>
                <c:pt idx="47">
                  <c:v>3.8580627953055883E-2</c:v>
                </c:pt>
                <c:pt idx="48">
                  <c:v>3.8521905536078468E-2</c:v>
                </c:pt>
                <c:pt idx="49">
                  <c:v>3.852843024907552E-2</c:v>
                </c:pt>
                <c:pt idx="50">
                  <c:v>3.8527705280964296E-2</c:v>
                </c:pt>
                <c:pt idx="51">
                  <c:v>3.8527785832979729E-2</c:v>
                </c:pt>
                <c:pt idx="52">
                  <c:v>3.8527776882754473E-2</c:v>
                </c:pt>
                <c:pt idx="53">
                  <c:v>3.852777787722219E-2</c:v>
                </c:pt>
                <c:pt idx="54">
                  <c:v>3.8527777766728853E-2</c:v>
                </c:pt>
                <c:pt idx="55">
                  <c:v>3.852777777900545E-2</c:v>
                </c:pt>
                <c:pt idx="56">
                  <c:v>3.8527777777639625E-2</c:v>
                </c:pt>
                <c:pt idx="57">
                  <c:v>3.8527777777793579E-2</c:v>
                </c:pt>
                <c:pt idx="58">
                  <c:v>3.8527777777773844E-2</c:v>
                </c:pt>
                <c:pt idx="59">
                  <c:v>3.8527777777777793E-2</c:v>
                </c:pt>
                <c:pt idx="60">
                  <c:v>3.8527777777777793E-2</c:v>
                </c:pt>
                <c:pt idx="61">
                  <c:v>3.8527777777777793E-2</c:v>
                </c:pt>
                <c:pt idx="62">
                  <c:v>3.8527777777777793E-2</c:v>
                </c:pt>
                <c:pt idx="63">
                  <c:v>3.8527777777777793E-2</c:v>
                </c:pt>
                <c:pt idx="64">
                  <c:v>3.8527777777777793E-2</c:v>
                </c:pt>
                <c:pt idx="65">
                  <c:v>3.8527777777777793E-2</c:v>
                </c:pt>
                <c:pt idx="66">
                  <c:v>3.8527777777777793E-2</c:v>
                </c:pt>
                <c:pt idx="67">
                  <c:v>3.8527777777777793E-2</c:v>
                </c:pt>
                <c:pt idx="68">
                  <c:v>3.8527777777777793E-2</c:v>
                </c:pt>
                <c:pt idx="69">
                  <c:v>3.8527777777777793E-2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09-4BBA-8BCB-DA33FCA12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09-4BBA-8BCB-DA33FCA124C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509-4BBA-8BCB-DA33FCA124C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09-4BBA-8BCB-DA33FCA124C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09-4BBA-8BCB-DA33FCA124C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509-4BBA-8BCB-DA33FCA124C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509-4BBA-8BCB-DA33FCA124C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509-4BBA-8BCB-DA33FCA124C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509-4BBA-8BCB-DA33FCA124C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509-4BBA-8BCB-DA33FCA124C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509-4BBA-8BCB-DA33FCA124C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509-4BBA-8BCB-DA33FCA124C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509-4BBA-8BCB-DA33FCA124C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509-4BBA-8BCB-DA33FCA124C1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1"/>
          <c:order val="11"/>
          <c:tx>
            <c:strRef>
              <c:f>Červenec!$N$1:$N$2</c:f>
              <c:strCache>
                <c:ptCount val="2"/>
                <c:pt idx="0">
                  <c:v>Vybíjení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Červenec!$N$3:$N$98</c:f>
              <c:numCache>
                <c:formatCode>0.000</c:formatCode>
                <c:ptCount val="96"/>
                <c:pt idx="0">
                  <c:v>8.0250000000000002E-2</c:v>
                </c:pt>
                <c:pt idx="1">
                  <c:v>8.0250000000000002E-2</c:v>
                </c:pt>
                <c:pt idx="2">
                  <c:v>8.0250000000000002E-2</c:v>
                </c:pt>
                <c:pt idx="3">
                  <c:v>8.0250000000000002E-2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5.8999999999999997E-2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4.3999999999999997E-2</c:v>
                </c:pt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4.3999999999999997E-2</c:v>
                </c:pt>
                <c:pt idx="17">
                  <c:v>4.3999999999999997E-2</c:v>
                </c:pt>
                <c:pt idx="18">
                  <c:v>4.3999999999999997E-2</c:v>
                </c:pt>
                <c:pt idx="19">
                  <c:v>4.3999999999999997E-2</c:v>
                </c:pt>
                <c:pt idx="20">
                  <c:v>4.1999999999999996E-2</c:v>
                </c:pt>
                <c:pt idx="21">
                  <c:v>3.7999999999999992E-2</c:v>
                </c:pt>
                <c:pt idx="22">
                  <c:v>3.3000000000000002E-2</c:v>
                </c:pt>
                <c:pt idx="23">
                  <c:v>2.5999999999999999E-2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0.14599999999999996</c:v>
                </c:pt>
                <c:pt idx="29">
                  <c:v>1.7720000000000002</c:v>
                </c:pt>
                <c:pt idx="30">
                  <c:v>1.3815000000000002</c:v>
                </c:pt>
                <c:pt idx="31">
                  <c:v>1.2880000000000003</c:v>
                </c:pt>
                <c:pt idx="32">
                  <c:v>1.2150000000000001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0.15499999999999997</c:v>
                </c:pt>
                <c:pt idx="71">
                  <c:v>0.92799999999999994</c:v>
                </c:pt>
                <c:pt idx="72">
                  <c:v>2.1139999999999999</c:v>
                </c:pt>
                <c:pt idx="73">
                  <c:v>2.1795000000000004</c:v>
                </c:pt>
                <c:pt idx="74">
                  <c:v>2.1860000000000004</c:v>
                </c:pt>
                <c:pt idx="75">
                  <c:v>2.2447499999999998</c:v>
                </c:pt>
                <c:pt idx="76">
                  <c:v>0.76874999999999993</c:v>
                </c:pt>
                <c:pt idx="77">
                  <c:v>0.78574999999999995</c:v>
                </c:pt>
                <c:pt idx="78">
                  <c:v>4.9750000000000003E-2</c:v>
                </c:pt>
                <c:pt idx="79">
                  <c:v>8.1000000000000003E-2</c:v>
                </c:pt>
                <c:pt idx="80">
                  <c:v>2.0254999999999996</c:v>
                </c:pt>
                <c:pt idx="81">
                  <c:v>0.6905</c:v>
                </c:pt>
                <c:pt idx="82">
                  <c:v>0.15949999999999998</c:v>
                </c:pt>
                <c:pt idx="83">
                  <c:v>0.9634999999999998</c:v>
                </c:pt>
                <c:pt idx="84">
                  <c:v>0.17274999999999999</c:v>
                </c:pt>
                <c:pt idx="85">
                  <c:v>0.72275</c:v>
                </c:pt>
                <c:pt idx="86">
                  <c:v>0.9087499999999995</c:v>
                </c:pt>
                <c:pt idx="87">
                  <c:v>0.71024999999999994</c:v>
                </c:pt>
                <c:pt idx="88">
                  <c:v>0.71024999999999994</c:v>
                </c:pt>
                <c:pt idx="89">
                  <c:v>0.8539999999999992</c:v>
                </c:pt>
                <c:pt idx="90">
                  <c:v>0.14274999999999999</c:v>
                </c:pt>
                <c:pt idx="91">
                  <c:v>0.81749999999999901</c:v>
                </c:pt>
                <c:pt idx="92">
                  <c:v>0.18774999999999997</c:v>
                </c:pt>
                <c:pt idx="93">
                  <c:v>0.18274999999999997</c:v>
                </c:pt>
                <c:pt idx="94">
                  <c:v>0.13275000000000001</c:v>
                </c:pt>
                <c:pt idx="95">
                  <c:v>7.0250000000000007E-2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CC-46CE-A92B-20A65C5F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5CC-46CE-A92B-20A65C5F69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CC-46CE-A92B-20A65C5F69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5CC-46CE-A92B-20A65C5F69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CC-46CE-A92B-20A65C5F69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5CC-46CE-A92B-20A65C5F69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5CC-46CE-A92B-20A65C5F69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5CC-46CE-A92B-20A65C5F693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5CC-46CE-A92B-20A65C5F693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5CC-46CE-A92B-20A65C5F693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5CC-46CE-A92B-20A65C5F693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5CC-46CE-A92B-20A65C5F693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5CC-46CE-A92B-20A65C5F6932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5CC-46CE-A92B-20A65C5F6932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2"/>
          <c:order val="12"/>
          <c:tx>
            <c:strRef>
              <c:f>Červenec!$O$1:$O$2</c:f>
              <c:strCache>
                <c:ptCount val="2"/>
                <c:pt idx="0">
                  <c:v>Vybíjení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Červenec!$O$3:$O$98</c:f>
              <c:numCache>
                <c:formatCode>0.000</c:formatCode>
                <c:ptCount val="96"/>
                <c:pt idx="0">
                  <c:v>8.9166666666666672E-2</c:v>
                </c:pt>
                <c:pt idx="1">
                  <c:v>8.9166666666666672E-2</c:v>
                </c:pt>
                <c:pt idx="2">
                  <c:v>8.9166666666666672E-2</c:v>
                </c:pt>
                <c:pt idx="3">
                  <c:v>8.9166666666666672E-2</c:v>
                </c:pt>
                <c:pt idx="4">
                  <c:v>6.5555555555555547E-2</c:v>
                </c:pt>
                <c:pt idx="5">
                  <c:v>6.5555555555555547E-2</c:v>
                </c:pt>
                <c:pt idx="6">
                  <c:v>6.5555555555555547E-2</c:v>
                </c:pt>
                <c:pt idx="7">
                  <c:v>6.5555555555555547E-2</c:v>
                </c:pt>
                <c:pt idx="8">
                  <c:v>6.5555555555555547E-2</c:v>
                </c:pt>
                <c:pt idx="9">
                  <c:v>6.5555555555555547E-2</c:v>
                </c:pt>
                <c:pt idx="10">
                  <c:v>4.8888888888888885E-2</c:v>
                </c:pt>
                <c:pt idx="11">
                  <c:v>4.8888888888888885E-2</c:v>
                </c:pt>
                <c:pt idx="12">
                  <c:v>4.8888888888888885E-2</c:v>
                </c:pt>
                <c:pt idx="13">
                  <c:v>4.8888888888888885E-2</c:v>
                </c:pt>
                <c:pt idx="14">
                  <c:v>4.8888888888888885E-2</c:v>
                </c:pt>
                <c:pt idx="15">
                  <c:v>4.8888888888888885E-2</c:v>
                </c:pt>
                <c:pt idx="16">
                  <c:v>4.8888888888888885E-2</c:v>
                </c:pt>
                <c:pt idx="17">
                  <c:v>4.8888888888888885E-2</c:v>
                </c:pt>
                <c:pt idx="18">
                  <c:v>4.8888888888888885E-2</c:v>
                </c:pt>
                <c:pt idx="19">
                  <c:v>4.8888888888888885E-2</c:v>
                </c:pt>
                <c:pt idx="20">
                  <c:v>4.6666666666666662E-2</c:v>
                </c:pt>
                <c:pt idx="21">
                  <c:v>4.222222222222221E-2</c:v>
                </c:pt>
                <c:pt idx="22">
                  <c:v>3.6666666666666667E-2</c:v>
                </c:pt>
                <c:pt idx="23">
                  <c:v>2.8888888888888888E-2</c:v>
                </c:pt>
                <c:pt idx="24">
                  <c:v>2.0277777777777777E-2</c:v>
                </c:pt>
                <c:pt idx="25">
                  <c:v>2.0277777777777777E-2</c:v>
                </c:pt>
                <c:pt idx="26">
                  <c:v>2.0277777777777777E-2</c:v>
                </c:pt>
                <c:pt idx="27">
                  <c:v>2.0277777777777777E-2</c:v>
                </c:pt>
                <c:pt idx="28">
                  <c:v>0.16222222222222218</c:v>
                </c:pt>
                <c:pt idx="29">
                  <c:v>1.9688888888888891</c:v>
                </c:pt>
                <c:pt idx="30">
                  <c:v>1.5350000000000001</c:v>
                </c:pt>
                <c:pt idx="31">
                  <c:v>1.4311111111111114</c:v>
                </c:pt>
                <c:pt idx="32">
                  <c:v>1.35</c:v>
                </c:pt>
                <c:pt idx="33">
                  <c:v>2.0277777777777777E-2</c:v>
                </c:pt>
                <c:pt idx="34">
                  <c:v>2.0277777777777777E-2</c:v>
                </c:pt>
                <c:pt idx="35">
                  <c:v>2.0277777777777777E-2</c:v>
                </c:pt>
                <c:pt idx="36">
                  <c:v>2.0277777777777777E-2</c:v>
                </c:pt>
                <c:pt idx="37">
                  <c:v>2.0277777777777777E-2</c:v>
                </c:pt>
                <c:pt idx="38">
                  <c:v>2.0277777777777777E-2</c:v>
                </c:pt>
                <c:pt idx="39">
                  <c:v>2.0277777777777777E-2</c:v>
                </c:pt>
                <c:pt idx="40">
                  <c:v>2.0277777777777777E-2</c:v>
                </c:pt>
                <c:pt idx="41">
                  <c:v>2.0277777777777777E-2</c:v>
                </c:pt>
                <c:pt idx="42">
                  <c:v>2.0277777777777777E-2</c:v>
                </c:pt>
                <c:pt idx="43">
                  <c:v>2.0277777777777777E-2</c:v>
                </c:pt>
                <c:pt idx="44">
                  <c:v>2.0277777777777777E-2</c:v>
                </c:pt>
                <c:pt idx="45">
                  <c:v>2.0277777777777777E-2</c:v>
                </c:pt>
                <c:pt idx="46">
                  <c:v>2.0277777777777777E-2</c:v>
                </c:pt>
                <c:pt idx="47">
                  <c:v>2.0277777777777777E-2</c:v>
                </c:pt>
                <c:pt idx="48">
                  <c:v>2.0277777777777777E-2</c:v>
                </c:pt>
                <c:pt idx="49">
                  <c:v>2.0277777777777777E-2</c:v>
                </c:pt>
                <c:pt idx="50">
                  <c:v>2.0277777777777777E-2</c:v>
                </c:pt>
                <c:pt idx="51">
                  <c:v>2.0277777777777777E-2</c:v>
                </c:pt>
                <c:pt idx="52">
                  <c:v>2.0277777777777777E-2</c:v>
                </c:pt>
                <c:pt idx="53">
                  <c:v>2.0277777777777777E-2</c:v>
                </c:pt>
                <c:pt idx="54">
                  <c:v>2.0277777777777777E-2</c:v>
                </c:pt>
                <c:pt idx="55">
                  <c:v>2.0277777777777777E-2</c:v>
                </c:pt>
                <c:pt idx="56">
                  <c:v>2.0277777777777777E-2</c:v>
                </c:pt>
                <c:pt idx="57">
                  <c:v>2.0277777777777777E-2</c:v>
                </c:pt>
                <c:pt idx="58">
                  <c:v>2.0277777777777777E-2</c:v>
                </c:pt>
                <c:pt idx="59">
                  <c:v>2.0277777777777777E-2</c:v>
                </c:pt>
                <c:pt idx="60">
                  <c:v>2.0277777777777777E-2</c:v>
                </c:pt>
                <c:pt idx="61">
                  <c:v>2.0277777777777777E-2</c:v>
                </c:pt>
                <c:pt idx="62">
                  <c:v>2.0277777777777777E-2</c:v>
                </c:pt>
                <c:pt idx="63">
                  <c:v>2.0277777777777777E-2</c:v>
                </c:pt>
                <c:pt idx="64">
                  <c:v>2.0277777777777777E-2</c:v>
                </c:pt>
                <c:pt idx="65">
                  <c:v>2.0277777777777777E-2</c:v>
                </c:pt>
                <c:pt idx="66">
                  <c:v>2.0277777777777777E-2</c:v>
                </c:pt>
                <c:pt idx="67">
                  <c:v>2.0277777777777777E-2</c:v>
                </c:pt>
                <c:pt idx="68">
                  <c:v>2.0277777777777777E-2</c:v>
                </c:pt>
                <c:pt idx="69">
                  <c:v>2.0277777777777777E-2</c:v>
                </c:pt>
                <c:pt idx="70">
                  <c:v>0.17222222222222219</c:v>
                </c:pt>
                <c:pt idx="71">
                  <c:v>1.0311111111111111</c:v>
                </c:pt>
                <c:pt idx="72">
                  <c:v>2.3488888888888888</c:v>
                </c:pt>
                <c:pt idx="73">
                  <c:v>2.4216666666666673</c:v>
                </c:pt>
                <c:pt idx="74">
                  <c:v>2.4288888888888893</c:v>
                </c:pt>
                <c:pt idx="75">
                  <c:v>2.4941666666666662</c:v>
                </c:pt>
                <c:pt idx="76">
                  <c:v>0.85416666666666652</c:v>
                </c:pt>
                <c:pt idx="77">
                  <c:v>0.87305555555555547</c:v>
                </c:pt>
                <c:pt idx="78">
                  <c:v>5.527777777777778E-2</c:v>
                </c:pt>
                <c:pt idx="79">
                  <c:v>0.09</c:v>
                </c:pt>
                <c:pt idx="80">
                  <c:v>2.2505555555555552</c:v>
                </c:pt>
                <c:pt idx="81">
                  <c:v>0.76722222222222225</c:v>
                </c:pt>
                <c:pt idx="82">
                  <c:v>0.1772222222222222</c:v>
                </c:pt>
                <c:pt idx="83">
                  <c:v>1.0705555555555553</c:v>
                </c:pt>
                <c:pt idx="84">
                  <c:v>0.19194444444444442</c:v>
                </c:pt>
                <c:pt idx="85">
                  <c:v>0.80305555555555552</c:v>
                </c:pt>
                <c:pt idx="86">
                  <c:v>1.0097222222222217</c:v>
                </c:pt>
                <c:pt idx="87">
                  <c:v>0.78916666666666657</c:v>
                </c:pt>
                <c:pt idx="88">
                  <c:v>0.78916666666666657</c:v>
                </c:pt>
                <c:pt idx="89">
                  <c:v>0.948888888888888</c:v>
                </c:pt>
                <c:pt idx="90">
                  <c:v>0.15861111111111109</c:v>
                </c:pt>
                <c:pt idx="91">
                  <c:v>0.90833333333333222</c:v>
                </c:pt>
                <c:pt idx="92">
                  <c:v>0.20861111111111108</c:v>
                </c:pt>
                <c:pt idx="93">
                  <c:v>0.20305555555555552</c:v>
                </c:pt>
                <c:pt idx="94">
                  <c:v>0.14749999999999999</c:v>
                </c:pt>
                <c:pt idx="95">
                  <c:v>7.8055555555555559E-2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38-40DE-B936-2A04BE99A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38-40DE-B936-2A04BE99A6E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38-40DE-B936-2A04BE99A6E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38-40DE-B936-2A04BE99A6E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38-40DE-B936-2A04BE99A6E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38-40DE-B936-2A04BE99A6E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438-40DE-B936-2A04BE99A6E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438-40DE-B936-2A04BE99A6E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438-40DE-B936-2A04BE99A6E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438-40DE-B936-2A04BE99A6E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438-40DE-B936-2A04BE99A6E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438-40DE-B936-2A04BE99A6E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438-40DE-B936-2A04BE99A6E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438-40DE-B936-2A04BE99A6E4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3"/>
          <c:order val="13"/>
          <c:tx>
            <c:strRef>
              <c:f>Červenec!$P$1:$P$2</c:f>
              <c:strCache>
                <c:ptCount val="2"/>
                <c:pt idx="0">
                  <c:v>Vlastní 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Červenec!$B$3:$B$98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Červenec!$P$3:$P$98</c:f>
              <c:numCache>
                <c:formatCode>0.000</c:formatCode>
                <c:ptCount val="96"/>
                <c:pt idx="0">
                  <c:v>1.8249999999999999E-2</c:v>
                </c:pt>
                <c:pt idx="1">
                  <c:v>1.8249999999999999E-2</c:v>
                </c:pt>
                <c:pt idx="2">
                  <c:v>1.8249999999999999E-2</c:v>
                </c:pt>
                <c:pt idx="3">
                  <c:v>1.8249999999999999E-2</c:v>
                </c:pt>
                <c:pt idx="4">
                  <c:v>1.8249999999999999E-2</c:v>
                </c:pt>
                <c:pt idx="5">
                  <c:v>1.8249999999999999E-2</c:v>
                </c:pt>
                <c:pt idx="6">
                  <c:v>1.8249999999999999E-2</c:v>
                </c:pt>
                <c:pt idx="7">
                  <c:v>1.8249999999999999E-2</c:v>
                </c:pt>
                <c:pt idx="8">
                  <c:v>1.8249999999999999E-2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1.8249999999999999E-2</c:v>
                </c:pt>
                <c:pt idx="18">
                  <c:v>1.8249999999999999E-2</c:v>
                </c:pt>
                <c:pt idx="19">
                  <c:v>1.8249999999999999E-2</c:v>
                </c:pt>
                <c:pt idx="20">
                  <c:v>1.8249999999999999E-2</c:v>
                </c:pt>
                <c:pt idx="21">
                  <c:v>1.8249999999999999E-2</c:v>
                </c:pt>
                <c:pt idx="22">
                  <c:v>1.8249999999999999E-2</c:v>
                </c:pt>
                <c:pt idx="23">
                  <c:v>1.8249999999999999E-2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1.8249999999999999E-2</c:v>
                </c:pt>
                <c:pt idx="29">
                  <c:v>1.8249999999999999E-2</c:v>
                </c:pt>
                <c:pt idx="30">
                  <c:v>1.8249999999999999E-2</c:v>
                </c:pt>
                <c:pt idx="31">
                  <c:v>1.8249999999999999E-2</c:v>
                </c:pt>
                <c:pt idx="32">
                  <c:v>1.8249999999999999E-2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1.8249999999999999E-2</c:v>
                </c:pt>
                <c:pt idx="71">
                  <c:v>1.8249999999999999E-2</c:v>
                </c:pt>
                <c:pt idx="72">
                  <c:v>1.8249999999999999E-2</c:v>
                </c:pt>
                <c:pt idx="73">
                  <c:v>1.8249999999999999E-2</c:v>
                </c:pt>
                <c:pt idx="74">
                  <c:v>1.8249999999999999E-2</c:v>
                </c:pt>
                <c:pt idx="75">
                  <c:v>1.8249999999999999E-2</c:v>
                </c:pt>
                <c:pt idx="76">
                  <c:v>1.8249999999999999E-2</c:v>
                </c:pt>
                <c:pt idx="77">
                  <c:v>1.8249999999999999E-2</c:v>
                </c:pt>
                <c:pt idx="78">
                  <c:v>1.8249999999999999E-2</c:v>
                </c:pt>
                <c:pt idx="79">
                  <c:v>1.8249999999999999E-2</c:v>
                </c:pt>
                <c:pt idx="80">
                  <c:v>1.8249999999999999E-2</c:v>
                </c:pt>
                <c:pt idx="81">
                  <c:v>1.8249999999999999E-2</c:v>
                </c:pt>
                <c:pt idx="82">
                  <c:v>1.8249999999999999E-2</c:v>
                </c:pt>
                <c:pt idx="83">
                  <c:v>1.8249999999999999E-2</c:v>
                </c:pt>
                <c:pt idx="84">
                  <c:v>1.8249999999999999E-2</c:v>
                </c:pt>
                <c:pt idx="85">
                  <c:v>1.8249999999999999E-2</c:v>
                </c:pt>
                <c:pt idx="86">
                  <c:v>1.8249999999999999E-2</c:v>
                </c:pt>
                <c:pt idx="87">
                  <c:v>1.8249999999999999E-2</c:v>
                </c:pt>
                <c:pt idx="88">
                  <c:v>1.8249999999999999E-2</c:v>
                </c:pt>
                <c:pt idx="89">
                  <c:v>1.8249999999999999E-2</c:v>
                </c:pt>
                <c:pt idx="90">
                  <c:v>1.8249999999999999E-2</c:v>
                </c:pt>
                <c:pt idx="91">
                  <c:v>1.8249999999999999E-2</c:v>
                </c:pt>
                <c:pt idx="92">
                  <c:v>1.8249999999999999E-2</c:v>
                </c:pt>
                <c:pt idx="93">
                  <c:v>1.8249999999999999E-2</c:v>
                </c:pt>
                <c:pt idx="94">
                  <c:v>1.8249999999999999E-2</c:v>
                </c:pt>
                <c:pt idx="95">
                  <c:v>1.8249999999999999E-2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C5-4757-B564-8630EDE69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6767"/>
        <c:axId val="5403488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Červenec!$C$1:$C$2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Červenec!$C$3:$C$98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0.24074999999999999</c:v>
                      </c:pt>
                      <c:pt idx="29">
                        <c:v>1.9057500000000001</c:v>
                      </c:pt>
                      <c:pt idx="30">
                        <c:v>1.56325</c:v>
                      </c:pt>
                      <c:pt idx="31">
                        <c:v>1.5307500000000001</c:v>
                      </c:pt>
                      <c:pt idx="32">
                        <c:v>1.5307500000000001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0.47075</c:v>
                      </c:pt>
                      <c:pt idx="71">
                        <c:v>1.17075</c:v>
                      </c:pt>
                      <c:pt idx="72">
                        <c:v>2.29575</c:v>
                      </c:pt>
                      <c:pt idx="73">
                        <c:v>2.3132500000000005</c:v>
                      </c:pt>
                      <c:pt idx="74">
                        <c:v>2.2807500000000003</c:v>
                      </c:pt>
                      <c:pt idx="75">
                        <c:v>2.3094999999999999</c:v>
                      </c:pt>
                      <c:pt idx="76">
                        <c:v>0.8095</c:v>
                      </c:pt>
                      <c:pt idx="77">
                        <c:v>0.8095</c:v>
                      </c:pt>
                      <c:pt idx="78">
                        <c:v>5.9499999999999997E-2</c:v>
                      </c:pt>
                      <c:pt idx="79">
                        <c:v>8.0750000000000002E-2</c:v>
                      </c:pt>
                      <c:pt idx="80">
                        <c:v>2.0182499999999997</c:v>
                      </c:pt>
                      <c:pt idx="81">
                        <c:v>0.67825000000000002</c:v>
                      </c:pt>
                      <c:pt idx="82">
                        <c:v>0.14324999999999999</c:v>
                      </c:pt>
                      <c:pt idx="83">
                        <c:v>1.6432499999999999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2.2094999999999998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2.1894999999999998</c:v>
                      </c:pt>
                      <c:pt idx="90">
                        <c:v>0.1245</c:v>
                      </c:pt>
                      <c:pt idx="91">
                        <c:v>1.6245000000000001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8C5-4757-B564-8630EDE6953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2.5749999999999999E-2</c:v>
                      </c:pt>
                      <c:pt idx="25">
                        <c:v>2.5749999999999999E-2</c:v>
                      </c:pt>
                      <c:pt idx="26">
                        <c:v>2.5749999999999999E-2</c:v>
                      </c:pt>
                      <c:pt idx="27">
                        <c:v>8.0750000000000002E-2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3.075E-2</c:v>
                      </c:pt>
                      <c:pt idx="34">
                        <c:v>3.075E-2</c:v>
                      </c:pt>
                      <c:pt idx="35">
                        <c:v>3.075E-2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5.0750000000000003E-2</c:v>
                      </c:pt>
                      <c:pt idx="61">
                        <c:v>7.2000000000000008E-2</c:v>
                      </c:pt>
                      <c:pt idx="62">
                        <c:v>7.2000000000000008E-2</c:v>
                      </c:pt>
                      <c:pt idx="63">
                        <c:v>7.2000000000000008E-2</c:v>
                      </c:pt>
                      <c:pt idx="64">
                        <c:v>7.2000000000000008E-2</c:v>
                      </c:pt>
                      <c:pt idx="65">
                        <c:v>5.4500000000000007E-2</c:v>
                      </c:pt>
                      <c:pt idx="66">
                        <c:v>6.9499999999999992E-2</c:v>
                      </c:pt>
                      <c:pt idx="67">
                        <c:v>6.9499999999999992E-2</c:v>
                      </c:pt>
                      <c:pt idx="68">
                        <c:v>9.4500000000000001E-2</c:v>
                      </c:pt>
                      <c:pt idx="69">
                        <c:v>0.11700000000000001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C5-4757-B564-8630EDE6953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2E-3</c:v>
                      </c:pt>
                      <c:pt idx="21">
                        <c:v>6.0000000000000001E-3</c:v>
                      </c:pt>
                      <c:pt idx="22">
                        <c:v>1.0999999999999999E-2</c:v>
                      </c:pt>
                      <c:pt idx="23">
                        <c:v>1.7999999999999999E-2</c:v>
                      </c:pt>
                      <c:pt idx="24">
                        <c:v>2.8000000000000001E-2</c:v>
                      </c:pt>
                      <c:pt idx="25">
                        <c:v>4.2000000000000003E-2</c:v>
                      </c:pt>
                      <c:pt idx="26">
                        <c:v>5.8999999999999997E-2</c:v>
                      </c:pt>
                      <c:pt idx="27">
                        <c:v>8.3000000000000004E-2</c:v>
                      </c:pt>
                      <c:pt idx="28">
                        <c:v>0.113</c:v>
                      </c:pt>
                      <c:pt idx="29">
                        <c:v>0.152</c:v>
                      </c:pt>
                      <c:pt idx="30">
                        <c:v>0.2</c:v>
                      </c:pt>
                      <c:pt idx="31">
                        <c:v>0.26100000000000001</c:v>
                      </c:pt>
                      <c:pt idx="32">
                        <c:v>0.33400000000000002</c:v>
                      </c:pt>
                      <c:pt idx="33">
                        <c:v>0.42299999999999999</c:v>
                      </c:pt>
                      <c:pt idx="34">
                        <c:v>0.52800000000000002</c:v>
                      </c:pt>
                      <c:pt idx="35">
                        <c:v>0.65</c:v>
                      </c:pt>
                      <c:pt idx="36">
                        <c:v>0.79</c:v>
                      </c:pt>
                      <c:pt idx="37">
                        <c:v>0.94899999999999995</c:v>
                      </c:pt>
                      <c:pt idx="38">
                        <c:v>1.1240000000000001</c:v>
                      </c:pt>
                      <c:pt idx="39">
                        <c:v>1.3149999999999999</c:v>
                      </c:pt>
                      <c:pt idx="40">
                        <c:v>1.52</c:v>
                      </c:pt>
                      <c:pt idx="41">
                        <c:v>1.734</c:v>
                      </c:pt>
                      <c:pt idx="42">
                        <c:v>1.9530000000000001</c:v>
                      </c:pt>
                      <c:pt idx="43">
                        <c:v>2.173</c:v>
                      </c:pt>
                      <c:pt idx="44">
                        <c:v>2.387</c:v>
                      </c:pt>
                      <c:pt idx="45">
                        <c:v>2.589</c:v>
                      </c:pt>
                      <c:pt idx="46">
                        <c:v>2.774</c:v>
                      </c:pt>
                      <c:pt idx="47">
                        <c:v>2.9350000000000001</c:v>
                      </c:pt>
                      <c:pt idx="48">
                        <c:v>3.0659999999999998</c:v>
                      </c:pt>
                      <c:pt idx="49">
                        <c:v>3.1640000000000001</c:v>
                      </c:pt>
                      <c:pt idx="50">
                        <c:v>3.2240000000000002</c:v>
                      </c:pt>
                      <c:pt idx="51">
                        <c:v>3.2440000000000002</c:v>
                      </c:pt>
                      <c:pt idx="52">
                        <c:v>3.2240000000000002</c:v>
                      </c:pt>
                      <c:pt idx="53">
                        <c:v>3.1640000000000001</c:v>
                      </c:pt>
                      <c:pt idx="54">
                        <c:v>3.0659999999999998</c:v>
                      </c:pt>
                      <c:pt idx="55">
                        <c:v>2.9350000000000001</c:v>
                      </c:pt>
                      <c:pt idx="56">
                        <c:v>2.774</c:v>
                      </c:pt>
                      <c:pt idx="57">
                        <c:v>2.589</c:v>
                      </c:pt>
                      <c:pt idx="58">
                        <c:v>2.387</c:v>
                      </c:pt>
                      <c:pt idx="59">
                        <c:v>2.173</c:v>
                      </c:pt>
                      <c:pt idx="60">
                        <c:v>1.9530000000000001</c:v>
                      </c:pt>
                      <c:pt idx="61">
                        <c:v>1.734</c:v>
                      </c:pt>
                      <c:pt idx="62">
                        <c:v>1.52</c:v>
                      </c:pt>
                      <c:pt idx="63">
                        <c:v>1.3149999999999999</c:v>
                      </c:pt>
                      <c:pt idx="64">
                        <c:v>1.1240000000000001</c:v>
                      </c:pt>
                      <c:pt idx="65">
                        <c:v>0.94899999999999995</c:v>
                      </c:pt>
                      <c:pt idx="66">
                        <c:v>0.79</c:v>
                      </c:pt>
                      <c:pt idx="67">
                        <c:v>0.65</c:v>
                      </c:pt>
                      <c:pt idx="68">
                        <c:v>0.52800000000000002</c:v>
                      </c:pt>
                      <c:pt idx="69">
                        <c:v>0.42299999999999999</c:v>
                      </c:pt>
                      <c:pt idx="70">
                        <c:v>0.33400000000000002</c:v>
                      </c:pt>
                      <c:pt idx="71">
                        <c:v>0.26100000000000001</c:v>
                      </c:pt>
                      <c:pt idx="72">
                        <c:v>0.2</c:v>
                      </c:pt>
                      <c:pt idx="73">
                        <c:v>0.152</c:v>
                      </c:pt>
                      <c:pt idx="74">
                        <c:v>0.113</c:v>
                      </c:pt>
                      <c:pt idx="75">
                        <c:v>8.3000000000000004E-2</c:v>
                      </c:pt>
                      <c:pt idx="76">
                        <c:v>5.8999999999999997E-2</c:v>
                      </c:pt>
                      <c:pt idx="77">
                        <c:v>4.2000000000000003E-2</c:v>
                      </c:pt>
                      <c:pt idx="78">
                        <c:v>2.8000000000000001E-2</c:v>
                      </c:pt>
                      <c:pt idx="79">
                        <c:v>1.7999999999999999E-2</c:v>
                      </c:pt>
                      <c:pt idx="80">
                        <c:v>1.0999999999999999E-2</c:v>
                      </c:pt>
                      <c:pt idx="81">
                        <c:v>6.0000000000000001E-3</c:v>
                      </c:pt>
                      <c:pt idx="82">
                        <c:v>2E-3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C5-4757-B564-8630EDE6953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0.67975000000000008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1.3007500000000003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1.3355000000000006</c:v>
                      </c:pt>
                      <c:pt idx="90">
                        <c:v>0</c:v>
                      </c:pt>
                      <c:pt idx="91">
                        <c:v>0.80700000000000105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C5-4757-B564-8630EDE6953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0.87870061728393623</c:v>
                      </c:pt>
                      <c:pt idx="44">
                        <c:v>2.3612500000000001</c:v>
                      </c:pt>
                      <c:pt idx="45">
                        <c:v>2.5204413580246925</c:v>
                      </c:pt>
                      <c:pt idx="46">
                        <c:v>2.710197873799725</c:v>
                      </c:pt>
                      <c:pt idx="47">
                        <c:v>2.8706693720469443</c:v>
                      </c:pt>
                      <c:pt idx="48">
                        <c:v>3.0017280944639215</c:v>
                      </c:pt>
                      <c:pt idx="49">
                        <c:v>3.0997215697509248</c:v>
                      </c:pt>
                      <c:pt idx="50">
                        <c:v>3.1597222947190358</c:v>
                      </c:pt>
                      <c:pt idx="51">
                        <c:v>3.1797222141670205</c:v>
                      </c:pt>
                      <c:pt idx="52">
                        <c:v>3.1597222231172459</c:v>
                      </c:pt>
                      <c:pt idx="53">
                        <c:v>3.0997222221227778</c:v>
                      </c:pt>
                      <c:pt idx="54">
                        <c:v>3.0017222222332709</c:v>
                      </c:pt>
                      <c:pt idx="55">
                        <c:v>2.8707222222209947</c:v>
                      </c:pt>
                      <c:pt idx="56">
                        <c:v>2.7097222222223603</c:v>
                      </c:pt>
                      <c:pt idx="57">
                        <c:v>2.5247222222222065</c:v>
                      </c:pt>
                      <c:pt idx="58">
                        <c:v>2.3227222222222261</c:v>
                      </c:pt>
                      <c:pt idx="59">
                        <c:v>2.1087222222222222</c:v>
                      </c:pt>
                      <c:pt idx="60">
                        <c:v>1.8637222222222223</c:v>
                      </c:pt>
                      <c:pt idx="61">
                        <c:v>1.6234722222222222</c:v>
                      </c:pt>
                      <c:pt idx="62">
                        <c:v>1.4094722222222222</c:v>
                      </c:pt>
                      <c:pt idx="63">
                        <c:v>1.2044722222222222</c:v>
                      </c:pt>
                      <c:pt idx="64">
                        <c:v>1.0134722222222223</c:v>
                      </c:pt>
                      <c:pt idx="65">
                        <c:v>0.85597222222222213</c:v>
                      </c:pt>
                      <c:pt idx="66">
                        <c:v>0.6819722222222222</c:v>
                      </c:pt>
                      <c:pt idx="67">
                        <c:v>0.54197222222222219</c:v>
                      </c:pt>
                      <c:pt idx="68">
                        <c:v>0.39497222222222222</c:v>
                      </c:pt>
                      <c:pt idx="69">
                        <c:v>0.26747222222222222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C5-4757-B564-8630EDE6953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6.2E-2</c:v>
                      </c:pt>
                      <c:pt idx="1">
                        <c:v>6.2E-2</c:v>
                      </c:pt>
                      <c:pt idx="2">
                        <c:v>6.2E-2</c:v>
                      </c:pt>
                      <c:pt idx="3">
                        <c:v>6.2E-2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4.0749999999999995E-2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2.375E-2</c:v>
                      </c:pt>
                      <c:pt idx="21">
                        <c:v>1.9749999999999997E-2</c:v>
                      </c:pt>
                      <c:pt idx="22">
                        <c:v>1.4749999999999999E-2</c:v>
                      </c:pt>
                      <c:pt idx="23">
                        <c:v>7.7499999999999999E-3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0.12774999999999997</c:v>
                      </c:pt>
                      <c:pt idx="29">
                        <c:v>1.7537500000000001</c:v>
                      </c:pt>
                      <c:pt idx="30">
                        <c:v>1.3632500000000001</c:v>
                      </c:pt>
                      <c:pt idx="31">
                        <c:v>1.2697500000000002</c:v>
                      </c:pt>
                      <c:pt idx="32">
                        <c:v>1.19675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0.13674999999999998</c:v>
                      </c:pt>
                      <c:pt idx="71">
                        <c:v>0.90974999999999995</c:v>
                      </c:pt>
                      <c:pt idx="72">
                        <c:v>2.0957499999999998</c:v>
                      </c:pt>
                      <c:pt idx="73">
                        <c:v>2.1612500000000003</c:v>
                      </c:pt>
                      <c:pt idx="74">
                        <c:v>2.1677500000000003</c:v>
                      </c:pt>
                      <c:pt idx="75">
                        <c:v>2.2264999999999997</c:v>
                      </c:pt>
                      <c:pt idx="76">
                        <c:v>0.75049999999999994</c:v>
                      </c:pt>
                      <c:pt idx="77">
                        <c:v>0.76749999999999996</c:v>
                      </c:pt>
                      <c:pt idx="78">
                        <c:v>3.15E-2</c:v>
                      </c:pt>
                      <c:pt idx="79">
                        <c:v>6.275E-2</c:v>
                      </c:pt>
                      <c:pt idx="80">
                        <c:v>2.0072499999999995</c:v>
                      </c:pt>
                      <c:pt idx="81">
                        <c:v>0.67225000000000001</c:v>
                      </c:pt>
                      <c:pt idx="82">
                        <c:v>0.14124999999999999</c:v>
                      </c:pt>
                      <c:pt idx="83">
                        <c:v>0.9634999999999998</c:v>
                      </c:pt>
                      <c:pt idx="84">
                        <c:v>0.1545</c:v>
                      </c:pt>
                      <c:pt idx="85">
                        <c:v>0.70450000000000002</c:v>
                      </c:pt>
                      <c:pt idx="86">
                        <c:v>0.9087499999999995</c:v>
                      </c:pt>
                      <c:pt idx="87">
                        <c:v>0.69199999999999995</c:v>
                      </c:pt>
                      <c:pt idx="88">
                        <c:v>0.69199999999999995</c:v>
                      </c:pt>
                      <c:pt idx="89">
                        <c:v>0.8539999999999992</c:v>
                      </c:pt>
                      <c:pt idx="90">
                        <c:v>0.1245</c:v>
                      </c:pt>
                      <c:pt idx="91">
                        <c:v>0.81749999999999901</c:v>
                      </c:pt>
                      <c:pt idx="92">
                        <c:v>0.16949999999999998</c:v>
                      </c:pt>
                      <c:pt idx="93">
                        <c:v>0.16449999999999998</c:v>
                      </c:pt>
                      <c:pt idx="94">
                        <c:v>0.1145</c:v>
                      </c:pt>
                      <c:pt idx="95">
                        <c:v>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C5-4757-B564-8630EDE6953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-6.2E-2</c:v>
                      </c:pt>
                      <c:pt idx="1">
                        <c:v>-6.2E-2</c:v>
                      </c:pt>
                      <c:pt idx="2">
                        <c:v>-6.2E-2</c:v>
                      </c:pt>
                      <c:pt idx="3">
                        <c:v>-6.2E-2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-4.0749999999999995E-2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-2.375E-2</c:v>
                      </c:pt>
                      <c:pt idx="21">
                        <c:v>-1.9749999999999997E-2</c:v>
                      </c:pt>
                      <c:pt idx="22">
                        <c:v>-1.4749999999999999E-2</c:v>
                      </c:pt>
                      <c:pt idx="23">
                        <c:v>-7.7499999999999999E-3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-0.12774999999999997</c:v>
                      </c:pt>
                      <c:pt idx="29">
                        <c:v>-1.7537500000000001</c:v>
                      </c:pt>
                      <c:pt idx="30">
                        <c:v>-1.3632500000000001</c:v>
                      </c:pt>
                      <c:pt idx="31">
                        <c:v>-1.2697500000000002</c:v>
                      </c:pt>
                      <c:pt idx="32">
                        <c:v>-1.19675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2.1472500000000001</c:v>
                      </c:pt>
                      <c:pt idx="44">
                        <c:v>2.3612500000000001</c:v>
                      </c:pt>
                      <c:pt idx="45">
                        <c:v>2.56325</c:v>
                      </c:pt>
                      <c:pt idx="46">
                        <c:v>2.7482500000000001</c:v>
                      </c:pt>
                      <c:pt idx="47">
                        <c:v>2.9092500000000001</c:v>
                      </c:pt>
                      <c:pt idx="48">
                        <c:v>3.0402499999999999</c:v>
                      </c:pt>
                      <c:pt idx="49">
                        <c:v>3.1382500000000002</c:v>
                      </c:pt>
                      <c:pt idx="50">
                        <c:v>3.1982500000000003</c:v>
                      </c:pt>
                      <c:pt idx="51">
                        <c:v>3.2182500000000003</c:v>
                      </c:pt>
                      <c:pt idx="52">
                        <c:v>3.1982500000000003</c:v>
                      </c:pt>
                      <c:pt idx="53">
                        <c:v>3.1382500000000002</c:v>
                      </c:pt>
                      <c:pt idx="54">
                        <c:v>3.0402499999999999</c:v>
                      </c:pt>
                      <c:pt idx="55">
                        <c:v>2.9092500000000001</c:v>
                      </c:pt>
                      <c:pt idx="56">
                        <c:v>2.7482500000000001</c:v>
                      </c:pt>
                      <c:pt idx="57">
                        <c:v>2.56325</c:v>
                      </c:pt>
                      <c:pt idx="58">
                        <c:v>2.3612500000000001</c:v>
                      </c:pt>
                      <c:pt idx="59">
                        <c:v>2.1472500000000001</c:v>
                      </c:pt>
                      <c:pt idx="60">
                        <c:v>1.90225</c:v>
                      </c:pt>
                      <c:pt idx="61">
                        <c:v>1.6619999999999999</c:v>
                      </c:pt>
                      <c:pt idx="62">
                        <c:v>1.448</c:v>
                      </c:pt>
                      <c:pt idx="63">
                        <c:v>1.2429999999999999</c:v>
                      </c:pt>
                      <c:pt idx="64">
                        <c:v>1.052</c:v>
                      </c:pt>
                      <c:pt idx="65">
                        <c:v>0.89449999999999996</c:v>
                      </c:pt>
                      <c:pt idx="66">
                        <c:v>0.72050000000000003</c:v>
                      </c:pt>
                      <c:pt idx="67">
                        <c:v>0.58050000000000002</c:v>
                      </c:pt>
                      <c:pt idx="68">
                        <c:v>0.4335</c:v>
                      </c:pt>
                      <c:pt idx="69">
                        <c:v>0.30599999999999999</c:v>
                      </c:pt>
                      <c:pt idx="70">
                        <c:v>-0.13674999999999998</c:v>
                      </c:pt>
                      <c:pt idx="71">
                        <c:v>-0.90974999999999995</c:v>
                      </c:pt>
                      <c:pt idx="72">
                        <c:v>-2.0957499999999998</c:v>
                      </c:pt>
                      <c:pt idx="73">
                        <c:v>-2.1612500000000003</c:v>
                      </c:pt>
                      <c:pt idx="74">
                        <c:v>-2.1677500000000003</c:v>
                      </c:pt>
                      <c:pt idx="75">
                        <c:v>-2.2264999999999997</c:v>
                      </c:pt>
                      <c:pt idx="76">
                        <c:v>-0.75049999999999994</c:v>
                      </c:pt>
                      <c:pt idx="77">
                        <c:v>-0.76749999999999996</c:v>
                      </c:pt>
                      <c:pt idx="78">
                        <c:v>-3.15E-2</c:v>
                      </c:pt>
                      <c:pt idx="79">
                        <c:v>-6.275E-2</c:v>
                      </c:pt>
                      <c:pt idx="80">
                        <c:v>-2.0072499999999995</c:v>
                      </c:pt>
                      <c:pt idx="81">
                        <c:v>-0.67225000000000001</c:v>
                      </c:pt>
                      <c:pt idx="82">
                        <c:v>-0.14124999999999999</c:v>
                      </c:pt>
                      <c:pt idx="83">
                        <c:v>-1.6432499999999999</c:v>
                      </c:pt>
                      <c:pt idx="84">
                        <c:v>-0.1545</c:v>
                      </c:pt>
                      <c:pt idx="85">
                        <c:v>-0.70450000000000002</c:v>
                      </c:pt>
                      <c:pt idx="86">
                        <c:v>-2.2094999999999998</c:v>
                      </c:pt>
                      <c:pt idx="87">
                        <c:v>-0.69199999999999995</c:v>
                      </c:pt>
                      <c:pt idx="88">
                        <c:v>-0.69199999999999995</c:v>
                      </c:pt>
                      <c:pt idx="89">
                        <c:v>-2.1894999999999998</c:v>
                      </c:pt>
                      <c:pt idx="90">
                        <c:v>-0.1245</c:v>
                      </c:pt>
                      <c:pt idx="91">
                        <c:v>-1.6245000000000001</c:v>
                      </c:pt>
                      <c:pt idx="92">
                        <c:v>-0.16949999999999998</c:v>
                      </c:pt>
                      <c:pt idx="93">
                        <c:v>-0.16449999999999998</c:v>
                      </c:pt>
                      <c:pt idx="94">
                        <c:v>-0.1145</c:v>
                      </c:pt>
                      <c:pt idx="95">
                        <c:v>-5.2000000000000005E-2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C5-4757-B564-8630EDE6953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15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14.892583333333333</c:v>
                      </c:pt>
                      <c:pt idx="1">
                        <c:v>14.785166666666665</c:v>
                      </c:pt>
                      <c:pt idx="2">
                        <c:v>14.677749999999998</c:v>
                      </c:pt>
                      <c:pt idx="3">
                        <c:v>14.57033333333333</c:v>
                      </c:pt>
                      <c:pt idx="4">
                        <c:v>14.486527777777775</c:v>
                      </c:pt>
                      <c:pt idx="5">
                        <c:v>14.40272222222222</c:v>
                      </c:pt>
                      <c:pt idx="6">
                        <c:v>14.318916666666665</c:v>
                      </c:pt>
                      <c:pt idx="7">
                        <c:v>14.235111111111109</c:v>
                      </c:pt>
                      <c:pt idx="8">
                        <c:v>14.151305555555554</c:v>
                      </c:pt>
                      <c:pt idx="9">
                        <c:v>14.067499999999999</c:v>
                      </c:pt>
                      <c:pt idx="10">
                        <c:v>14.000361111111109</c:v>
                      </c:pt>
                      <c:pt idx="11">
                        <c:v>13.93322222222222</c:v>
                      </c:pt>
                      <c:pt idx="12">
                        <c:v>13.86608333333333</c:v>
                      </c:pt>
                      <c:pt idx="13">
                        <c:v>13.798944444444441</c:v>
                      </c:pt>
                      <c:pt idx="14">
                        <c:v>13.731805555555551</c:v>
                      </c:pt>
                      <c:pt idx="15">
                        <c:v>13.664666666666662</c:v>
                      </c:pt>
                      <c:pt idx="16">
                        <c:v>13.597527777777772</c:v>
                      </c:pt>
                      <c:pt idx="17">
                        <c:v>13.530388888888883</c:v>
                      </c:pt>
                      <c:pt idx="18">
                        <c:v>13.463249999999993</c:v>
                      </c:pt>
                      <c:pt idx="19">
                        <c:v>13.396111111111104</c:v>
                      </c:pt>
                      <c:pt idx="20">
                        <c:v>13.331194444444437</c:v>
                      </c:pt>
                      <c:pt idx="21">
                        <c:v>13.270722222222215</c:v>
                      </c:pt>
                      <c:pt idx="22">
                        <c:v>13.215805555555548</c:v>
                      </c:pt>
                      <c:pt idx="23">
                        <c:v>13.16866666666666</c:v>
                      </c:pt>
                      <c:pt idx="24">
                        <c:v>13.132388888888881</c:v>
                      </c:pt>
                      <c:pt idx="25">
                        <c:v>13.110111111111102</c:v>
                      </c:pt>
                      <c:pt idx="26">
                        <c:v>13.104833333333325</c:v>
                      </c:pt>
                      <c:pt idx="27">
                        <c:v>13.068555555555546</c:v>
                      </c:pt>
                      <c:pt idx="28">
                        <c:v>12.888083333333324</c:v>
                      </c:pt>
                      <c:pt idx="29">
                        <c:v>10.900944444444434</c:v>
                      </c:pt>
                      <c:pt idx="30">
                        <c:v>9.3476944444444339</c:v>
                      </c:pt>
                      <c:pt idx="31">
                        <c:v>7.8983333333333228</c:v>
                      </c:pt>
                      <c:pt idx="32">
                        <c:v>6.530083333333323</c:v>
                      </c:pt>
                      <c:pt idx="33">
                        <c:v>6.8838055555555453</c:v>
                      </c:pt>
                      <c:pt idx="34">
                        <c:v>7.342527777777768</c:v>
                      </c:pt>
                      <c:pt idx="35">
                        <c:v>7.9232499999999906</c:v>
                      </c:pt>
                      <c:pt idx="36">
                        <c:v>8.6489722222222127</c:v>
                      </c:pt>
                      <c:pt idx="37">
                        <c:v>9.5336944444444338</c:v>
                      </c:pt>
                      <c:pt idx="38">
                        <c:v>10.593416666666656</c:v>
                      </c:pt>
                      <c:pt idx="39">
                        <c:v>11.844138888888876</c:v>
                      </c:pt>
                      <c:pt idx="40">
                        <c:v>13.299861111111097</c:v>
                      </c:pt>
                      <c:pt idx="41">
                        <c:v>14.969583333333318</c:v>
                      </c:pt>
                      <c:pt idx="42">
                        <c:v>16.858305555555543</c:v>
                      </c:pt>
                      <c:pt idx="43">
                        <c:v>18</c:v>
                      </c:pt>
                      <c:pt idx="44">
                        <c:v>17.961472222222223</c:v>
                      </c:pt>
                      <c:pt idx="45">
                        <c:v>17.965753086419753</c:v>
                      </c:pt>
                      <c:pt idx="46">
                        <c:v>17.96527743484225</c:v>
                      </c:pt>
                      <c:pt idx="47">
                        <c:v>17.965330285017529</c:v>
                      </c:pt>
                      <c:pt idx="48">
                        <c:v>17.965324412775832</c:v>
                      </c:pt>
                      <c:pt idx="49">
                        <c:v>17.965325065247132</c:v>
                      </c:pt>
                      <c:pt idx="50">
                        <c:v>17.965324992750318</c:v>
                      </c:pt>
                      <c:pt idx="51">
                        <c:v>17.965325000805521</c:v>
                      </c:pt>
                      <c:pt idx="52">
                        <c:v>17.9653249999105</c:v>
                      </c:pt>
                      <c:pt idx="53">
                        <c:v>17.965325000009944</c:v>
                      </c:pt>
                      <c:pt idx="54">
                        <c:v>17.965324999998895</c:v>
                      </c:pt>
                      <c:pt idx="55">
                        <c:v>17.965325000000124</c:v>
                      </c:pt>
                      <c:pt idx="56">
                        <c:v>17.965324999999986</c:v>
                      </c:pt>
                      <c:pt idx="57">
                        <c:v>17.965325000000004</c:v>
                      </c:pt>
                      <c:pt idx="58">
                        <c:v>17.965325</c:v>
                      </c:pt>
                      <c:pt idx="59">
                        <c:v>17.965325</c:v>
                      </c:pt>
                      <c:pt idx="60">
                        <c:v>17.965325</c:v>
                      </c:pt>
                      <c:pt idx="61">
                        <c:v>17.965325</c:v>
                      </c:pt>
                      <c:pt idx="62">
                        <c:v>17.965325</c:v>
                      </c:pt>
                      <c:pt idx="63">
                        <c:v>17.965325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17.965325</c:v>
                      </c:pt>
                      <c:pt idx="67">
                        <c:v>17.965325</c:v>
                      </c:pt>
                      <c:pt idx="68">
                        <c:v>17.965325</c:v>
                      </c:pt>
                      <c:pt idx="69">
                        <c:v>17.965325</c:v>
                      </c:pt>
                      <c:pt idx="70">
                        <c:v>17.774852777777781</c:v>
                      </c:pt>
                      <c:pt idx="71">
                        <c:v>16.72549166666667</c:v>
                      </c:pt>
                      <c:pt idx="72">
                        <c:v>14.358352777777782</c:v>
                      </c:pt>
                      <c:pt idx="73">
                        <c:v>11.918436111111115</c:v>
                      </c:pt>
                      <c:pt idx="74">
                        <c:v>9.4712972222222245</c:v>
                      </c:pt>
                      <c:pt idx="75">
                        <c:v>6.9588805555555577</c:v>
                      </c:pt>
                      <c:pt idx="76">
                        <c:v>6.0864638888888916</c:v>
                      </c:pt>
                      <c:pt idx="77">
                        <c:v>5.1951583333333362</c:v>
                      </c:pt>
                      <c:pt idx="78">
                        <c:v>5.1216305555555586</c:v>
                      </c:pt>
                      <c:pt idx="79">
                        <c:v>5.0133805555555586</c:v>
                      </c:pt>
                      <c:pt idx="80">
                        <c:v>2.7445750000000033</c:v>
                      </c:pt>
                      <c:pt idx="81">
                        <c:v>1.9817499999999999</c:v>
                      </c:pt>
                      <c:pt idx="82">
                        <c:v>1.9634999999999998</c:v>
                      </c:pt>
                      <c:pt idx="83">
                        <c:v>1.9452499999999997</c:v>
                      </c:pt>
                      <c:pt idx="84">
                        <c:v>1.9269999999999996</c:v>
                      </c:pt>
                      <c:pt idx="85">
                        <c:v>1.9087499999999995</c:v>
                      </c:pt>
                      <c:pt idx="86">
                        <c:v>1.8904999999999994</c:v>
                      </c:pt>
                      <c:pt idx="87">
                        <c:v>1.8722499999999993</c:v>
                      </c:pt>
                      <c:pt idx="88">
                        <c:v>1.8539999999999992</c:v>
                      </c:pt>
                      <c:pt idx="89">
                        <c:v>1.8357499999999991</c:v>
                      </c:pt>
                      <c:pt idx="90">
                        <c:v>1.817499999999999</c:v>
                      </c:pt>
                      <c:pt idx="91">
                        <c:v>1.7992499999999989</c:v>
                      </c:pt>
                      <c:pt idx="92">
                        <c:v>1.7809999999999988</c:v>
                      </c:pt>
                      <c:pt idx="93">
                        <c:v>1.7627499999999987</c:v>
                      </c:pt>
                      <c:pt idx="94">
                        <c:v>1.7444999999999986</c:v>
                      </c:pt>
                      <c:pt idx="95">
                        <c:v>1.7262499999999985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C5-4757-B564-8630EDE6953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0.74462916666666668</c:v>
                      </c:pt>
                      <c:pt idx="1">
                        <c:v>0.73925833333333324</c:v>
                      </c:pt>
                      <c:pt idx="2">
                        <c:v>0.73388749999999991</c:v>
                      </c:pt>
                      <c:pt idx="3">
                        <c:v>0.72851666666666648</c:v>
                      </c:pt>
                      <c:pt idx="4">
                        <c:v>0.72432638888888878</c:v>
                      </c:pt>
                      <c:pt idx="5">
                        <c:v>0.72013611111111098</c:v>
                      </c:pt>
                      <c:pt idx="6">
                        <c:v>0.71594583333333328</c:v>
                      </c:pt>
                      <c:pt idx="7">
                        <c:v>0.71175555555555547</c:v>
                      </c:pt>
                      <c:pt idx="8">
                        <c:v>0.70756527777777767</c:v>
                      </c:pt>
                      <c:pt idx="9">
                        <c:v>0.70337499999999997</c:v>
                      </c:pt>
                      <c:pt idx="10">
                        <c:v>0.70001805555555552</c:v>
                      </c:pt>
                      <c:pt idx="11">
                        <c:v>0.69666111111111095</c:v>
                      </c:pt>
                      <c:pt idx="12">
                        <c:v>0.6933041666666665</c:v>
                      </c:pt>
                      <c:pt idx="13">
                        <c:v>0.68994722222222205</c:v>
                      </c:pt>
                      <c:pt idx="14">
                        <c:v>0.68659027777777759</c:v>
                      </c:pt>
                      <c:pt idx="15">
                        <c:v>0.68323333333333314</c:v>
                      </c:pt>
                      <c:pt idx="16">
                        <c:v>0.67987638888888857</c:v>
                      </c:pt>
                      <c:pt idx="17">
                        <c:v>0.67651944444444412</c:v>
                      </c:pt>
                      <c:pt idx="18">
                        <c:v>0.67316249999999966</c:v>
                      </c:pt>
                      <c:pt idx="19">
                        <c:v>0.66980555555555521</c:v>
                      </c:pt>
                      <c:pt idx="20">
                        <c:v>0.66655972222222182</c:v>
                      </c:pt>
                      <c:pt idx="21">
                        <c:v>0.66353611111111077</c:v>
                      </c:pt>
                      <c:pt idx="22">
                        <c:v>0.66079027777777744</c:v>
                      </c:pt>
                      <c:pt idx="23">
                        <c:v>0.65843333333333298</c:v>
                      </c:pt>
                      <c:pt idx="24">
                        <c:v>0.65661944444444409</c:v>
                      </c:pt>
                      <c:pt idx="25">
                        <c:v>0.65550555555555512</c:v>
                      </c:pt>
                      <c:pt idx="26">
                        <c:v>0.65524166666666628</c:v>
                      </c:pt>
                      <c:pt idx="27">
                        <c:v>0.65342777777777727</c:v>
                      </c:pt>
                      <c:pt idx="28">
                        <c:v>0.64440416666666622</c:v>
                      </c:pt>
                      <c:pt idx="29">
                        <c:v>0.54504722222222168</c:v>
                      </c:pt>
                      <c:pt idx="30">
                        <c:v>0.46738472222222172</c:v>
                      </c:pt>
                      <c:pt idx="31">
                        <c:v>0.39491666666666614</c:v>
                      </c:pt>
                      <c:pt idx="32">
                        <c:v>0.32650416666666615</c:v>
                      </c:pt>
                      <c:pt idx="33">
                        <c:v>0.34419027777777728</c:v>
                      </c:pt>
                      <c:pt idx="34">
                        <c:v>0.36712638888888838</c:v>
                      </c:pt>
                      <c:pt idx="35">
                        <c:v>0.39616249999999953</c:v>
                      </c:pt>
                      <c:pt idx="36">
                        <c:v>0.43244861111111066</c:v>
                      </c:pt>
                      <c:pt idx="37">
                        <c:v>0.47668472222222169</c:v>
                      </c:pt>
                      <c:pt idx="38">
                        <c:v>0.52967083333333276</c:v>
                      </c:pt>
                      <c:pt idx="39">
                        <c:v>0.59220694444444377</c:v>
                      </c:pt>
                      <c:pt idx="40">
                        <c:v>0.66499305555555488</c:v>
                      </c:pt>
                      <c:pt idx="41">
                        <c:v>0.74847916666666592</c:v>
                      </c:pt>
                      <c:pt idx="42">
                        <c:v>0.84291527777777708</c:v>
                      </c:pt>
                      <c:pt idx="43">
                        <c:v>0.9</c:v>
                      </c:pt>
                      <c:pt idx="44">
                        <c:v>0.89807361111111117</c:v>
                      </c:pt>
                      <c:pt idx="45">
                        <c:v>0.89828765432098767</c:v>
                      </c:pt>
                      <c:pt idx="46">
                        <c:v>0.89826387174211253</c:v>
                      </c:pt>
                      <c:pt idx="47">
                        <c:v>0.89826651425087645</c:v>
                      </c:pt>
                      <c:pt idx="48">
                        <c:v>0.89826622063879158</c:v>
                      </c:pt>
                      <c:pt idx="49">
                        <c:v>0.89826625326235665</c:v>
                      </c:pt>
                      <c:pt idx="50">
                        <c:v>0.89826624963751589</c:v>
                      </c:pt>
                      <c:pt idx="51">
                        <c:v>0.89826625004027605</c:v>
                      </c:pt>
                      <c:pt idx="52">
                        <c:v>0.89826624999552496</c:v>
                      </c:pt>
                      <c:pt idx="53">
                        <c:v>0.8982662500004972</c:v>
                      </c:pt>
                      <c:pt idx="54">
                        <c:v>0.89826624999994475</c:v>
                      </c:pt>
                      <c:pt idx="55">
                        <c:v>0.89826625000000626</c:v>
                      </c:pt>
                      <c:pt idx="56">
                        <c:v>0.89826624999999927</c:v>
                      </c:pt>
                      <c:pt idx="57">
                        <c:v>0.89826625000000015</c:v>
                      </c:pt>
                      <c:pt idx="58">
                        <c:v>0.89826625000000004</c:v>
                      </c:pt>
                      <c:pt idx="59">
                        <c:v>0.89826625000000004</c:v>
                      </c:pt>
                      <c:pt idx="60">
                        <c:v>0.89826625000000004</c:v>
                      </c:pt>
                      <c:pt idx="61">
                        <c:v>0.89826625000000004</c:v>
                      </c:pt>
                      <c:pt idx="62">
                        <c:v>0.89826625000000004</c:v>
                      </c:pt>
                      <c:pt idx="63">
                        <c:v>0.89826625000000004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0.89826625000000004</c:v>
                      </c:pt>
                      <c:pt idx="67">
                        <c:v>0.89826625000000004</c:v>
                      </c:pt>
                      <c:pt idx="68">
                        <c:v>0.89826625000000004</c:v>
                      </c:pt>
                      <c:pt idx="69">
                        <c:v>0.89826625000000004</c:v>
                      </c:pt>
                      <c:pt idx="70">
                        <c:v>0.88874263888888905</c:v>
                      </c:pt>
                      <c:pt idx="71">
                        <c:v>0.83627458333333349</c:v>
                      </c:pt>
                      <c:pt idx="72">
                        <c:v>0.71791763888888904</c:v>
                      </c:pt>
                      <c:pt idx="73">
                        <c:v>0.59592180555555574</c:v>
                      </c:pt>
                      <c:pt idx="74">
                        <c:v>0.47356486111111123</c:v>
                      </c:pt>
                      <c:pt idx="75">
                        <c:v>0.34794402777777789</c:v>
                      </c:pt>
                      <c:pt idx="76">
                        <c:v>0.30432319444444456</c:v>
                      </c:pt>
                      <c:pt idx="77">
                        <c:v>0.25975791666666681</c:v>
                      </c:pt>
                      <c:pt idx="78">
                        <c:v>0.25608152777777793</c:v>
                      </c:pt>
                      <c:pt idx="79">
                        <c:v>0.25066902777777794</c:v>
                      </c:pt>
                      <c:pt idx="80">
                        <c:v>0.13722875000000018</c:v>
                      </c:pt>
                      <c:pt idx="81">
                        <c:v>9.9087499999999995E-2</c:v>
                      </c:pt>
                      <c:pt idx="82">
                        <c:v>9.8174999999999985E-2</c:v>
                      </c:pt>
                      <c:pt idx="83">
                        <c:v>9.7262499999999988E-2</c:v>
                      </c:pt>
                      <c:pt idx="84">
                        <c:v>9.6349999999999977E-2</c:v>
                      </c:pt>
                      <c:pt idx="85">
                        <c:v>9.5437499999999981E-2</c:v>
                      </c:pt>
                      <c:pt idx="86">
                        <c:v>9.452499999999997E-2</c:v>
                      </c:pt>
                      <c:pt idx="87">
                        <c:v>9.361249999999996E-2</c:v>
                      </c:pt>
                      <c:pt idx="88">
                        <c:v>9.2699999999999963E-2</c:v>
                      </c:pt>
                      <c:pt idx="89">
                        <c:v>9.1787499999999952E-2</c:v>
                      </c:pt>
                      <c:pt idx="90">
                        <c:v>9.0874999999999956E-2</c:v>
                      </c:pt>
                      <c:pt idx="91">
                        <c:v>8.9962499999999945E-2</c:v>
                      </c:pt>
                      <c:pt idx="92">
                        <c:v>8.9049999999999935E-2</c:v>
                      </c:pt>
                      <c:pt idx="93">
                        <c:v>8.8137499999999938E-2</c:v>
                      </c:pt>
                      <c:pt idx="94">
                        <c:v>8.7224999999999928E-2</c:v>
                      </c:pt>
                      <c:pt idx="95">
                        <c:v>8.6312499999999931E-2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8C5-4757-B564-8630EDE6953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2.0250000000000021E-3</c:v>
                      </c:pt>
                      <c:pt idx="25">
                        <c:v>1.4625000000000004E-2</c:v>
                      </c:pt>
                      <c:pt idx="26">
                        <c:v>2.9925000000000004E-2</c:v>
                      </c:pt>
                      <c:pt idx="27">
                        <c:v>2.0250000000000021E-3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0.35302499999999998</c:v>
                      </c:pt>
                      <c:pt idx="34">
                        <c:v>0.44752500000000001</c:v>
                      </c:pt>
                      <c:pt idx="35">
                        <c:v>0.55732500000000007</c:v>
                      </c:pt>
                      <c:pt idx="36">
                        <c:v>0.68782500000000002</c:v>
                      </c:pt>
                      <c:pt idx="37">
                        <c:v>0.83092499999999991</c:v>
                      </c:pt>
                      <c:pt idx="38">
                        <c:v>0.98842500000000022</c:v>
                      </c:pt>
                      <c:pt idx="39">
                        <c:v>1.1603250000000001</c:v>
                      </c:pt>
                      <c:pt idx="40">
                        <c:v>1.3448250000000002</c:v>
                      </c:pt>
                      <c:pt idx="41">
                        <c:v>1.537425</c:v>
                      </c:pt>
                      <c:pt idx="42">
                        <c:v>1.7345250000000001</c:v>
                      </c:pt>
                      <c:pt idx="43">
                        <c:v>1.1416944444444574</c:v>
                      </c:pt>
                      <c:pt idx="44">
                        <c:v>0</c:v>
                      </c:pt>
                      <c:pt idx="45">
                        <c:v>3.8527777777776606E-2</c:v>
                      </c:pt>
                      <c:pt idx="46">
                        <c:v>3.4246913580247451E-2</c:v>
                      </c:pt>
                      <c:pt idx="47">
                        <c:v>3.4722565157750296E-2</c:v>
                      </c:pt>
                      <c:pt idx="48">
                        <c:v>3.4669714982470623E-2</c:v>
                      </c:pt>
                      <c:pt idx="49">
                        <c:v>3.467558722416797E-2</c:v>
                      </c:pt>
                      <c:pt idx="50">
                        <c:v>3.467493475286787E-2</c:v>
                      </c:pt>
                      <c:pt idx="51">
                        <c:v>3.4675007249681755E-2</c:v>
                      </c:pt>
                      <c:pt idx="52">
                        <c:v>3.4674999194479028E-2</c:v>
                      </c:pt>
                      <c:pt idx="53">
                        <c:v>3.4675000089499974E-2</c:v>
                      </c:pt>
                      <c:pt idx="54">
                        <c:v>3.4674999990055966E-2</c:v>
                      </c:pt>
                      <c:pt idx="55">
                        <c:v>3.4675000001104905E-2</c:v>
                      </c:pt>
                      <c:pt idx="56">
                        <c:v>3.4674999999875666E-2</c:v>
                      </c:pt>
                      <c:pt idx="57">
                        <c:v>3.4675000000014222E-2</c:v>
                      </c:pt>
                      <c:pt idx="58">
                        <c:v>3.4674999999996459E-2</c:v>
                      </c:pt>
                      <c:pt idx="59">
                        <c:v>3.4675000000000011E-2</c:v>
                      </c:pt>
                      <c:pt idx="60">
                        <c:v>3.4675000000000011E-2</c:v>
                      </c:pt>
                      <c:pt idx="61">
                        <c:v>3.4675000000000011E-2</c:v>
                      </c:pt>
                      <c:pt idx="62">
                        <c:v>3.4675000000000011E-2</c:v>
                      </c:pt>
                      <c:pt idx="63">
                        <c:v>3.4675000000000011E-2</c:v>
                      </c:pt>
                      <c:pt idx="64">
                        <c:v>3.4675000000000011E-2</c:v>
                      </c:pt>
                      <c:pt idx="65">
                        <c:v>3.4675000000000011E-2</c:v>
                      </c:pt>
                      <c:pt idx="66">
                        <c:v>3.4675000000000011E-2</c:v>
                      </c:pt>
                      <c:pt idx="67">
                        <c:v>3.4675000000000011E-2</c:v>
                      </c:pt>
                      <c:pt idx="68">
                        <c:v>3.4675000000000011E-2</c:v>
                      </c:pt>
                      <c:pt idx="69">
                        <c:v>3.4675000000000011E-2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8C5-4757-B564-8630EDE6953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2.250000000000002E-3</c:v>
                      </c:pt>
                      <c:pt idx="25">
                        <c:v>1.6250000000000004E-2</c:v>
                      </c:pt>
                      <c:pt idx="26">
                        <c:v>3.3250000000000002E-2</c:v>
                      </c:pt>
                      <c:pt idx="27">
                        <c:v>2.250000000000002E-3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0.39224999999999999</c:v>
                      </c:pt>
                      <c:pt idx="34">
                        <c:v>0.49725000000000003</c:v>
                      </c:pt>
                      <c:pt idx="35">
                        <c:v>0.61925000000000008</c:v>
                      </c:pt>
                      <c:pt idx="36">
                        <c:v>0.76424999999999998</c:v>
                      </c:pt>
                      <c:pt idx="37">
                        <c:v>0.9232499999999999</c:v>
                      </c:pt>
                      <c:pt idx="38">
                        <c:v>1.0982500000000002</c:v>
                      </c:pt>
                      <c:pt idx="39">
                        <c:v>1.28925</c:v>
                      </c:pt>
                      <c:pt idx="40">
                        <c:v>1.4942500000000001</c:v>
                      </c:pt>
                      <c:pt idx="41">
                        <c:v>1.70825</c:v>
                      </c:pt>
                      <c:pt idx="42">
                        <c:v>1.9272500000000001</c:v>
                      </c:pt>
                      <c:pt idx="43">
                        <c:v>1.2685493827160639</c:v>
                      </c:pt>
                      <c:pt idx="44">
                        <c:v>0</c:v>
                      </c:pt>
                      <c:pt idx="45">
                        <c:v>4.2808641975307336E-2</c:v>
                      </c:pt>
                      <c:pt idx="46">
                        <c:v>3.8052126200274948E-2</c:v>
                      </c:pt>
                      <c:pt idx="47">
                        <c:v>3.8580627953055883E-2</c:v>
                      </c:pt>
                      <c:pt idx="48">
                        <c:v>3.8521905536078468E-2</c:v>
                      </c:pt>
                      <c:pt idx="49">
                        <c:v>3.852843024907552E-2</c:v>
                      </c:pt>
                      <c:pt idx="50">
                        <c:v>3.8527705280964296E-2</c:v>
                      </c:pt>
                      <c:pt idx="51">
                        <c:v>3.8527785832979729E-2</c:v>
                      </c:pt>
                      <c:pt idx="52">
                        <c:v>3.8527776882754473E-2</c:v>
                      </c:pt>
                      <c:pt idx="53">
                        <c:v>3.852777787722219E-2</c:v>
                      </c:pt>
                      <c:pt idx="54">
                        <c:v>3.8527777766728853E-2</c:v>
                      </c:pt>
                      <c:pt idx="55">
                        <c:v>3.852777777900545E-2</c:v>
                      </c:pt>
                      <c:pt idx="56">
                        <c:v>3.8527777777639625E-2</c:v>
                      </c:pt>
                      <c:pt idx="57">
                        <c:v>3.8527777777793579E-2</c:v>
                      </c:pt>
                      <c:pt idx="58">
                        <c:v>3.8527777777773844E-2</c:v>
                      </c:pt>
                      <c:pt idx="59">
                        <c:v>3.8527777777777793E-2</c:v>
                      </c:pt>
                      <c:pt idx="60">
                        <c:v>3.8527777777777793E-2</c:v>
                      </c:pt>
                      <c:pt idx="61">
                        <c:v>3.8527777777777793E-2</c:v>
                      </c:pt>
                      <c:pt idx="62">
                        <c:v>3.8527777777777793E-2</c:v>
                      </c:pt>
                      <c:pt idx="63">
                        <c:v>3.8527777777777793E-2</c:v>
                      </c:pt>
                      <c:pt idx="64">
                        <c:v>3.8527777777777793E-2</c:v>
                      </c:pt>
                      <c:pt idx="65">
                        <c:v>3.8527777777777793E-2</c:v>
                      </c:pt>
                      <c:pt idx="66">
                        <c:v>3.8527777777777793E-2</c:v>
                      </c:pt>
                      <c:pt idx="67">
                        <c:v>3.8527777777777793E-2</c:v>
                      </c:pt>
                      <c:pt idx="68">
                        <c:v>3.8527777777777793E-2</c:v>
                      </c:pt>
                      <c:pt idx="69">
                        <c:v>3.8527777777777793E-2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8C5-4757-B564-8630EDE6953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8.0250000000000002E-2</c:v>
                      </c:pt>
                      <c:pt idx="1">
                        <c:v>8.0250000000000002E-2</c:v>
                      </c:pt>
                      <c:pt idx="2">
                        <c:v>8.0250000000000002E-2</c:v>
                      </c:pt>
                      <c:pt idx="3">
                        <c:v>8.0250000000000002E-2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5.8999999999999997E-2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4.1999999999999996E-2</c:v>
                      </c:pt>
                      <c:pt idx="21">
                        <c:v>3.7999999999999992E-2</c:v>
                      </c:pt>
                      <c:pt idx="22">
                        <c:v>3.3000000000000002E-2</c:v>
                      </c:pt>
                      <c:pt idx="23">
                        <c:v>2.5999999999999999E-2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0.14599999999999996</c:v>
                      </c:pt>
                      <c:pt idx="29">
                        <c:v>1.7720000000000002</c:v>
                      </c:pt>
                      <c:pt idx="30">
                        <c:v>1.3815000000000002</c:v>
                      </c:pt>
                      <c:pt idx="31">
                        <c:v>1.2880000000000003</c:v>
                      </c:pt>
                      <c:pt idx="32">
                        <c:v>1.2150000000000001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0.15499999999999997</c:v>
                      </c:pt>
                      <c:pt idx="71">
                        <c:v>0.92799999999999994</c:v>
                      </c:pt>
                      <c:pt idx="72">
                        <c:v>2.1139999999999999</c:v>
                      </c:pt>
                      <c:pt idx="73">
                        <c:v>2.1795000000000004</c:v>
                      </c:pt>
                      <c:pt idx="74">
                        <c:v>2.1860000000000004</c:v>
                      </c:pt>
                      <c:pt idx="75">
                        <c:v>2.2447499999999998</c:v>
                      </c:pt>
                      <c:pt idx="76">
                        <c:v>0.76874999999999993</c:v>
                      </c:pt>
                      <c:pt idx="77">
                        <c:v>0.78574999999999995</c:v>
                      </c:pt>
                      <c:pt idx="78">
                        <c:v>4.9750000000000003E-2</c:v>
                      </c:pt>
                      <c:pt idx="79">
                        <c:v>8.1000000000000003E-2</c:v>
                      </c:pt>
                      <c:pt idx="80">
                        <c:v>2.0254999999999996</c:v>
                      </c:pt>
                      <c:pt idx="81">
                        <c:v>0.6905</c:v>
                      </c:pt>
                      <c:pt idx="82">
                        <c:v>0.15949999999999998</c:v>
                      </c:pt>
                      <c:pt idx="83">
                        <c:v>0.9634999999999998</c:v>
                      </c:pt>
                      <c:pt idx="84">
                        <c:v>0.17274999999999999</c:v>
                      </c:pt>
                      <c:pt idx="85">
                        <c:v>0.72275</c:v>
                      </c:pt>
                      <c:pt idx="86">
                        <c:v>0.9087499999999995</c:v>
                      </c:pt>
                      <c:pt idx="87">
                        <c:v>0.71024999999999994</c:v>
                      </c:pt>
                      <c:pt idx="88">
                        <c:v>0.71024999999999994</c:v>
                      </c:pt>
                      <c:pt idx="89">
                        <c:v>0.8539999999999992</c:v>
                      </c:pt>
                      <c:pt idx="90">
                        <c:v>0.14274999999999999</c:v>
                      </c:pt>
                      <c:pt idx="91">
                        <c:v>0.81749999999999901</c:v>
                      </c:pt>
                      <c:pt idx="92">
                        <c:v>0.18774999999999997</c:v>
                      </c:pt>
                      <c:pt idx="93">
                        <c:v>0.18274999999999997</c:v>
                      </c:pt>
                      <c:pt idx="94">
                        <c:v>0.13275000000000001</c:v>
                      </c:pt>
                      <c:pt idx="95">
                        <c:v>7.0250000000000007E-2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8C5-4757-B564-8630EDE6953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Červenec!$O$3:$O$98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8.9166666666666672E-2</c:v>
                      </c:pt>
                      <c:pt idx="1">
                        <c:v>8.9166666666666672E-2</c:v>
                      </c:pt>
                      <c:pt idx="2">
                        <c:v>8.9166666666666672E-2</c:v>
                      </c:pt>
                      <c:pt idx="3">
                        <c:v>8.9166666666666672E-2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6.5555555555555547E-2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4.6666666666666662E-2</c:v>
                      </c:pt>
                      <c:pt idx="21">
                        <c:v>4.222222222222221E-2</c:v>
                      </c:pt>
                      <c:pt idx="22">
                        <c:v>3.6666666666666667E-2</c:v>
                      </c:pt>
                      <c:pt idx="23">
                        <c:v>2.8888888888888888E-2</c:v>
                      </c:pt>
                      <c:pt idx="24">
                        <c:v>2.0277777777777777E-2</c:v>
                      </c:pt>
                      <c:pt idx="25">
                        <c:v>2.0277777777777777E-2</c:v>
                      </c:pt>
                      <c:pt idx="26">
                        <c:v>2.0277777777777777E-2</c:v>
                      </c:pt>
                      <c:pt idx="27">
                        <c:v>2.0277777777777777E-2</c:v>
                      </c:pt>
                      <c:pt idx="28">
                        <c:v>0.16222222222222218</c:v>
                      </c:pt>
                      <c:pt idx="29">
                        <c:v>1.9688888888888891</c:v>
                      </c:pt>
                      <c:pt idx="30">
                        <c:v>1.5350000000000001</c:v>
                      </c:pt>
                      <c:pt idx="31">
                        <c:v>1.4311111111111114</c:v>
                      </c:pt>
                      <c:pt idx="32">
                        <c:v>1.35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2.0277777777777777E-2</c:v>
                      </c:pt>
                      <c:pt idx="67">
                        <c:v>2.0277777777777777E-2</c:v>
                      </c:pt>
                      <c:pt idx="68">
                        <c:v>2.0277777777777777E-2</c:v>
                      </c:pt>
                      <c:pt idx="69">
                        <c:v>2.0277777777777777E-2</c:v>
                      </c:pt>
                      <c:pt idx="70">
                        <c:v>0.17222222222222219</c:v>
                      </c:pt>
                      <c:pt idx="71">
                        <c:v>1.0311111111111111</c:v>
                      </c:pt>
                      <c:pt idx="72">
                        <c:v>2.3488888888888888</c:v>
                      </c:pt>
                      <c:pt idx="73">
                        <c:v>2.4216666666666673</c:v>
                      </c:pt>
                      <c:pt idx="74">
                        <c:v>2.4288888888888893</c:v>
                      </c:pt>
                      <c:pt idx="75">
                        <c:v>2.4941666666666662</c:v>
                      </c:pt>
                      <c:pt idx="76">
                        <c:v>0.85416666666666652</c:v>
                      </c:pt>
                      <c:pt idx="77">
                        <c:v>0.87305555555555547</c:v>
                      </c:pt>
                      <c:pt idx="78">
                        <c:v>5.527777777777778E-2</c:v>
                      </c:pt>
                      <c:pt idx="79">
                        <c:v>0.09</c:v>
                      </c:pt>
                      <c:pt idx="80">
                        <c:v>2.2505555555555552</c:v>
                      </c:pt>
                      <c:pt idx="81">
                        <c:v>0.76722222222222225</c:v>
                      </c:pt>
                      <c:pt idx="82">
                        <c:v>0.1772222222222222</c:v>
                      </c:pt>
                      <c:pt idx="83">
                        <c:v>1.0705555555555553</c:v>
                      </c:pt>
                      <c:pt idx="84">
                        <c:v>0.19194444444444442</c:v>
                      </c:pt>
                      <c:pt idx="85">
                        <c:v>0.80305555555555552</c:v>
                      </c:pt>
                      <c:pt idx="86">
                        <c:v>1.0097222222222217</c:v>
                      </c:pt>
                      <c:pt idx="87">
                        <c:v>0.78916666666666657</c:v>
                      </c:pt>
                      <c:pt idx="88">
                        <c:v>0.78916666666666657</c:v>
                      </c:pt>
                      <c:pt idx="89">
                        <c:v>0.948888888888888</c:v>
                      </c:pt>
                      <c:pt idx="90">
                        <c:v>0.15861111111111109</c:v>
                      </c:pt>
                      <c:pt idx="91">
                        <c:v>0.90833333333333222</c:v>
                      </c:pt>
                      <c:pt idx="92">
                        <c:v>0.20861111111111108</c:v>
                      </c:pt>
                      <c:pt idx="93">
                        <c:v>0.20305555555555552</c:v>
                      </c:pt>
                      <c:pt idx="94">
                        <c:v>0.14749999999999999</c:v>
                      </c:pt>
                      <c:pt idx="95">
                        <c:v>7.8055555555555559E-2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8C5-4757-B564-8630EDE6953C}"/>
                  </c:ext>
                </c:extLst>
              </c15:ser>
            </c15:filteredLineSeries>
          </c:ext>
        </c:extLst>
      </c:lineChart>
      <c:catAx>
        <c:axId val="692516767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8879"/>
        <c:crosses val="autoZero"/>
        <c:auto val="1"/>
        <c:lblAlgn val="ctr"/>
        <c:lblOffset val="100"/>
        <c:noMultiLvlLbl val="0"/>
      </c:catAx>
      <c:valAx>
        <c:axId val="5403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25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[projekt-FVE-domacnost4.xlsx]Říjen kotig!Kontingenční tabulka2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'Říjen kotig'!$B$1</c:f>
              <c:strCache>
                <c:ptCount val="1"/>
                <c:pt idx="0">
                  <c:v>Součet z Spotřeba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kotig'!$B$2:$B$29</c:f>
              <c:numCache>
                <c:formatCode>General</c:formatCode>
                <c:ptCount val="25"/>
                <c:pt idx="0">
                  <c:v>2.1779999999999999</c:v>
                </c:pt>
                <c:pt idx="1">
                  <c:v>2.1779999999999999</c:v>
                </c:pt>
                <c:pt idx="2">
                  <c:v>2.1217499999999996</c:v>
                </c:pt>
                <c:pt idx="3">
                  <c:v>2.1029999999999998</c:v>
                </c:pt>
                <c:pt idx="4">
                  <c:v>2.1029999999999998</c:v>
                </c:pt>
                <c:pt idx="5">
                  <c:v>2.1079999999999997</c:v>
                </c:pt>
                <c:pt idx="6">
                  <c:v>4.7214999999999998</c:v>
                </c:pt>
                <c:pt idx="7">
                  <c:v>4.2240000000000002</c:v>
                </c:pt>
                <c:pt idx="8">
                  <c:v>0.6110000000000001</c:v>
                </c:pt>
                <c:pt idx="9">
                  <c:v>0.10299999999999999</c:v>
                </c:pt>
                <c:pt idx="10">
                  <c:v>0.10299999999999999</c:v>
                </c:pt>
                <c:pt idx="11">
                  <c:v>1.103</c:v>
                </c:pt>
                <c:pt idx="12">
                  <c:v>0.10299999999999999</c:v>
                </c:pt>
                <c:pt idx="13">
                  <c:v>0.10299999999999999</c:v>
                </c:pt>
                <c:pt idx="14">
                  <c:v>1.103</c:v>
                </c:pt>
                <c:pt idx="15">
                  <c:v>0.10299999999999999</c:v>
                </c:pt>
                <c:pt idx="16">
                  <c:v>4.2004999999999999</c:v>
                </c:pt>
                <c:pt idx="17">
                  <c:v>8.0410000000000004</c:v>
                </c:pt>
                <c:pt idx="18">
                  <c:v>10.257</c:v>
                </c:pt>
                <c:pt idx="19">
                  <c:v>3.66</c:v>
                </c:pt>
                <c:pt idx="20">
                  <c:v>3.0219999999999998</c:v>
                </c:pt>
                <c:pt idx="21">
                  <c:v>6.2190000000000012</c:v>
                </c:pt>
                <c:pt idx="22">
                  <c:v>4.1184999999999992</c:v>
                </c:pt>
                <c:pt idx="23">
                  <c:v>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6-4885-A1E5-8E03980DB69A}"/>
            </c:ext>
          </c:extLst>
        </c:ser>
        <c:ser>
          <c:idx val="1"/>
          <c:order val="1"/>
          <c:tx>
            <c:strRef>
              <c:f>'Říjen kotig'!$C$1</c:f>
              <c:strCache>
                <c:ptCount val="1"/>
                <c:pt idx="0">
                  <c:v>Součet z Přímá vlastní spotřeba z FVE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kotig'!$C$2:$C$29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2E-3</c:v>
                </c:pt>
                <c:pt idx="6">
                  <c:v>2.1999999999999999E-2</c:v>
                </c:pt>
                <c:pt idx="7">
                  <c:v>0.128</c:v>
                </c:pt>
                <c:pt idx="8">
                  <c:v>0.15525</c:v>
                </c:pt>
                <c:pt idx="9">
                  <c:v>0.10299999999999999</c:v>
                </c:pt>
                <c:pt idx="10">
                  <c:v>0.10299999999999999</c:v>
                </c:pt>
                <c:pt idx="11">
                  <c:v>1.103</c:v>
                </c:pt>
                <c:pt idx="12">
                  <c:v>0.10299999999999999</c:v>
                </c:pt>
                <c:pt idx="13">
                  <c:v>0.10299999999999999</c:v>
                </c:pt>
                <c:pt idx="14">
                  <c:v>1.103</c:v>
                </c:pt>
                <c:pt idx="15">
                  <c:v>0.10299999999999999</c:v>
                </c:pt>
                <c:pt idx="16">
                  <c:v>1.3720000000000001</c:v>
                </c:pt>
                <c:pt idx="17">
                  <c:v>0.39700000000000002</c:v>
                </c:pt>
                <c:pt idx="18">
                  <c:v>8.4999999999999992E-2</c:v>
                </c:pt>
                <c:pt idx="19">
                  <c:v>1.3000000000000001E-2</c:v>
                </c:pt>
                <c:pt idx="20">
                  <c:v>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C6-4885-A1E5-8E03980DB69A}"/>
            </c:ext>
          </c:extLst>
        </c:ser>
        <c:ser>
          <c:idx val="2"/>
          <c:order val="2"/>
          <c:tx>
            <c:strRef>
              <c:f>'Říjen kotig'!$D$1</c:f>
              <c:strCache>
                <c:ptCount val="1"/>
                <c:pt idx="0">
                  <c:v>Součet z Výroba FVE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kotig'!$D$2:$D$29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2E-3</c:v>
                </c:pt>
                <c:pt idx="6">
                  <c:v>2.1999999999999999E-2</c:v>
                </c:pt>
                <c:pt idx="7">
                  <c:v>0.128</c:v>
                </c:pt>
                <c:pt idx="8">
                  <c:v>0.55699999999999994</c:v>
                </c:pt>
                <c:pt idx="9">
                  <c:v>1.7850000000000001</c:v>
                </c:pt>
                <c:pt idx="10">
                  <c:v>4.2350000000000003</c:v>
                </c:pt>
                <c:pt idx="11">
                  <c:v>7.44</c:v>
                </c:pt>
                <c:pt idx="12">
                  <c:v>9.6750000000000007</c:v>
                </c:pt>
                <c:pt idx="13">
                  <c:v>9.3189999999999991</c:v>
                </c:pt>
                <c:pt idx="14">
                  <c:v>6.6469999999999994</c:v>
                </c:pt>
                <c:pt idx="15">
                  <c:v>3.51</c:v>
                </c:pt>
                <c:pt idx="16">
                  <c:v>1.3720000000000001</c:v>
                </c:pt>
                <c:pt idx="17">
                  <c:v>0.39700000000000002</c:v>
                </c:pt>
                <c:pt idx="18">
                  <c:v>8.4999999999999992E-2</c:v>
                </c:pt>
                <c:pt idx="19">
                  <c:v>1.3000000000000001E-2</c:v>
                </c:pt>
                <c:pt idx="20">
                  <c:v>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C6-4885-A1E5-8E03980DB69A}"/>
            </c:ext>
          </c:extLst>
        </c:ser>
        <c:ser>
          <c:idx val="3"/>
          <c:order val="3"/>
          <c:tx>
            <c:strRef>
              <c:f>'Říjen kotig'!$E$1</c:f>
              <c:strCache>
                <c:ptCount val="1"/>
                <c:pt idx="0">
                  <c:v>Součet z Odběr z 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kotig'!$E$2:$E$29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0.7012222222222193</c:v>
                </c:pt>
                <c:pt idx="4">
                  <c:v>2.1029999999999998</c:v>
                </c:pt>
                <c:pt idx="5">
                  <c:v>2.1059999999999999</c:v>
                </c:pt>
                <c:pt idx="6">
                  <c:v>4.6995000000000005</c:v>
                </c:pt>
                <c:pt idx="7">
                  <c:v>4.0960000000000001</c:v>
                </c:pt>
                <c:pt idx="8">
                  <c:v>0.45574999999999993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5.3742777777777819</c:v>
                </c:pt>
                <c:pt idx="19">
                  <c:v>3.6469999999999994</c:v>
                </c:pt>
                <c:pt idx="20">
                  <c:v>3.0209999999999999</c:v>
                </c:pt>
                <c:pt idx="21">
                  <c:v>6.2190000000000012</c:v>
                </c:pt>
                <c:pt idx="22">
                  <c:v>4.1184999999999992</c:v>
                </c:pt>
                <c:pt idx="23">
                  <c:v>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C6-4885-A1E5-8E03980DB69A}"/>
            </c:ext>
          </c:extLst>
        </c:ser>
        <c:ser>
          <c:idx val="4"/>
          <c:order val="4"/>
          <c:tx>
            <c:strRef>
              <c:f>'Říjen kotig'!$F$1</c:f>
              <c:strCache>
                <c:ptCount val="1"/>
                <c:pt idx="0">
                  <c:v>Součet z Přetok do DS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kotig'!$F$2:$F$29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4.7793079561042493</c:v>
                </c:pt>
                <c:pt idx="13">
                  <c:v>9.1335811321377935</c:v>
                </c:pt>
                <c:pt idx="14">
                  <c:v>5.462888689566106</c:v>
                </c:pt>
                <c:pt idx="15">
                  <c:v>3.3258888888585081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C6-4885-A1E5-8E03980DB69A}"/>
            </c:ext>
          </c:extLst>
        </c:ser>
        <c:ser>
          <c:idx val="5"/>
          <c:order val="5"/>
          <c:tx>
            <c:strRef>
              <c:f>'Říjen kotig'!$G$1</c:f>
              <c:strCache>
                <c:ptCount val="1"/>
                <c:pt idx="0">
                  <c:v>Součet z Spotřeba z baterie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kotig'!$G$2:$G$29</c:f>
              <c:numCache>
                <c:formatCode>General</c:formatCode>
                <c:ptCount val="25"/>
                <c:pt idx="0">
                  <c:v>2.1779999999999999</c:v>
                </c:pt>
                <c:pt idx="1">
                  <c:v>2.1779999999999999</c:v>
                </c:pt>
                <c:pt idx="2">
                  <c:v>2.1217499999999996</c:v>
                </c:pt>
                <c:pt idx="3">
                  <c:v>1.4017777777777805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2.8285000000000005</c:v>
                </c:pt>
                <c:pt idx="17">
                  <c:v>7.6439999999999992</c:v>
                </c:pt>
                <c:pt idx="18">
                  <c:v>4.7977222222222178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C6-4885-A1E5-8E03980DB69A}"/>
            </c:ext>
          </c:extLst>
        </c:ser>
        <c:ser>
          <c:idx val="6"/>
          <c:order val="6"/>
          <c:tx>
            <c:strRef>
              <c:f>'Říjen kotig'!$H$1</c:f>
              <c:strCache>
                <c:ptCount val="1"/>
                <c:pt idx="0">
                  <c:v>Součet z Bilance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kotig'!$H$2:$H$29</c:f>
              <c:numCache>
                <c:formatCode>General</c:formatCode>
                <c:ptCount val="25"/>
                <c:pt idx="0">
                  <c:v>-2.1779999999999999</c:v>
                </c:pt>
                <c:pt idx="1">
                  <c:v>-2.1779999999999999</c:v>
                </c:pt>
                <c:pt idx="2">
                  <c:v>-2.1217499999999996</c:v>
                </c:pt>
                <c:pt idx="3">
                  <c:v>-2.1029999999999998</c:v>
                </c:pt>
                <c:pt idx="4">
                  <c:v>-2.1029999999999998</c:v>
                </c:pt>
                <c:pt idx="5">
                  <c:v>-2.1059999999999999</c:v>
                </c:pt>
                <c:pt idx="6">
                  <c:v>-4.6995000000000005</c:v>
                </c:pt>
                <c:pt idx="7">
                  <c:v>-4.0960000000000001</c:v>
                </c:pt>
                <c:pt idx="8">
                  <c:v>-5.3999999999999937E-2</c:v>
                </c:pt>
                <c:pt idx="9">
                  <c:v>1.6819999999999999</c:v>
                </c:pt>
                <c:pt idx="10">
                  <c:v>4.1319999999999997</c:v>
                </c:pt>
                <c:pt idx="11">
                  <c:v>6.3369999999999997</c:v>
                </c:pt>
                <c:pt idx="12">
                  <c:v>9.572000000000001</c:v>
                </c:pt>
                <c:pt idx="13">
                  <c:v>9.2160000000000011</c:v>
                </c:pt>
                <c:pt idx="14">
                  <c:v>5.5440000000000005</c:v>
                </c:pt>
                <c:pt idx="15">
                  <c:v>3.407</c:v>
                </c:pt>
                <c:pt idx="16">
                  <c:v>-2.8285000000000005</c:v>
                </c:pt>
                <c:pt idx="17">
                  <c:v>-7.6439999999999992</c:v>
                </c:pt>
                <c:pt idx="18">
                  <c:v>-10.172000000000001</c:v>
                </c:pt>
                <c:pt idx="19">
                  <c:v>-3.6469999999999994</c:v>
                </c:pt>
                <c:pt idx="20">
                  <c:v>-3.0209999999999999</c:v>
                </c:pt>
                <c:pt idx="21">
                  <c:v>-6.2190000000000012</c:v>
                </c:pt>
                <c:pt idx="22">
                  <c:v>-4.1184999999999992</c:v>
                </c:pt>
                <c:pt idx="23">
                  <c:v>-3.2112499999999997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C6-4885-A1E5-8E03980DB69A}"/>
            </c:ext>
          </c:extLst>
        </c:ser>
        <c:ser>
          <c:idx val="7"/>
          <c:order val="7"/>
          <c:tx>
            <c:strRef>
              <c:f>'Říjen kotig'!$I$1</c:f>
              <c:strCache>
                <c:ptCount val="1"/>
                <c:pt idx="0">
                  <c:v>Součet z Stav baterie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kotig'!$I$2:$I$29</c:f>
              <c:numCache>
                <c:formatCode>General</c:formatCode>
                <c:ptCount val="25"/>
                <c:pt idx="0">
                  <c:v>33.747222222222227</c:v>
                </c:pt>
                <c:pt idx="1">
                  <c:v>23.742777777777786</c:v>
                </c:pt>
                <c:pt idx="2">
                  <c:v>13.863333333333344</c:v>
                </c:pt>
                <c:pt idx="3">
                  <c:v>5.305000000000005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4.6406666666666672</c:v>
                </c:pt>
                <c:pt idx="9">
                  <c:v>8.8824999999999985</c:v>
                </c:pt>
                <c:pt idx="10">
                  <c:v>21.02505555555555</c:v>
                </c:pt>
                <c:pt idx="11">
                  <c:v>41.218611111111102</c:v>
                </c:pt>
                <c:pt idx="12">
                  <c:v>69.365602537722907</c:v>
                </c:pt>
                <c:pt idx="13">
                  <c:v>71.92713077567511</c:v>
                </c:pt>
                <c:pt idx="14">
                  <c:v>71.927000019932279</c:v>
                </c:pt>
                <c:pt idx="15">
                  <c:v>71.927000000003034</c:v>
                </c:pt>
                <c:pt idx="16">
                  <c:v>64.47422222222221</c:v>
                </c:pt>
                <c:pt idx="17">
                  <c:v>42.375888888888866</c:v>
                </c:pt>
                <c:pt idx="18">
                  <c:v>5.5089722222222184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C6-4885-A1E5-8E03980DB69A}"/>
            </c:ext>
          </c:extLst>
        </c:ser>
        <c:ser>
          <c:idx val="8"/>
          <c:order val="8"/>
          <c:tx>
            <c:strRef>
              <c:f>'Říjen kotig'!$J$1</c:f>
              <c:strCache>
                <c:ptCount val="1"/>
                <c:pt idx="0">
                  <c:v>Součet z Soc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kotig'!$J$2:$J$29</c:f>
              <c:numCache>
                <c:formatCode>General</c:formatCode>
                <c:ptCount val="25"/>
                <c:pt idx="0">
                  <c:v>2.0027997597486769</c:v>
                </c:pt>
                <c:pt idx="1">
                  <c:v>1.4435147308315208</c:v>
                </c:pt>
                <c:pt idx="2">
                  <c:v>0.88772368046574068</c:v>
                </c:pt>
                <c:pt idx="3">
                  <c:v>0.360117390414394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0.21562351920239758</c:v>
                </c:pt>
                <c:pt idx="9">
                  <c:v>0.38345406137887322</c:v>
                </c:pt>
                <c:pt idx="10">
                  <c:v>0.92530336088498477</c:v>
                </c:pt>
                <c:pt idx="11">
                  <c:v>1.9309293973865489</c:v>
                </c:pt>
                <c:pt idx="12">
                  <c:v>3.5907816086776707</c:v>
                </c:pt>
                <c:pt idx="13">
                  <c:v>3.9973018994029874</c:v>
                </c:pt>
                <c:pt idx="14">
                  <c:v>3.9973676869205605</c:v>
                </c:pt>
                <c:pt idx="15">
                  <c:v>3.9973676969476175</c:v>
                </c:pt>
                <c:pt idx="16">
                  <c:v>3.7609573437662598</c:v>
                </c:pt>
                <c:pt idx="17">
                  <c:v>2.8246953223459688</c:v>
                </c:pt>
                <c:pt idx="18">
                  <c:v>0.57412901176392339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C6-4885-A1E5-8E03980DB69A}"/>
            </c:ext>
          </c:extLst>
        </c:ser>
        <c:ser>
          <c:idx val="9"/>
          <c:order val="9"/>
          <c:tx>
            <c:strRef>
              <c:f>'Říjen kotig'!$K$1</c:f>
              <c:strCache>
                <c:ptCount val="1"/>
                <c:pt idx="0">
                  <c:v>Součet z Nabíjení (Netto)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kotig'!$K$2:$K$29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0.36157499999999998</c:v>
                </c:pt>
                <c:pt idx="9">
                  <c:v>1.5138</c:v>
                </c:pt>
                <c:pt idx="10">
                  <c:v>3.7187999999999999</c:v>
                </c:pt>
                <c:pt idx="11">
                  <c:v>5.7033000000000005</c:v>
                </c:pt>
                <c:pt idx="12">
                  <c:v>4.3134228395061758</c:v>
                </c:pt>
                <c:pt idx="13">
                  <c:v>7.4176981075986248E-2</c:v>
                </c:pt>
                <c:pt idx="14">
                  <c:v>7.3000179390504627E-2</c:v>
                </c:pt>
                <c:pt idx="15">
                  <c:v>7.3000000027342082E-2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C6-4885-A1E5-8E03980DB69A}"/>
            </c:ext>
          </c:extLst>
        </c:ser>
        <c:ser>
          <c:idx val="10"/>
          <c:order val="10"/>
          <c:tx>
            <c:strRef>
              <c:f>'Říjen kotig'!$L$1</c:f>
              <c:strCache>
                <c:ptCount val="1"/>
                <c:pt idx="0">
                  <c:v>Součet z Nabíjení (Brutto)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kotig'!$L$2:$L$29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0.40175000000000005</c:v>
                </c:pt>
                <c:pt idx="9">
                  <c:v>1.6819999999999999</c:v>
                </c:pt>
                <c:pt idx="10">
                  <c:v>4.1319999999999997</c:v>
                </c:pt>
                <c:pt idx="11">
                  <c:v>6.3369999999999997</c:v>
                </c:pt>
                <c:pt idx="12">
                  <c:v>4.7926920438957508</c:v>
                </c:pt>
                <c:pt idx="13">
                  <c:v>8.2418867862206938E-2</c:v>
                </c:pt>
                <c:pt idx="14">
                  <c:v>8.1111310433894024E-2</c:v>
                </c:pt>
                <c:pt idx="15">
                  <c:v>8.1111111141491207E-2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C6-4885-A1E5-8E03980DB69A}"/>
            </c:ext>
          </c:extLst>
        </c:ser>
        <c:ser>
          <c:idx val="11"/>
          <c:order val="11"/>
          <c:tx>
            <c:strRef>
              <c:f>'Říjen kotig'!$M$1</c:f>
              <c:strCache>
                <c:ptCount val="1"/>
                <c:pt idx="0">
                  <c:v>Součet z Vybíjení (Netto)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kotig'!$M$2:$M$29</c:f>
              <c:numCache>
                <c:formatCode>General</c:formatCode>
                <c:ptCount val="25"/>
                <c:pt idx="0">
                  <c:v>2.2509999999999999</c:v>
                </c:pt>
                <c:pt idx="1">
                  <c:v>2.2509999999999999</c:v>
                </c:pt>
                <c:pt idx="2">
                  <c:v>2.19475</c:v>
                </c:pt>
                <c:pt idx="3">
                  <c:v>1.4382777777777804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3.6499999999999998E-2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7.2999999999999995E-2</c:v>
                </c:pt>
                <c:pt idx="12">
                  <c:v>7.2999999999999995E-2</c:v>
                </c:pt>
                <c:pt idx="13">
                  <c:v>7.2999999999999995E-2</c:v>
                </c:pt>
                <c:pt idx="14">
                  <c:v>7.2999999999999995E-2</c:v>
                </c:pt>
                <c:pt idx="15">
                  <c:v>7.2999999999999995E-2</c:v>
                </c:pt>
                <c:pt idx="16">
                  <c:v>2.9015000000000004</c:v>
                </c:pt>
                <c:pt idx="17">
                  <c:v>7.7169999999999996</c:v>
                </c:pt>
                <c:pt idx="18">
                  <c:v>4.8159722222222179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C6-4885-A1E5-8E03980DB69A}"/>
            </c:ext>
          </c:extLst>
        </c:ser>
        <c:ser>
          <c:idx val="12"/>
          <c:order val="12"/>
          <c:tx>
            <c:strRef>
              <c:f>'Říjen kotig'!$N$1</c:f>
              <c:strCache>
                <c:ptCount val="1"/>
                <c:pt idx="0">
                  <c:v>Součet z Vybíjení (Brutto)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kotig'!$N$2:$N$29</c:f>
              <c:numCache>
                <c:formatCode>General</c:formatCode>
                <c:ptCount val="25"/>
                <c:pt idx="0">
                  <c:v>2.5011111111111108</c:v>
                </c:pt>
                <c:pt idx="1">
                  <c:v>2.5011111111111108</c:v>
                </c:pt>
                <c:pt idx="2">
                  <c:v>2.4386111111111108</c:v>
                </c:pt>
                <c:pt idx="3">
                  <c:v>1.5980864197530893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4.0555555555555553E-2</c:v>
                </c:pt>
                <c:pt idx="9">
                  <c:v>8.1111111111111106E-2</c:v>
                </c:pt>
                <c:pt idx="10">
                  <c:v>8.1111111111111106E-2</c:v>
                </c:pt>
                <c:pt idx="11">
                  <c:v>8.1111111111111106E-2</c:v>
                </c:pt>
                <c:pt idx="12">
                  <c:v>8.1111111111111106E-2</c:v>
                </c:pt>
                <c:pt idx="13">
                  <c:v>8.1111111111111106E-2</c:v>
                </c:pt>
                <c:pt idx="14">
                  <c:v>8.1111111111111106E-2</c:v>
                </c:pt>
                <c:pt idx="15">
                  <c:v>8.1111111111111106E-2</c:v>
                </c:pt>
                <c:pt idx="16">
                  <c:v>3.2238888888888892</c:v>
                </c:pt>
                <c:pt idx="17">
                  <c:v>8.5744444444444436</c:v>
                </c:pt>
                <c:pt idx="18">
                  <c:v>5.3510802469135754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C6-4885-A1E5-8E03980DB69A}"/>
            </c:ext>
          </c:extLst>
        </c:ser>
        <c:ser>
          <c:idx val="13"/>
          <c:order val="13"/>
          <c:tx>
            <c:strRef>
              <c:f>'Říjen kotig'!$O$1</c:f>
              <c:strCache>
                <c:ptCount val="1"/>
                <c:pt idx="0">
                  <c:v>Součet z Vlastní spotřeba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'Říjen kotig'!$A$2:$A$29</c:f>
              <c:multiLvlStrCache>
                <c:ptCount val="2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&lt;00.01.1900</c:v>
                  </c:pt>
                </c:lvl>
                <c:lvl>
                  <c:pt idx="0">
                    <c:v>08.10.2026</c:v>
                  </c:pt>
                  <c:pt idx="24">
                    <c:v>(prázdné)</c:v>
                  </c:pt>
                </c:lvl>
              </c:multiLvlStrCache>
            </c:multiLvlStrRef>
          </c:cat>
          <c:val>
            <c:numRef>
              <c:f>'Říjen kotig'!$O$2:$O$29</c:f>
              <c:numCache>
                <c:formatCode>General</c:formatCode>
                <c:ptCount val="25"/>
                <c:pt idx="0">
                  <c:v>7.2999999999999995E-2</c:v>
                </c:pt>
                <c:pt idx="1">
                  <c:v>7.2999999999999995E-2</c:v>
                </c:pt>
                <c:pt idx="2">
                  <c:v>7.2999999999999995E-2</c:v>
                </c:pt>
                <c:pt idx="3">
                  <c:v>7.2999999999999995E-2</c:v>
                </c:pt>
                <c:pt idx="4">
                  <c:v>7.2999999999999995E-2</c:v>
                </c:pt>
                <c:pt idx="5">
                  <c:v>7.2999999999999995E-2</c:v>
                </c:pt>
                <c:pt idx="6">
                  <c:v>7.2999999999999995E-2</c:v>
                </c:pt>
                <c:pt idx="7">
                  <c:v>7.2999999999999995E-2</c:v>
                </c:pt>
                <c:pt idx="8">
                  <c:v>7.2999999999999995E-2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7.2999999999999995E-2</c:v>
                </c:pt>
                <c:pt idx="12">
                  <c:v>7.2999999999999995E-2</c:v>
                </c:pt>
                <c:pt idx="13">
                  <c:v>7.2999999999999995E-2</c:v>
                </c:pt>
                <c:pt idx="14">
                  <c:v>7.2999999999999995E-2</c:v>
                </c:pt>
                <c:pt idx="15">
                  <c:v>7.2999999999999995E-2</c:v>
                </c:pt>
                <c:pt idx="16">
                  <c:v>7.2999999999999995E-2</c:v>
                </c:pt>
                <c:pt idx="17">
                  <c:v>7.2999999999999995E-2</c:v>
                </c:pt>
                <c:pt idx="18">
                  <c:v>7.2999999999999995E-2</c:v>
                </c:pt>
                <c:pt idx="19">
                  <c:v>7.2999999999999995E-2</c:v>
                </c:pt>
                <c:pt idx="20">
                  <c:v>7.2999999999999995E-2</c:v>
                </c:pt>
                <c:pt idx="21">
                  <c:v>7.2999999999999995E-2</c:v>
                </c:pt>
                <c:pt idx="22">
                  <c:v>7.2999999999999995E-2</c:v>
                </c:pt>
                <c:pt idx="23">
                  <c:v>7.2999999999999995E-2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C6-4885-A1E5-8E03980D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985536"/>
        <c:axId val="1903101136"/>
      </c:lineChart>
      <c:catAx>
        <c:axId val="28498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03101136"/>
        <c:crosses val="autoZero"/>
        <c:auto val="1"/>
        <c:lblAlgn val="ctr"/>
        <c:lblOffset val="100"/>
        <c:noMultiLvlLbl val="0"/>
      </c:catAx>
      <c:valAx>
        <c:axId val="190310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498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Říjen!$C$1:$C$2</c:f>
              <c:strCache>
                <c:ptCount val="2"/>
                <c:pt idx="0">
                  <c:v>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Říjen!$C$3:$C$98</c15:sqref>
                  </c15:fullRef>
                </c:ext>
              </c:extLst>
              <c:f>(Říjen!$C$3,Říjen!$C$7,Říjen!$C$11,Říjen!$C$15,Říjen!$C$19,Říjen!$C$23,Říjen!$C$27,Říjen!$C$31,Říjen!$C$35,Říjen!$C$39,Říjen!$C$43,Říjen!$C$47,Říjen!$C$51,Říjen!$C$55,Říjen!$C$59,Říjen!$C$63,Říjen!$C$67,Říjen!$C$71,Říjen!$C$75,Říjen!$C$79,Říjen!$C$83,Říjen!$C$87,Říjen!$C$91,Říjen!$C$95)</c:f>
              <c:numCache>
                <c:formatCode>0.000</c:formatCode>
                <c:ptCount val="24"/>
                <c:pt idx="0">
                  <c:v>4.4499999999999998E-2</c:v>
                </c:pt>
                <c:pt idx="1">
                  <c:v>4.0749999999999995E-2</c:v>
                </c:pt>
                <c:pt idx="2">
                  <c:v>4.0749999999999995E-2</c:v>
                </c:pt>
                <c:pt idx="3">
                  <c:v>2.5749999999999999E-2</c:v>
                </c:pt>
                <c:pt idx="4">
                  <c:v>2.5749999999999999E-2</c:v>
                </c:pt>
                <c:pt idx="5">
                  <c:v>2.5749999999999999E-2</c:v>
                </c:pt>
                <c:pt idx="6">
                  <c:v>3.3750000000000002E-2</c:v>
                </c:pt>
                <c:pt idx="7">
                  <c:v>2.2927499999999998</c:v>
                </c:pt>
                <c:pt idx="8">
                  <c:v>0.40075</c:v>
                </c:pt>
                <c:pt idx="9">
                  <c:v>2.5749999999999999E-2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0.81574999999999998</c:v>
                </c:pt>
                <c:pt idx="18">
                  <c:v>3.4907499999999998</c:v>
                </c:pt>
                <c:pt idx="19">
                  <c:v>0.45700000000000002</c:v>
                </c:pt>
                <c:pt idx="20">
                  <c:v>0.50150000000000006</c:v>
                </c:pt>
                <c:pt idx="21">
                  <c:v>1.0555000000000001</c:v>
                </c:pt>
                <c:pt idx="22">
                  <c:v>1.4379999999999999</c:v>
                </c:pt>
                <c:pt idx="23">
                  <c:v>5.9499999999999997E-2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E-4673-8555-A8ACA4D72887}"/>
            </c:ext>
          </c:extLst>
        </c:ser>
        <c:ser>
          <c:idx val="1"/>
          <c:order val="1"/>
          <c:tx>
            <c:strRef>
              <c:f>Říjen!$D$1:$D$2</c:f>
              <c:strCache>
                <c:ptCount val="2"/>
                <c:pt idx="0">
                  <c:v>Přímá vlastní spotřeba z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Říjen!$D$3:$D$98</c15:sqref>
                  </c15:fullRef>
                </c:ext>
              </c:extLst>
              <c:f>(Říjen!$D$3,Říjen!$D$7,Říjen!$D$11,Říjen!$D$15,Říjen!$D$19,Říjen!$D$23,Říjen!$D$27,Říjen!$D$31,Říjen!$D$35,Říjen!$D$39,Říjen!$D$43,Říjen!$D$47,Říjen!$D$51,Říjen!$D$55,Říjen!$D$59,Říjen!$D$63,Říjen!$D$67,Říjen!$D$71,Říjen!$D$75,Říjen!$D$79,Říjen!$D$83,Říjen!$D$87,Říjen!$D$91,Říjen!$D$95)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2E-3</c:v>
                </c:pt>
                <c:pt idx="7">
                  <c:v>1.4999999999999999E-2</c:v>
                </c:pt>
                <c:pt idx="8">
                  <c:v>7.8E-2</c:v>
                </c:pt>
                <c:pt idx="9">
                  <c:v>2.5749999999999999E-2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0.155</c:v>
                </c:pt>
                <c:pt idx="18">
                  <c:v>3.5999999999999997E-2</c:v>
                </c:pt>
                <c:pt idx="19">
                  <c:v>6.0000000000000001E-3</c:v>
                </c:pt>
                <c:pt idx="20">
                  <c:v>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E-4673-8555-A8ACA4D72887}"/>
            </c:ext>
          </c:extLst>
        </c:ser>
        <c:ser>
          <c:idx val="2"/>
          <c:order val="2"/>
          <c:tx>
            <c:strRef>
              <c:f>Říjen!$E$1:$E$2</c:f>
              <c:strCache>
                <c:ptCount val="2"/>
                <c:pt idx="0">
                  <c:v>Výroba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Říjen!$E$3:$E$98</c15:sqref>
                  </c15:fullRef>
                </c:ext>
              </c:extLst>
              <c:f>(Říjen!$E$3,Říjen!$E$7,Říjen!$E$11,Říjen!$E$15,Říjen!$E$19,Říjen!$E$23,Říjen!$E$27,Říjen!$E$31,Říjen!$E$35,Říjen!$E$39,Říjen!$E$43,Říjen!$E$47,Říjen!$E$51,Říjen!$E$55,Říjen!$E$59,Říjen!$E$63,Říjen!$E$67,Říjen!$E$71,Říjen!$E$75,Říjen!$E$79,Říjen!$E$83,Říjen!$E$87,Říjen!$E$91,Říjen!$E$95)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2E-3</c:v>
                </c:pt>
                <c:pt idx="7">
                  <c:v>1.4999999999999999E-2</c:v>
                </c:pt>
                <c:pt idx="8">
                  <c:v>7.8E-2</c:v>
                </c:pt>
                <c:pt idx="9">
                  <c:v>0.28699999999999998</c:v>
                </c:pt>
                <c:pt idx="10">
                  <c:v>0.78100000000000003</c:v>
                </c:pt>
                <c:pt idx="11">
                  <c:v>1.5609999999999999</c:v>
                </c:pt>
                <c:pt idx="12">
                  <c:v>2.2930000000000001</c:v>
                </c:pt>
                <c:pt idx="13">
                  <c:v>2.476</c:v>
                </c:pt>
                <c:pt idx="14">
                  <c:v>1.966</c:v>
                </c:pt>
                <c:pt idx="15">
                  <c:v>1.147</c:v>
                </c:pt>
                <c:pt idx="16">
                  <c:v>0.49199999999999999</c:v>
                </c:pt>
                <c:pt idx="17">
                  <c:v>0.155</c:v>
                </c:pt>
                <c:pt idx="18">
                  <c:v>3.5999999999999997E-2</c:v>
                </c:pt>
                <c:pt idx="19">
                  <c:v>6.0000000000000001E-3</c:v>
                </c:pt>
                <c:pt idx="20">
                  <c:v>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E-4673-8555-A8ACA4D72887}"/>
            </c:ext>
          </c:extLst>
        </c:ser>
        <c:ser>
          <c:idx val="3"/>
          <c:order val="3"/>
          <c:tx>
            <c:strRef>
              <c:f>Říjen!$F$1:$F$2</c:f>
              <c:strCache>
                <c:ptCount val="2"/>
                <c:pt idx="0">
                  <c:v>Odběr z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Říjen!$F$3:$F$98</c15:sqref>
                  </c15:fullRef>
                </c:ext>
              </c:extLst>
              <c:f>(Říjen!$F$3,Říjen!$F$7,Říjen!$F$11,Říjen!$F$15,Říjen!$F$19,Říjen!$F$23,Říjen!$F$27,Říjen!$F$31,Říjen!$F$35,Říjen!$F$39,Říjen!$F$43,Říjen!$F$47,Říjen!$F$51,Říjen!$F$55,Říjen!$F$59,Říjen!$F$63,Říjen!$F$67,Říjen!$F$71,Říjen!$F$75,Říjen!$F$79,Říjen!$F$83,Říjen!$F$87,Říjen!$F$91,Říjen!$F$95)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0.2380000000000011</c:v>
                </c:pt>
                <c:pt idx="22">
                  <c:v>0.69350000000000134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DE-4673-8555-A8ACA4D72887}"/>
            </c:ext>
          </c:extLst>
        </c:ser>
        <c:ser>
          <c:idx val="4"/>
          <c:order val="4"/>
          <c:tx>
            <c:strRef>
              <c:f>Říjen!$G$1:$G$2</c:f>
              <c:strCache>
                <c:ptCount val="2"/>
                <c:pt idx="0">
                  <c:v>Přetok do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Říjen!$G$3:$G$98</c15:sqref>
                  </c15:fullRef>
                </c:ext>
              </c:extLst>
              <c:f>(Říjen!$G$3,Říjen!$G$7,Říjen!$G$11,Říjen!$G$15,Říjen!$G$19,Říjen!$G$23,Říjen!$G$27,Říjen!$G$31,Říjen!$G$35,Říjen!$G$39,Říjen!$G$43,Říjen!$G$47,Říjen!$G$51,Říjen!$G$55,Říjen!$G$59,Říjen!$G$63,Říjen!$G$67,Říjen!$G$71,Říjen!$G$75,Říjen!$G$79,Říjen!$G$83,Říjen!$G$87,Říjen!$G$91,Říjen!$G$95)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2.4121978737997249</c:v>
                </c:pt>
                <c:pt idx="14">
                  <c:v>1.9017222947190358</c:v>
                </c:pt>
                <c:pt idx="15">
                  <c:v>1.0827222222332713</c:v>
                </c:pt>
                <c:pt idx="16">
                  <c:v>0.42772222222222617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DE-4673-8555-A8ACA4D72887}"/>
            </c:ext>
          </c:extLst>
        </c:ser>
        <c:ser>
          <c:idx val="5"/>
          <c:order val="5"/>
          <c:tx>
            <c:strRef>
              <c:f>Říjen!$H$1:$H$2</c:f>
              <c:strCache>
                <c:ptCount val="2"/>
                <c:pt idx="0">
                  <c:v>Spotřeba z baterie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Říjen!$H$3:$H$98</c15:sqref>
                  </c15:fullRef>
                </c:ext>
              </c:extLst>
              <c:f>(Říjen!$H$3,Říjen!$H$7,Říjen!$H$11,Říjen!$H$15,Říjen!$H$19,Říjen!$H$23,Říjen!$H$27,Říjen!$H$31,Říjen!$H$35,Říjen!$H$39,Říjen!$H$43,Říjen!$H$47,Říjen!$H$51,Říjen!$H$55,Říjen!$H$59,Říjen!$H$63,Říjen!$H$67,Říjen!$H$71,Říjen!$H$75,Říjen!$H$79,Říjen!$H$83,Říjen!$H$87,Říjen!$H$91,Říjen!$H$95)</c:f>
              <c:numCache>
                <c:formatCode>0.000</c:formatCode>
                <c:ptCount val="24"/>
                <c:pt idx="0">
                  <c:v>4.4499999999999998E-2</c:v>
                </c:pt>
                <c:pt idx="1">
                  <c:v>4.0749999999999995E-2</c:v>
                </c:pt>
                <c:pt idx="2">
                  <c:v>4.0749999999999995E-2</c:v>
                </c:pt>
                <c:pt idx="3">
                  <c:v>2.5749999999999999E-2</c:v>
                </c:pt>
                <c:pt idx="4">
                  <c:v>2.5749999999999999E-2</c:v>
                </c:pt>
                <c:pt idx="5">
                  <c:v>2.5749999999999999E-2</c:v>
                </c:pt>
                <c:pt idx="6">
                  <c:v>3.175E-2</c:v>
                </c:pt>
                <c:pt idx="7">
                  <c:v>2.2777499999999997</c:v>
                </c:pt>
                <c:pt idx="8">
                  <c:v>0.32274999999999998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0.66074999999999995</c:v>
                </c:pt>
                <c:pt idx="18">
                  <c:v>3.4547499999999998</c:v>
                </c:pt>
                <c:pt idx="19">
                  <c:v>0.45100000000000001</c:v>
                </c:pt>
                <c:pt idx="20">
                  <c:v>0.50050000000000006</c:v>
                </c:pt>
                <c:pt idx="21">
                  <c:v>0.81749999999999901</c:v>
                </c:pt>
                <c:pt idx="22">
                  <c:v>0.74449999999999861</c:v>
                </c:pt>
                <c:pt idx="23">
                  <c:v>5.9499999999999997E-2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DE-4673-8555-A8ACA4D72887}"/>
            </c:ext>
          </c:extLst>
        </c:ser>
        <c:ser>
          <c:idx val="6"/>
          <c:order val="6"/>
          <c:tx>
            <c:strRef>
              <c:f>Říjen!$I$1:$I$2</c:f>
              <c:strCache>
                <c:ptCount val="2"/>
                <c:pt idx="0">
                  <c:v>Bilance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Říjen!$I$3:$I$98</c15:sqref>
                  </c15:fullRef>
                </c:ext>
              </c:extLst>
              <c:f>(Říjen!$I$3,Říjen!$I$7,Říjen!$I$11,Říjen!$I$15,Říjen!$I$19,Říjen!$I$23,Říjen!$I$27,Říjen!$I$31,Říjen!$I$35,Říjen!$I$39,Říjen!$I$43,Říjen!$I$47,Říjen!$I$51,Říjen!$I$55,Říjen!$I$59,Říjen!$I$63,Říjen!$I$67,Říjen!$I$71,Říjen!$I$75,Říjen!$I$79,Říjen!$I$83,Říjen!$I$87,Říjen!$I$91,Říjen!$I$95)</c:f>
              <c:numCache>
                <c:formatCode>0.000</c:formatCode>
                <c:ptCount val="24"/>
                <c:pt idx="0">
                  <c:v>-4.4499999999999998E-2</c:v>
                </c:pt>
                <c:pt idx="1">
                  <c:v>-4.0749999999999995E-2</c:v>
                </c:pt>
                <c:pt idx="2">
                  <c:v>-4.0749999999999995E-2</c:v>
                </c:pt>
                <c:pt idx="3">
                  <c:v>-2.5749999999999999E-2</c:v>
                </c:pt>
                <c:pt idx="4">
                  <c:v>-2.5749999999999999E-2</c:v>
                </c:pt>
                <c:pt idx="5">
                  <c:v>-2.5749999999999999E-2</c:v>
                </c:pt>
                <c:pt idx="6">
                  <c:v>-3.175E-2</c:v>
                </c:pt>
                <c:pt idx="7">
                  <c:v>-2.2777499999999997</c:v>
                </c:pt>
                <c:pt idx="8">
                  <c:v>-0.32274999999999998</c:v>
                </c:pt>
                <c:pt idx="9">
                  <c:v>0.26124999999999998</c:v>
                </c:pt>
                <c:pt idx="10">
                  <c:v>0.75524999999999998</c:v>
                </c:pt>
                <c:pt idx="11">
                  <c:v>1.53525</c:v>
                </c:pt>
                <c:pt idx="12">
                  <c:v>2.2672500000000002</c:v>
                </c:pt>
                <c:pt idx="13">
                  <c:v>2.45025</c:v>
                </c:pt>
                <c:pt idx="14">
                  <c:v>1.94025</c:v>
                </c:pt>
                <c:pt idx="15">
                  <c:v>1.1212500000000001</c:v>
                </c:pt>
                <c:pt idx="16">
                  <c:v>0.46625</c:v>
                </c:pt>
                <c:pt idx="17">
                  <c:v>-0.66074999999999995</c:v>
                </c:pt>
                <c:pt idx="18">
                  <c:v>-3.4547499999999998</c:v>
                </c:pt>
                <c:pt idx="19">
                  <c:v>-0.45100000000000001</c:v>
                </c:pt>
                <c:pt idx="20">
                  <c:v>-0.50050000000000006</c:v>
                </c:pt>
                <c:pt idx="21">
                  <c:v>-1.0555000000000001</c:v>
                </c:pt>
                <c:pt idx="22">
                  <c:v>-1.4379999999999999</c:v>
                </c:pt>
                <c:pt idx="23">
                  <c:v>-5.9499999999999997E-2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DE-4673-8555-A8ACA4D72887}"/>
            </c:ext>
          </c:extLst>
        </c:ser>
        <c:ser>
          <c:idx val="7"/>
          <c:order val="7"/>
          <c:tx>
            <c:strRef>
              <c:f>Říjen!$J$1:$J$2</c:f>
              <c:strCache>
                <c:ptCount val="2"/>
                <c:pt idx="0">
                  <c:v>Stav baterie</c:v>
                </c:pt>
                <c:pt idx="1">
                  <c:v>12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Říjen!$J$3:$J$98</c15:sqref>
                  </c15:fullRef>
                </c:ext>
              </c:extLst>
              <c:f>(Říjen!$J$3,Říjen!$J$7,Říjen!$J$11,Říjen!$J$15,Říjen!$J$19,Říjen!$J$23,Říjen!$J$27,Říjen!$J$31,Říjen!$J$35,Říjen!$J$39,Říjen!$J$43,Říjen!$J$47,Říjen!$J$51,Říjen!$J$55,Říjen!$J$59,Říjen!$J$63,Říjen!$J$67,Říjen!$J$71,Říjen!$J$75,Říjen!$J$79,Říjen!$J$83,Říjen!$J$87,Říjen!$J$91,Říjen!$J$95)</c:f>
              <c:numCache>
                <c:formatCode>0.000</c:formatCode>
                <c:ptCount val="24"/>
                <c:pt idx="0">
                  <c:v>11.912027777777778</c:v>
                </c:pt>
                <c:pt idx="1">
                  <c:v>11.564305555555558</c:v>
                </c:pt>
                <c:pt idx="2">
                  <c:v>11.229083333333337</c:v>
                </c:pt>
                <c:pt idx="3">
                  <c:v>10.960527777777779</c:v>
                </c:pt>
                <c:pt idx="4">
                  <c:v>10.691972222222221</c:v>
                </c:pt>
                <c:pt idx="5">
                  <c:v>10.423416666666663</c:v>
                </c:pt>
                <c:pt idx="6">
                  <c:v>10.150416666666661</c:v>
                </c:pt>
                <c:pt idx="7">
                  <c:v>6.307972222222217</c:v>
                </c:pt>
                <c:pt idx="8">
                  <c:v>1.9452499999999997</c:v>
                </c:pt>
                <c:pt idx="9">
                  <c:v>2.482444444444444</c:v>
                </c:pt>
                <c:pt idx="10">
                  <c:v>4.5043333333333324</c:v>
                </c:pt>
                <c:pt idx="11">
                  <c:v>9.2622222222222224</c:v>
                </c:pt>
                <c:pt idx="12">
                  <c:v>17.17711111111111</c:v>
                </c:pt>
                <c:pt idx="13">
                  <c:v>17.96527743484225</c:v>
                </c:pt>
                <c:pt idx="14">
                  <c:v>17.965324992750318</c:v>
                </c:pt>
                <c:pt idx="15">
                  <c:v>17.965324999998895</c:v>
                </c:pt>
                <c:pt idx="16">
                  <c:v>17.965325</c:v>
                </c:pt>
                <c:pt idx="17">
                  <c:v>16.744463888888891</c:v>
                </c:pt>
                <c:pt idx="18">
                  <c:v>6.1347972222222236</c:v>
                </c:pt>
                <c:pt idx="19">
                  <c:v>1.9452499999999997</c:v>
                </c:pt>
                <c:pt idx="20">
                  <c:v>1.8722499999999993</c:v>
                </c:pt>
                <c:pt idx="21">
                  <c:v>1.7992499999999989</c:v>
                </c:pt>
                <c:pt idx="22">
                  <c:v>1.7262499999999985</c:v>
                </c:pt>
                <c:pt idx="23">
                  <c:v>1.6532499999999981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DE-4673-8555-A8ACA4D72887}"/>
            </c:ext>
          </c:extLst>
        </c:ser>
        <c:ser>
          <c:idx val="8"/>
          <c:order val="8"/>
          <c:tx>
            <c:strRef>
              <c:f>Říjen!$K$1:$K$2</c:f>
              <c:strCache>
                <c:ptCount val="2"/>
                <c:pt idx="0">
                  <c:v>Soc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Říjen!$K$3:$K$98</c15:sqref>
                  </c15:fullRef>
                </c:ext>
              </c:extLst>
              <c:f>(Říjen!$K$3,Říjen!$K$7,Říjen!$K$11,Říjen!$K$15,Říjen!$K$19,Říjen!$K$23,Říjen!$K$27,Říjen!$K$31,Říjen!$K$35,Říjen!$K$39,Říjen!$K$43,Říjen!$K$47,Říjen!$K$51,Říjen!$K$55,Říjen!$K$59,Říjen!$K$63,Říjen!$K$67,Říjen!$K$71,Říjen!$K$75,Říjen!$K$79,Říjen!$K$83,Říjen!$K$87,Říjen!$K$91,Říjen!$K$95)</c:f>
              <c:numCache>
                <c:formatCode>0%</c:formatCode>
                <c:ptCount val="24"/>
                <c:pt idx="0">
                  <c:v>0.59560138888888892</c:v>
                </c:pt>
                <c:pt idx="1">
                  <c:v>0.57821527777777793</c:v>
                </c:pt>
                <c:pt idx="2">
                  <c:v>0.56145416666666681</c:v>
                </c:pt>
                <c:pt idx="3">
                  <c:v>0.54802638888888899</c:v>
                </c:pt>
                <c:pt idx="4">
                  <c:v>0.53459861111111107</c:v>
                </c:pt>
                <c:pt idx="5">
                  <c:v>0.52117083333333314</c:v>
                </c:pt>
                <c:pt idx="6">
                  <c:v>0.50752083333333309</c:v>
                </c:pt>
                <c:pt idx="7">
                  <c:v>0.31539861111111084</c:v>
                </c:pt>
                <c:pt idx="8">
                  <c:v>9.7262499999999988E-2</c:v>
                </c:pt>
                <c:pt idx="9">
                  <c:v>0.1241222222222222</c:v>
                </c:pt>
                <c:pt idx="10">
                  <c:v>0.22521666666666662</c:v>
                </c:pt>
                <c:pt idx="11">
                  <c:v>0.46311111111111114</c:v>
                </c:pt>
                <c:pt idx="12">
                  <c:v>0.85885555555555548</c:v>
                </c:pt>
                <c:pt idx="13">
                  <c:v>0.89826387174211253</c:v>
                </c:pt>
                <c:pt idx="14">
                  <c:v>0.89826624963751589</c:v>
                </c:pt>
                <c:pt idx="15">
                  <c:v>0.89826624999994475</c:v>
                </c:pt>
                <c:pt idx="16">
                  <c:v>0.89826625000000004</c:v>
                </c:pt>
                <c:pt idx="17">
                  <c:v>0.8372231944444446</c:v>
                </c:pt>
                <c:pt idx="18">
                  <c:v>0.30673986111111118</c:v>
                </c:pt>
                <c:pt idx="19">
                  <c:v>9.7262499999999988E-2</c:v>
                </c:pt>
                <c:pt idx="20">
                  <c:v>9.361249999999996E-2</c:v>
                </c:pt>
                <c:pt idx="21">
                  <c:v>8.9962499999999945E-2</c:v>
                </c:pt>
                <c:pt idx="22">
                  <c:v>8.6312499999999931E-2</c:v>
                </c:pt>
                <c:pt idx="23">
                  <c:v>8.2662499999999903E-2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DE-4673-8555-A8ACA4D72887}"/>
            </c:ext>
          </c:extLst>
        </c:ser>
        <c:ser>
          <c:idx val="9"/>
          <c:order val="9"/>
          <c:tx>
            <c:strRef>
              <c:f>Říjen!$L$1:$L$2</c:f>
              <c:strCache>
                <c:ptCount val="2"/>
                <c:pt idx="0">
                  <c:v>Nabíjení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Říjen!$L$3:$L$98</c15:sqref>
                  </c15:fullRef>
                </c:ext>
              </c:extLst>
              <c:f>(Říjen!$L$3,Říjen!$L$7,Říjen!$L$11,Říjen!$L$15,Říjen!$L$19,Říjen!$L$23,Říjen!$L$27,Říjen!$L$31,Říjen!$L$35,Říjen!$L$39,Říjen!$L$43,Říjen!$L$47,Říjen!$L$51,Říjen!$L$55,Říjen!$L$59,Říjen!$L$63,Říjen!$L$67,Říjen!$L$71,Říjen!$L$75,Říjen!$L$79,Říjen!$L$83,Říjen!$L$87,Říjen!$L$91,Říjen!$L$95)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0.235125</c:v>
                </c:pt>
                <c:pt idx="10">
                  <c:v>0.67972500000000002</c:v>
                </c:pt>
                <c:pt idx="11">
                  <c:v>1.3817250000000001</c:v>
                </c:pt>
                <c:pt idx="12">
                  <c:v>2.0405250000000001</c:v>
                </c:pt>
                <c:pt idx="13">
                  <c:v>3.4246913580247451E-2</c:v>
                </c:pt>
                <c:pt idx="14">
                  <c:v>3.467493475286787E-2</c:v>
                </c:pt>
                <c:pt idx="15">
                  <c:v>3.4674999990055966E-2</c:v>
                </c:pt>
                <c:pt idx="16">
                  <c:v>3.4674999999996459E-2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DE-4673-8555-A8ACA4D72887}"/>
            </c:ext>
          </c:extLst>
        </c:ser>
        <c:ser>
          <c:idx val="10"/>
          <c:order val="10"/>
          <c:tx>
            <c:strRef>
              <c:f>Říjen!$M$1:$M$2</c:f>
              <c:strCache>
                <c:ptCount val="2"/>
                <c:pt idx="0">
                  <c:v>Nabíjení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Říjen!$M$3:$M$98</c15:sqref>
                  </c15:fullRef>
                </c:ext>
              </c:extLst>
              <c:f>(Říjen!$M$3,Říjen!$M$7,Říjen!$M$11,Říjen!$M$15,Říjen!$M$19,Říjen!$M$23,Říjen!$M$27,Říjen!$M$31,Říjen!$M$35,Říjen!$M$39,Říjen!$M$43,Říjen!$M$47,Říjen!$M$51,Říjen!$M$55,Říjen!$M$59,Říjen!$M$63,Říjen!$M$67,Říjen!$M$71,Říjen!$M$75,Říjen!$M$79,Říjen!$M$83,Říjen!$M$87,Říjen!$M$91,Říjen!$M$95)</c:f>
              <c:numCache>
                <c:formatCode>0.000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0.26124999999999998</c:v>
                </c:pt>
                <c:pt idx="10">
                  <c:v>0.75524999999999998</c:v>
                </c:pt>
                <c:pt idx="11">
                  <c:v>1.53525</c:v>
                </c:pt>
                <c:pt idx="12">
                  <c:v>2.2672500000000002</c:v>
                </c:pt>
                <c:pt idx="13">
                  <c:v>3.8052126200274948E-2</c:v>
                </c:pt>
                <c:pt idx="14">
                  <c:v>3.8527705280964296E-2</c:v>
                </c:pt>
                <c:pt idx="15">
                  <c:v>3.8527777766728853E-2</c:v>
                </c:pt>
                <c:pt idx="16">
                  <c:v>3.8527777777773844E-2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DE-4673-8555-A8ACA4D72887}"/>
            </c:ext>
          </c:extLst>
        </c:ser>
        <c:ser>
          <c:idx val="11"/>
          <c:order val="11"/>
          <c:tx>
            <c:strRef>
              <c:f>Říjen!$N$1:$N$2</c:f>
              <c:strCache>
                <c:ptCount val="2"/>
                <c:pt idx="0">
                  <c:v>Vybíjení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Říjen!$N$3:$N$98</c15:sqref>
                  </c15:fullRef>
                </c:ext>
              </c:extLst>
              <c:f>(Říjen!$N$3,Říjen!$N$7,Říjen!$N$11,Říjen!$N$15,Říjen!$N$19,Říjen!$N$23,Říjen!$N$27,Říjen!$N$31,Říjen!$N$35,Říjen!$N$39,Říjen!$N$43,Říjen!$N$47,Říjen!$N$51,Říjen!$N$55,Říjen!$N$59,Říjen!$N$63,Říjen!$N$67,Říjen!$N$71,Říjen!$N$75,Říjen!$N$79,Říjen!$N$83,Říjen!$N$87,Říjen!$N$91,Říjen!$N$95)</c:f>
              <c:numCache>
                <c:formatCode>0.000</c:formatCode>
                <c:ptCount val="24"/>
                <c:pt idx="0">
                  <c:v>6.275E-2</c:v>
                </c:pt>
                <c:pt idx="1">
                  <c:v>5.8999999999999997E-2</c:v>
                </c:pt>
                <c:pt idx="2">
                  <c:v>5.8999999999999997E-2</c:v>
                </c:pt>
                <c:pt idx="3">
                  <c:v>4.3999999999999997E-2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0.05</c:v>
                </c:pt>
                <c:pt idx="7">
                  <c:v>2.2959999999999998</c:v>
                </c:pt>
                <c:pt idx="8">
                  <c:v>0.34099999999999997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0.67899999999999994</c:v>
                </c:pt>
                <c:pt idx="18">
                  <c:v>3.4729999999999999</c:v>
                </c:pt>
                <c:pt idx="19">
                  <c:v>0.46925</c:v>
                </c:pt>
                <c:pt idx="20">
                  <c:v>0.51875000000000004</c:v>
                </c:pt>
                <c:pt idx="21">
                  <c:v>0.81749999999999901</c:v>
                </c:pt>
                <c:pt idx="22">
                  <c:v>0.74449999999999861</c:v>
                </c:pt>
                <c:pt idx="23">
                  <c:v>7.775E-2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DE-4673-8555-A8ACA4D72887}"/>
            </c:ext>
          </c:extLst>
        </c:ser>
        <c:ser>
          <c:idx val="12"/>
          <c:order val="12"/>
          <c:tx>
            <c:strRef>
              <c:f>Říjen!$O$1:$O$2</c:f>
              <c:strCache>
                <c:ptCount val="2"/>
                <c:pt idx="0">
                  <c:v>Vybíjení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Říjen!$O$3:$O$98</c15:sqref>
                  </c15:fullRef>
                </c:ext>
              </c:extLst>
              <c:f>(Říjen!$O$3,Říjen!$O$7,Říjen!$O$11,Říjen!$O$15,Říjen!$O$19,Říjen!$O$23,Říjen!$O$27,Říjen!$O$31,Říjen!$O$35,Říjen!$O$39,Říjen!$O$43,Říjen!$O$47,Říjen!$O$51,Říjen!$O$55,Říjen!$O$59,Říjen!$O$63,Říjen!$O$67,Říjen!$O$71,Říjen!$O$75,Říjen!$O$79,Říjen!$O$83,Říjen!$O$87,Říjen!$O$91,Říjen!$O$95)</c:f>
              <c:numCache>
                <c:formatCode>0.000</c:formatCode>
                <c:ptCount val="24"/>
                <c:pt idx="0">
                  <c:v>6.9722222222222227E-2</c:v>
                </c:pt>
                <c:pt idx="1">
                  <c:v>6.5555555555555547E-2</c:v>
                </c:pt>
                <c:pt idx="2">
                  <c:v>6.5555555555555547E-2</c:v>
                </c:pt>
                <c:pt idx="3">
                  <c:v>4.8888888888888885E-2</c:v>
                </c:pt>
                <c:pt idx="4">
                  <c:v>4.8888888888888885E-2</c:v>
                </c:pt>
                <c:pt idx="5">
                  <c:v>4.8888888888888885E-2</c:v>
                </c:pt>
                <c:pt idx="6">
                  <c:v>5.5555555555555559E-2</c:v>
                </c:pt>
                <c:pt idx="7">
                  <c:v>2.5511111111111107</c:v>
                </c:pt>
                <c:pt idx="8">
                  <c:v>0.37888888888888883</c:v>
                </c:pt>
                <c:pt idx="9">
                  <c:v>2.0277777777777777E-2</c:v>
                </c:pt>
                <c:pt idx="10">
                  <c:v>2.0277777777777777E-2</c:v>
                </c:pt>
                <c:pt idx="11">
                  <c:v>2.0277777777777777E-2</c:v>
                </c:pt>
                <c:pt idx="12">
                  <c:v>2.0277777777777777E-2</c:v>
                </c:pt>
                <c:pt idx="13">
                  <c:v>2.0277777777777777E-2</c:v>
                </c:pt>
                <c:pt idx="14">
                  <c:v>2.0277777777777777E-2</c:v>
                </c:pt>
                <c:pt idx="15">
                  <c:v>2.0277777777777777E-2</c:v>
                </c:pt>
                <c:pt idx="16">
                  <c:v>2.0277777777777777E-2</c:v>
                </c:pt>
                <c:pt idx="17">
                  <c:v>0.75444444444444436</c:v>
                </c:pt>
                <c:pt idx="18">
                  <c:v>3.8588888888888886</c:v>
                </c:pt>
                <c:pt idx="19">
                  <c:v>0.5213888888888889</c:v>
                </c:pt>
                <c:pt idx="20">
                  <c:v>0.57638888888888895</c:v>
                </c:pt>
                <c:pt idx="21">
                  <c:v>0.90833333333333222</c:v>
                </c:pt>
                <c:pt idx="22">
                  <c:v>0.82722222222222064</c:v>
                </c:pt>
                <c:pt idx="23">
                  <c:v>8.638888888888889E-2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DE-4673-8555-A8ACA4D72887}"/>
            </c:ext>
          </c:extLst>
        </c:ser>
        <c:ser>
          <c:idx val="13"/>
          <c:order val="13"/>
          <c:tx>
            <c:strRef>
              <c:f>Říjen!$P$1:$P$2</c:f>
              <c:strCache>
                <c:ptCount val="2"/>
                <c:pt idx="0">
                  <c:v>Vlastní 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Říjen!$B$3:$B$98</c15:sqref>
                  </c15:fullRef>
                </c:ext>
              </c:extLst>
              <c:f>(Říjen!$B$3,Říjen!$B$7,Říjen!$B$11,Říjen!$B$15,Říjen!$B$19,Říjen!$B$23,Říjen!$B$27,Říjen!$B$31,Říjen!$B$35,Říjen!$B$39,Říjen!$B$43,Říjen!$B$47,Říjen!$B$51,Říjen!$B$55,Říjen!$B$59,Říjen!$B$63,Říjen!$B$67,Říjen!$B$71,Říjen!$B$75,Říjen!$B$79,Říjen!$B$83,Říjen!$B$87,Říjen!$B$91,Říjen!$B$95)</c:f>
              <c:numCache>
                <c:formatCode>h:mm;@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0.16666666666666663</c:v>
                </c:pt>
                <c:pt idx="5">
                  <c:v>0.20833333333333326</c:v>
                </c:pt>
                <c:pt idx="6">
                  <c:v>0.24999999999999989</c:v>
                </c:pt>
                <c:pt idx="7">
                  <c:v>0.29166666666666663</c:v>
                </c:pt>
                <c:pt idx="8">
                  <c:v>0.33333333333333337</c:v>
                </c:pt>
                <c:pt idx="9">
                  <c:v>0.37500000000000011</c:v>
                </c:pt>
                <c:pt idx="10">
                  <c:v>0.41666666666666685</c:v>
                </c:pt>
                <c:pt idx="11">
                  <c:v>0.45833333333333359</c:v>
                </c:pt>
                <c:pt idx="12">
                  <c:v>0.50000000000000033</c:v>
                </c:pt>
                <c:pt idx="13">
                  <c:v>0.54166666666666685</c:v>
                </c:pt>
                <c:pt idx="14">
                  <c:v>0.58333333333333337</c:v>
                </c:pt>
                <c:pt idx="15">
                  <c:v>0.62499999999999989</c:v>
                </c:pt>
                <c:pt idx="16">
                  <c:v>0.66666666666666641</c:v>
                </c:pt>
                <c:pt idx="17">
                  <c:v>0.70833333333333293</c:v>
                </c:pt>
                <c:pt idx="18">
                  <c:v>0.74999999999999944</c:v>
                </c:pt>
                <c:pt idx="19">
                  <c:v>0.79166666666666596</c:v>
                </c:pt>
                <c:pt idx="20">
                  <c:v>0.83333333333333248</c:v>
                </c:pt>
                <c:pt idx="21">
                  <c:v>0.874999999999999</c:v>
                </c:pt>
                <c:pt idx="22">
                  <c:v>0.91666666666666552</c:v>
                </c:pt>
                <c:pt idx="23">
                  <c:v>0.95833333333333204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Říjen!$P$3:$P$98</c15:sqref>
                  </c15:fullRef>
                </c:ext>
              </c:extLst>
              <c:f>(Říjen!$P$3,Říjen!$P$7,Říjen!$P$11,Říjen!$P$15,Říjen!$P$19,Říjen!$P$23,Říjen!$P$27,Říjen!$P$31,Říjen!$P$35,Říjen!$P$39,Říjen!$P$43,Říjen!$P$47,Říjen!$P$51,Říjen!$P$55,Říjen!$P$59,Říjen!$P$63,Říjen!$P$67,Říjen!$P$71,Říjen!$P$75,Říjen!$P$79,Říjen!$P$83,Říjen!$P$87,Říjen!$P$91,Říjen!$P$95)</c:f>
              <c:numCache>
                <c:formatCode>0.000</c:formatCode>
                <c:ptCount val="24"/>
                <c:pt idx="0">
                  <c:v>1.8249999999999999E-2</c:v>
                </c:pt>
                <c:pt idx="1">
                  <c:v>1.8249999999999999E-2</c:v>
                </c:pt>
                <c:pt idx="2">
                  <c:v>1.8249999999999999E-2</c:v>
                </c:pt>
                <c:pt idx="3">
                  <c:v>1.8249999999999999E-2</c:v>
                </c:pt>
                <c:pt idx="4">
                  <c:v>1.8249999999999999E-2</c:v>
                </c:pt>
                <c:pt idx="5">
                  <c:v>1.8249999999999999E-2</c:v>
                </c:pt>
                <c:pt idx="6">
                  <c:v>1.8249999999999999E-2</c:v>
                </c:pt>
                <c:pt idx="7">
                  <c:v>1.8249999999999999E-2</c:v>
                </c:pt>
                <c:pt idx="8">
                  <c:v>1.8249999999999999E-2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1.8249999999999999E-2</c:v>
                </c:pt>
                <c:pt idx="18">
                  <c:v>1.8249999999999999E-2</c:v>
                </c:pt>
                <c:pt idx="19">
                  <c:v>1.8249999999999999E-2</c:v>
                </c:pt>
                <c:pt idx="20">
                  <c:v>1.8249999999999999E-2</c:v>
                </c:pt>
                <c:pt idx="21">
                  <c:v>1.8249999999999999E-2</c:v>
                </c:pt>
                <c:pt idx="22">
                  <c:v>1.8249999999999999E-2</c:v>
                </c:pt>
                <c:pt idx="23">
                  <c:v>1.8249999999999999E-2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DE-4673-8555-A8ACA4D7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Říjen!$C$1:$C$2</c:f>
              <c:strCache>
                <c:ptCount val="2"/>
                <c:pt idx="0">
                  <c:v>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Říjen!$C$3:$C$98</c:f>
              <c:numCache>
                <c:formatCode>0.000</c:formatCode>
                <c:ptCount val="96"/>
                <c:pt idx="0">
                  <c:v>4.4499999999999998E-2</c:v>
                </c:pt>
                <c:pt idx="1">
                  <c:v>4.4499999999999998E-2</c:v>
                </c:pt>
                <c:pt idx="2">
                  <c:v>4.4499999999999998E-2</c:v>
                </c:pt>
                <c:pt idx="3">
                  <c:v>4.4499999999999998E-2</c:v>
                </c:pt>
                <c:pt idx="4">
                  <c:v>4.0749999999999995E-2</c:v>
                </c:pt>
                <c:pt idx="5">
                  <c:v>4.0749999999999995E-2</c:v>
                </c:pt>
                <c:pt idx="6">
                  <c:v>4.0749999999999995E-2</c:v>
                </c:pt>
                <c:pt idx="7">
                  <c:v>4.0749999999999995E-2</c:v>
                </c:pt>
                <c:pt idx="8">
                  <c:v>4.0749999999999995E-2</c:v>
                </c:pt>
                <c:pt idx="9">
                  <c:v>2.5749999999999999E-2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2.5749999999999999E-2</c:v>
                </c:pt>
                <c:pt idx="18">
                  <c:v>2.5749999999999999E-2</c:v>
                </c:pt>
                <c:pt idx="19">
                  <c:v>2.5749999999999999E-2</c:v>
                </c:pt>
                <c:pt idx="20">
                  <c:v>2.5749999999999999E-2</c:v>
                </c:pt>
                <c:pt idx="21">
                  <c:v>2.5749999999999999E-2</c:v>
                </c:pt>
                <c:pt idx="22">
                  <c:v>2.5749999999999999E-2</c:v>
                </c:pt>
                <c:pt idx="23">
                  <c:v>2.5749999999999999E-2</c:v>
                </c:pt>
                <c:pt idx="24">
                  <c:v>3.3750000000000002E-2</c:v>
                </c:pt>
                <c:pt idx="25">
                  <c:v>3.3750000000000002E-2</c:v>
                </c:pt>
                <c:pt idx="26">
                  <c:v>0.41775000000000001</c:v>
                </c:pt>
                <c:pt idx="27">
                  <c:v>0.61025000000000007</c:v>
                </c:pt>
                <c:pt idx="28">
                  <c:v>2.2927499999999998</c:v>
                </c:pt>
                <c:pt idx="29">
                  <c:v>2.6557499999999998</c:v>
                </c:pt>
                <c:pt idx="30">
                  <c:v>2.3307499999999997</c:v>
                </c:pt>
                <c:pt idx="31">
                  <c:v>0.40075</c:v>
                </c:pt>
                <c:pt idx="32">
                  <c:v>0.40075</c:v>
                </c:pt>
                <c:pt idx="33">
                  <c:v>2.5749999999999999E-2</c:v>
                </c:pt>
                <c:pt idx="34">
                  <c:v>2.5749999999999999E-2</c:v>
                </c:pt>
                <c:pt idx="35">
                  <c:v>2.5749999999999999E-2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2.5749999999999999E-2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2.5749999999999999E-2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2.5749999999999999E-2</c:v>
                </c:pt>
                <c:pt idx="61">
                  <c:v>2.5749999999999999E-2</c:v>
                </c:pt>
                <c:pt idx="62">
                  <c:v>2.5749999999999999E-2</c:v>
                </c:pt>
                <c:pt idx="63">
                  <c:v>2.5749999999999999E-2</c:v>
                </c:pt>
                <c:pt idx="64">
                  <c:v>2.5749999999999999E-2</c:v>
                </c:pt>
                <c:pt idx="65">
                  <c:v>2.5749999999999999E-2</c:v>
                </c:pt>
                <c:pt idx="66">
                  <c:v>0.40075</c:v>
                </c:pt>
                <c:pt idx="67">
                  <c:v>0.43325000000000002</c:v>
                </c:pt>
                <c:pt idx="68">
                  <c:v>0.81574999999999998</c:v>
                </c:pt>
                <c:pt idx="69">
                  <c:v>0.81574999999999998</c:v>
                </c:pt>
                <c:pt idx="70">
                  <c:v>2.31575</c:v>
                </c:pt>
                <c:pt idx="71">
                  <c:v>3.06575</c:v>
                </c:pt>
                <c:pt idx="72">
                  <c:v>3.4907499999999998</c:v>
                </c:pt>
                <c:pt idx="73">
                  <c:v>3.0557499999999997</c:v>
                </c:pt>
                <c:pt idx="74">
                  <c:v>1.5557499999999997</c:v>
                </c:pt>
                <c:pt idx="75">
                  <c:v>1.5557499999999997</c:v>
                </c:pt>
                <c:pt idx="76">
                  <c:v>0.45700000000000002</c:v>
                </c:pt>
                <c:pt idx="77">
                  <c:v>0.432</c:v>
                </c:pt>
                <c:pt idx="78">
                  <c:v>0.4985</c:v>
                </c:pt>
                <c:pt idx="79">
                  <c:v>0.4985</c:v>
                </c:pt>
                <c:pt idx="80">
                  <c:v>0.50150000000000006</c:v>
                </c:pt>
                <c:pt idx="81">
                  <c:v>0.50150000000000006</c:v>
                </c:pt>
                <c:pt idx="82">
                  <c:v>0.50150000000000006</c:v>
                </c:pt>
                <c:pt idx="83">
                  <c:v>0.50550000000000006</c:v>
                </c:pt>
                <c:pt idx="84">
                  <c:v>1.0555000000000001</c:v>
                </c:pt>
                <c:pt idx="85">
                  <c:v>1.0555000000000001</c:v>
                </c:pt>
                <c:pt idx="86">
                  <c:v>1.0630000000000002</c:v>
                </c:pt>
                <c:pt idx="87">
                  <c:v>1.4379999999999999</c:v>
                </c:pt>
                <c:pt idx="88">
                  <c:v>1.4379999999999999</c:v>
                </c:pt>
                <c:pt idx="89">
                  <c:v>0.8254999999999999</c:v>
                </c:pt>
                <c:pt idx="90">
                  <c:v>0.84049999999999991</c:v>
                </c:pt>
                <c:pt idx="91">
                  <c:v>0.81174999999999997</c:v>
                </c:pt>
                <c:pt idx="92">
                  <c:v>5.9499999999999997E-2</c:v>
                </c:pt>
                <c:pt idx="93">
                  <c:v>5.9499999999999997E-2</c:v>
                </c:pt>
                <c:pt idx="94">
                  <c:v>5.0500000000000003E-2</c:v>
                </c:pt>
                <c:pt idx="95">
                  <c:v>4.7500000000000001E-2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C-493E-8CBE-253926A88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1CC-493E-8CBE-253926A88D1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1CC-493E-8CBE-253926A88D1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1CC-493E-8CBE-253926A88D1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1CC-493E-8CBE-253926A88D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1CC-493E-8CBE-253926A88D1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1CC-493E-8CBE-253926A88D1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CC-493E-8CBE-253926A88D1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1CC-493E-8CBE-253926A88D1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CC-493E-8CBE-253926A88D1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1CC-493E-8CBE-253926A88D1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1CC-493E-8CBE-253926A88D1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1CC-493E-8CBE-253926A88D1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1CC-493E-8CBE-253926A88D15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Říjen!$D$1:$D$2</c:f>
              <c:strCache>
                <c:ptCount val="2"/>
                <c:pt idx="0">
                  <c:v>Přímá vlastní spotřeba z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Říjen!$D$3:$D$98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1E-3</c:v>
                </c:pt>
                <c:pt idx="23">
                  <c:v>1E-3</c:v>
                </c:pt>
                <c:pt idx="24">
                  <c:v>2E-3</c:v>
                </c:pt>
                <c:pt idx="25">
                  <c:v>4.0000000000000001E-3</c:v>
                </c:pt>
                <c:pt idx="26">
                  <c:v>6.0000000000000001E-3</c:v>
                </c:pt>
                <c:pt idx="27">
                  <c:v>0.01</c:v>
                </c:pt>
                <c:pt idx="28">
                  <c:v>1.4999999999999999E-2</c:v>
                </c:pt>
                <c:pt idx="29">
                  <c:v>2.4E-2</c:v>
                </c:pt>
                <c:pt idx="30">
                  <c:v>3.5999999999999997E-2</c:v>
                </c:pt>
                <c:pt idx="31">
                  <c:v>5.2999999999999999E-2</c:v>
                </c:pt>
                <c:pt idx="32">
                  <c:v>7.8E-2</c:v>
                </c:pt>
                <c:pt idx="33">
                  <c:v>2.5749999999999999E-2</c:v>
                </c:pt>
                <c:pt idx="34">
                  <c:v>2.5749999999999999E-2</c:v>
                </c:pt>
                <c:pt idx="35">
                  <c:v>2.5749999999999999E-2</c:v>
                </c:pt>
                <c:pt idx="36">
                  <c:v>2.5749999999999999E-2</c:v>
                </c:pt>
                <c:pt idx="37">
                  <c:v>2.5749999999999999E-2</c:v>
                </c:pt>
                <c:pt idx="38">
                  <c:v>2.5749999999999999E-2</c:v>
                </c:pt>
                <c:pt idx="39">
                  <c:v>2.5749999999999999E-2</c:v>
                </c:pt>
                <c:pt idx="40">
                  <c:v>2.5749999999999999E-2</c:v>
                </c:pt>
                <c:pt idx="41">
                  <c:v>2.5749999999999999E-2</c:v>
                </c:pt>
                <c:pt idx="42">
                  <c:v>2.5749999999999999E-2</c:v>
                </c:pt>
                <c:pt idx="43">
                  <c:v>2.5749999999999999E-2</c:v>
                </c:pt>
                <c:pt idx="44">
                  <c:v>2.5749999999999999E-2</c:v>
                </c:pt>
                <c:pt idx="45">
                  <c:v>2.5749999999999999E-2</c:v>
                </c:pt>
                <c:pt idx="46">
                  <c:v>2.5749999999999999E-2</c:v>
                </c:pt>
                <c:pt idx="47">
                  <c:v>2.5749999999999999E-2</c:v>
                </c:pt>
                <c:pt idx="48">
                  <c:v>2.5749999999999999E-2</c:v>
                </c:pt>
                <c:pt idx="49">
                  <c:v>2.5749999999999999E-2</c:v>
                </c:pt>
                <c:pt idx="50">
                  <c:v>2.5749999999999999E-2</c:v>
                </c:pt>
                <c:pt idx="51">
                  <c:v>2.5749999999999999E-2</c:v>
                </c:pt>
                <c:pt idx="52">
                  <c:v>2.5749999999999999E-2</c:v>
                </c:pt>
                <c:pt idx="53">
                  <c:v>2.5749999999999999E-2</c:v>
                </c:pt>
                <c:pt idx="54">
                  <c:v>2.5749999999999999E-2</c:v>
                </c:pt>
                <c:pt idx="55">
                  <c:v>2.5749999999999999E-2</c:v>
                </c:pt>
                <c:pt idx="56">
                  <c:v>2.5749999999999999E-2</c:v>
                </c:pt>
                <c:pt idx="57">
                  <c:v>2.5749999999999999E-2</c:v>
                </c:pt>
                <c:pt idx="58">
                  <c:v>2.5749999999999999E-2</c:v>
                </c:pt>
                <c:pt idx="59">
                  <c:v>2.5749999999999999E-2</c:v>
                </c:pt>
                <c:pt idx="60">
                  <c:v>2.5749999999999999E-2</c:v>
                </c:pt>
                <c:pt idx="61">
                  <c:v>2.5749999999999999E-2</c:v>
                </c:pt>
                <c:pt idx="62">
                  <c:v>2.5749999999999999E-2</c:v>
                </c:pt>
                <c:pt idx="63">
                  <c:v>2.5749999999999999E-2</c:v>
                </c:pt>
                <c:pt idx="64">
                  <c:v>2.5749999999999999E-2</c:v>
                </c:pt>
                <c:pt idx="65">
                  <c:v>2.5749999999999999E-2</c:v>
                </c:pt>
                <c:pt idx="66">
                  <c:v>0.28699999999999998</c:v>
                </c:pt>
                <c:pt idx="67">
                  <c:v>0.21299999999999999</c:v>
                </c:pt>
                <c:pt idx="68">
                  <c:v>0.155</c:v>
                </c:pt>
                <c:pt idx="69">
                  <c:v>0.111</c:v>
                </c:pt>
                <c:pt idx="70">
                  <c:v>7.8E-2</c:v>
                </c:pt>
                <c:pt idx="71">
                  <c:v>5.2999999999999999E-2</c:v>
                </c:pt>
                <c:pt idx="72">
                  <c:v>3.5999999999999997E-2</c:v>
                </c:pt>
                <c:pt idx="73">
                  <c:v>2.4E-2</c:v>
                </c:pt>
                <c:pt idx="74">
                  <c:v>1.4999999999999999E-2</c:v>
                </c:pt>
                <c:pt idx="75">
                  <c:v>0.01</c:v>
                </c:pt>
                <c:pt idx="76">
                  <c:v>6.0000000000000001E-3</c:v>
                </c:pt>
                <c:pt idx="77">
                  <c:v>4.0000000000000001E-3</c:v>
                </c:pt>
                <c:pt idx="78">
                  <c:v>2E-3</c:v>
                </c:pt>
                <c:pt idx="79">
                  <c:v>1E-3</c:v>
                </c:pt>
                <c:pt idx="80">
                  <c:v>1E-3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8-4978-94F4-0DB3BB5A5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918-4978-94F4-0DB3BB5A537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918-4978-94F4-0DB3BB5A537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918-4978-94F4-0DB3BB5A537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918-4978-94F4-0DB3BB5A53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918-4978-94F4-0DB3BB5A537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918-4978-94F4-0DB3BB5A537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918-4978-94F4-0DB3BB5A537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918-4978-94F4-0DB3BB5A537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918-4978-94F4-0DB3BB5A537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918-4978-94F4-0DB3BB5A537F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918-4978-94F4-0DB3BB5A537F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918-4978-94F4-0DB3BB5A537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918-4978-94F4-0DB3BB5A537F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Říjen!$E$1:$E$2</c:f>
              <c:strCache>
                <c:ptCount val="2"/>
                <c:pt idx="0">
                  <c:v>Výroba FVE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Říjen!$E$3:$E$98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1E-3</c:v>
                </c:pt>
                <c:pt idx="23">
                  <c:v>1E-3</c:v>
                </c:pt>
                <c:pt idx="24">
                  <c:v>2E-3</c:v>
                </c:pt>
                <c:pt idx="25">
                  <c:v>4.0000000000000001E-3</c:v>
                </c:pt>
                <c:pt idx="26">
                  <c:v>6.0000000000000001E-3</c:v>
                </c:pt>
                <c:pt idx="27">
                  <c:v>0.01</c:v>
                </c:pt>
                <c:pt idx="28">
                  <c:v>1.4999999999999999E-2</c:v>
                </c:pt>
                <c:pt idx="29">
                  <c:v>2.4E-2</c:v>
                </c:pt>
                <c:pt idx="30">
                  <c:v>3.5999999999999997E-2</c:v>
                </c:pt>
                <c:pt idx="31">
                  <c:v>5.2999999999999999E-2</c:v>
                </c:pt>
                <c:pt idx="32">
                  <c:v>7.8E-2</c:v>
                </c:pt>
                <c:pt idx="33">
                  <c:v>0.111</c:v>
                </c:pt>
                <c:pt idx="34">
                  <c:v>0.155</c:v>
                </c:pt>
                <c:pt idx="35">
                  <c:v>0.21299999999999999</c:v>
                </c:pt>
                <c:pt idx="36">
                  <c:v>0.28699999999999998</c:v>
                </c:pt>
                <c:pt idx="37">
                  <c:v>0.38</c:v>
                </c:pt>
                <c:pt idx="38">
                  <c:v>0.49199999999999999</c:v>
                </c:pt>
                <c:pt idx="39">
                  <c:v>0.626</c:v>
                </c:pt>
                <c:pt idx="40">
                  <c:v>0.78100000000000003</c:v>
                </c:pt>
                <c:pt idx="41">
                  <c:v>0.95599999999999996</c:v>
                </c:pt>
                <c:pt idx="42">
                  <c:v>1.147</c:v>
                </c:pt>
                <c:pt idx="43">
                  <c:v>1.351</c:v>
                </c:pt>
                <c:pt idx="44">
                  <c:v>1.5609999999999999</c:v>
                </c:pt>
                <c:pt idx="45">
                  <c:v>1.7689999999999999</c:v>
                </c:pt>
                <c:pt idx="46">
                  <c:v>1.966</c:v>
                </c:pt>
                <c:pt idx="47">
                  <c:v>2.1440000000000001</c:v>
                </c:pt>
                <c:pt idx="48">
                  <c:v>2.2930000000000001</c:v>
                </c:pt>
                <c:pt idx="49">
                  <c:v>2.4060000000000001</c:v>
                </c:pt>
                <c:pt idx="50">
                  <c:v>2.476</c:v>
                </c:pt>
                <c:pt idx="51">
                  <c:v>2.5</c:v>
                </c:pt>
                <c:pt idx="52">
                  <c:v>2.476</c:v>
                </c:pt>
                <c:pt idx="53">
                  <c:v>2.4060000000000001</c:v>
                </c:pt>
                <c:pt idx="54">
                  <c:v>2.2930000000000001</c:v>
                </c:pt>
                <c:pt idx="55">
                  <c:v>2.1440000000000001</c:v>
                </c:pt>
                <c:pt idx="56">
                  <c:v>1.966</c:v>
                </c:pt>
                <c:pt idx="57">
                  <c:v>1.7689999999999999</c:v>
                </c:pt>
                <c:pt idx="58">
                  <c:v>1.5609999999999999</c:v>
                </c:pt>
                <c:pt idx="59">
                  <c:v>1.351</c:v>
                </c:pt>
                <c:pt idx="60">
                  <c:v>1.147</c:v>
                </c:pt>
                <c:pt idx="61">
                  <c:v>0.95599999999999996</c:v>
                </c:pt>
                <c:pt idx="62">
                  <c:v>0.78100000000000003</c:v>
                </c:pt>
                <c:pt idx="63">
                  <c:v>0.626</c:v>
                </c:pt>
                <c:pt idx="64">
                  <c:v>0.49199999999999999</c:v>
                </c:pt>
                <c:pt idx="65">
                  <c:v>0.38</c:v>
                </c:pt>
                <c:pt idx="66">
                  <c:v>0.28699999999999998</c:v>
                </c:pt>
                <c:pt idx="67">
                  <c:v>0.21299999999999999</c:v>
                </c:pt>
                <c:pt idx="68">
                  <c:v>0.155</c:v>
                </c:pt>
                <c:pt idx="69">
                  <c:v>0.111</c:v>
                </c:pt>
                <c:pt idx="70">
                  <c:v>7.8E-2</c:v>
                </c:pt>
                <c:pt idx="71">
                  <c:v>5.2999999999999999E-2</c:v>
                </c:pt>
                <c:pt idx="72">
                  <c:v>3.5999999999999997E-2</c:v>
                </c:pt>
                <c:pt idx="73">
                  <c:v>2.4E-2</c:v>
                </c:pt>
                <c:pt idx="74">
                  <c:v>1.4999999999999999E-2</c:v>
                </c:pt>
                <c:pt idx="75">
                  <c:v>0.01</c:v>
                </c:pt>
                <c:pt idx="76">
                  <c:v>6.0000000000000001E-3</c:v>
                </c:pt>
                <c:pt idx="77">
                  <c:v>4.0000000000000001E-3</c:v>
                </c:pt>
                <c:pt idx="78">
                  <c:v>2E-3</c:v>
                </c:pt>
                <c:pt idx="79">
                  <c:v>1E-3</c:v>
                </c:pt>
                <c:pt idx="80">
                  <c:v>1E-3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4-4FB5-BA41-1022B214A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CA4-4FB5-BA41-1022B214A32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A4-4FB5-BA41-1022B214A32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A4-4FB5-BA41-1022B214A3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A4-4FB5-BA41-1022B214A3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A4-4FB5-BA41-1022B214A3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A4-4FB5-BA41-1022B214A3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A4-4FB5-BA41-1022B214A3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CA4-4FB5-BA41-1022B214A3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CA4-4FB5-BA41-1022B214A3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CA4-4FB5-BA41-1022B214A328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CA4-4FB5-BA41-1022B214A328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CA4-4FB5-BA41-1022B214A328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CA4-4FB5-BA41-1022B214A328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Říjen!$F$1:$F$2</c:f>
              <c:strCache>
                <c:ptCount val="2"/>
                <c:pt idx="0">
                  <c:v>Odběr z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Říjen!$F$3:$F$98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0.56399999999999983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0.2380000000000011</c:v>
                </c:pt>
                <c:pt idx="85">
                  <c:v>0.2562500000000012</c:v>
                </c:pt>
                <c:pt idx="86">
                  <c:v>0.28200000000000136</c:v>
                </c:pt>
                <c:pt idx="87">
                  <c:v>0.67525000000000124</c:v>
                </c:pt>
                <c:pt idx="88">
                  <c:v>0.69350000000000134</c:v>
                </c:pt>
                <c:pt idx="89">
                  <c:v>9.9250000000001393E-2</c:v>
                </c:pt>
                <c:pt idx="90">
                  <c:v>0.13250000000000151</c:v>
                </c:pt>
                <c:pt idx="91">
                  <c:v>0.12200000000000166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A3-4371-AD3B-007BD307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1A3-4371-AD3B-007BD307D59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1A3-4371-AD3B-007BD307D59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1A3-4371-AD3B-007BD307D59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1A3-4371-AD3B-007BD307D59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1A3-4371-AD3B-007BD307D59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1A3-4371-AD3B-007BD307D59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A3-4371-AD3B-007BD307D59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1A3-4371-AD3B-007BD307D59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A3-4371-AD3B-007BD307D59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1A3-4371-AD3B-007BD307D598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1A3-4371-AD3B-007BD307D598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1A3-4371-AD3B-007BD307D598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1A3-4371-AD3B-007BD307D598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Říjen!$G$1:$G$2</c:f>
              <c:strCache>
                <c:ptCount val="2"/>
                <c:pt idx="0">
                  <c:v>Přetok do DS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Říjen!$G$3:$G$98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1.4659290123456776</c:v>
                </c:pt>
                <c:pt idx="50">
                  <c:v>2.45025</c:v>
                </c:pt>
                <c:pt idx="51">
                  <c:v>2.4314413580246925</c:v>
                </c:pt>
                <c:pt idx="52">
                  <c:v>2.4121978737997249</c:v>
                </c:pt>
                <c:pt idx="53">
                  <c:v>2.3416693720469444</c:v>
                </c:pt>
                <c:pt idx="54">
                  <c:v>2.2287280944639218</c:v>
                </c:pt>
                <c:pt idx="55">
                  <c:v>2.0797215697509248</c:v>
                </c:pt>
                <c:pt idx="56">
                  <c:v>1.9017222947190358</c:v>
                </c:pt>
                <c:pt idx="57">
                  <c:v>1.7047222141670202</c:v>
                </c:pt>
                <c:pt idx="58">
                  <c:v>1.4967222231172455</c:v>
                </c:pt>
                <c:pt idx="59">
                  <c:v>1.2867222221227779</c:v>
                </c:pt>
                <c:pt idx="60">
                  <c:v>1.0827222222332713</c:v>
                </c:pt>
                <c:pt idx="61">
                  <c:v>0.89172222222099451</c:v>
                </c:pt>
                <c:pt idx="62">
                  <c:v>0.71672222222236037</c:v>
                </c:pt>
                <c:pt idx="63">
                  <c:v>0.56172222222220636</c:v>
                </c:pt>
                <c:pt idx="64">
                  <c:v>0.42772222222222617</c:v>
                </c:pt>
                <c:pt idx="65">
                  <c:v>0.31572222222222224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2F-434C-B041-7BD470945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A2F-434C-B041-7BD47094567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A2F-434C-B041-7BD47094567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A2F-434C-B041-7BD47094567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2F-434C-B041-7BD47094567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2F-434C-B041-7BD47094567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2F-434C-B041-7BD47094567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A2F-434C-B041-7BD47094567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A2F-434C-B041-7BD47094567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A2F-434C-B041-7BD47094567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A2F-434C-B041-7BD47094567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A2F-434C-B041-7BD47094567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A2F-434C-B041-7BD47094567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A2F-434C-B041-7BD47094567E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Říjen!$H$1:$H$2</c:f>
              <c:strCache>
                <c:ptCount val="2"/>
                <c:pt idx="0">
                  <c:v>Spotřeba z baterie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Říjen!$H$3:$H$98</c:f>
              <c:numCache>
                <c:formatCode>0.000</c:formatCode>
                <c:ptCount val="96"/>
                <c:pt idx="0">
                  <c:v>4.4499999999999998E-2</c:v>
                </c:pt>
                <c:pt idx="1">
                  <c:v>4.4499999999999998E-2</c:v>
                </c:pt>
                <c:pt idx="2">
                  <c:v>4.4499999999999998E-2</c:v>
                </c:pt>
                <c:pt idx="3">
                  <c:v>4.4499999999999998E-2</c:v>
                </c:pt>
                <c:pt idx="4">
                  <c:v>4.0749999999999995E-2</c:v>
                </c:pt>
                <c:pt idx="5">
                  <c:v>4.0749999999999995E-2</c:v>
                </c:pt>
                <c:pt idx="6">
                  <c:v>4.0749999999999995E-2</c:v>
                </c:pt>
                <c:pt idx="7">
                  <c:v>4.0749999999999995E-2</c:v>
                </c:pt>
                <c:pt idx="8">
                  <c:v>4.0749999999999995E-2</c:v>
                </c:pt>
                <c:pt idx="9">
                  <c:v>2.5749999999999999E-2</c:v>
                </c:pt>
                <c:pt idx="10">
                  <c:v>2.5749999999999999E-2</c:v>
                </c:pt>
                <c:pt idx="11">
                  <c:v>2.5749999999999999E-2</c:v>
                </c:pt>
                <c:pt idx="12">
                  <c:v>2.5749999999999999E-2</c:v>
                </c:pt>
                <c:pt idx="13">
                  <c:v>2.5749999999999999E-2</c:v>
                </c:pt>
                <c:pt idx="14">
                  <c:v>2.5749999999999999E-2</c:v>
                </c:pt>
                <c:pt idx="15">
                  <c:v>2.5749999999999999E-2</c:v>
                </c:pt>
                <c:pt idx="16">
                  <c:v>2.5749999999999999E-2</c:v>
                </c:pt>
                <c:pt idx="17">
                  <c:v>2.5749999999999999E-2</c:v>
                </c:pt>
                <c:pt idx="18">
                  <c:v>2.5749999999999999E-2</c:v>
                </c:pt>
                <c:pt idx="19">
                  <c:v>2.5749999999999999E-2</c:v>
                </c:pt>
                <c:pt idx="20">
                  <c:v>2.5749999999999999E-2</c:v>
                </c:pt>
                <c:pt idx="21">
                  <c:v>2.5749999999999999E-2</c:v>
                </c:pt>
                <c:pt idx="22">
                  <c:v>2.4749999999999998E-2</c:v>
                </c:pt>
                <c:pt idx="23">
                  <c:v>2.4749999999999998E-2</c:v>
                </c:pt>
                <c:pt idx="24">
                  <c:v>3.175E-2</c:v>
                </c:pt>
                <c:pt idx="25">
                  <c:v>2.9750000000000002E-2</c:v>
                </c:pt>
                <c:pt idx="26">
                  <c:v>0.41175</c:v>
                </c:pt>
                <c:pt idx="27">
                  <c:v>0.60025000000000006</c:v>
                </c:pt>
                <c:pt idx="28">
                  <c:v>2.2777499999999997</c:v>
                </c:pt>
                <c:pt idx="29">
                  <c:v>2.6317499999999998</c:v>
                </c:pt>
                <c:pt idx="30">
                  <c:v>2.2947499999999996</c:v>
                </c:pt>
                <c:pt idx="31">
                  <c:v>0.34775</c:v>
                </c:pt>
                <c:pt idx="32">
                  <c:v>0.32274999999999998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0.11375000000000002</c:v>
                </c:pt>
                <c:pt idx="67">
                  <c:v>0.22025000000000003</c:v>
                </c:pt>
                <c:pt idx="68">
                  <c:v>0.66074999999999995</c:v>
                </c:pt>
                <c:pt idx="69">
                  <c:v>0.70474999999999999</c:v>
                </c:pt>
                <c:pt idx="70">
                  <c:v>2.2377500000000001</c:v>
                </c:pt>
                <c:pt idx="71">
                  <c:v>3.01275</c:v>
                </c:pt>
                <c:pt idx="72">
                  <c:v>3.4547499999999998</c:v>
                </c:pt>
                <c:pt idx="73">
                  <c:v>3.0317499999999997</c:v>
                </c:pt>
                <c:pt idx="74">
                  <c:v>1.5407499999999998</c:v>
                </c:pt>
                <c:pt idx="75">
                  <c:v>0.9817499999999999</c:v>
                </c:pt>
                <c:pt idx="76">
                  <c:v>0.45100000000000001</c:v>
                </c:pt>
                <c:pt idx="77">
                  <c:v>0.42799999999999999</c:v>
                </c:pt>
                <c:pt idx="78">
                  <c:v>0.4965</c:v>
                </c:pt>
                <c:pt idx="79">
                  <c:v>0.4975</c:v>
                </c:pt>
                <c:pt idx="80">
                  <c:v>0.50050000000000006</c:v>
                </c:pt>
                <c:pt idx="81">
                  <c:v>0.50150000000000006</c:v>
                </c:pt>
                <c:pt idx="82">
                  <c:v>0.50150000000000006</c:v>
                </c:pt>
                <c:pt idx="83">
                  <c:v>0.50550000000000006</c:v>
                </c:pt>
                <c:pt idx="84">
                  <c:v>0.81749999999999901</c:v>
                </c:pt>
                <c:pt idx="85">
                  <c:v>0.79924999999999891</c:v>
                </c:pt>
                <c:pt idx="86">
                  <c:v>0.78099999999999881</c:v>
                </c:pt>
                <c:pt idx="87">
                  <c:v>0.76274999999999871</c:v>
                </c:pt>
                <c:pt idx="88">
                  <c:v>0.74449999999999861</c:v>
                </c:pt>
                <c:pt idx="89">
                  <c:v>0.72624999999999851</c:v>
                </c:pt>
                <c:pt idx="90">
                  <c:v>0.70799999999999841</c:v>
                </c:pt>
                <c:pt idx="91">
                  <c:v>0.68974999999999831</c:v>
                </c:pt>
                <c:pt idx="92">
                  <c:v>5.9499999999999997E-2</c:v>
                </c:pt>
                <c:pt idx="93">
                  <c:v>5.9499999999999997E-2</c:v>
                </c:pt>
                <c:pt idx="94">
                  <c:v>5.0500000000000003E-2</c:v>
                </c:pt>
                <c:pt idx="95">
                  <c:v>4.7500000000000001E-2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62-4778-AF0C-FFEFF7D9C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62-4778-AF0C-FFEFF7D9CDD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862-4778-AF0C-FFEFF7D9CDD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862-4778-AF0C-FFEFF7D9CD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62-4778-AF0C-FFEFF7D9CDD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862-4778-AF0C-FFEFF7D9CDD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62-4778-AF0C-FFEFF7D9CDD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862-4778-AF0C-FFEFF7D9CDD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862-4778-AF0C-FFEFF7D9CDD9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862-4778-AF0C-FFEFF7D9CDD9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862-4778-AF0C-FFEFF7D9CDD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862-4778-AF0C-FFEFF7D9CDD9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862-4778-AF0C-FFEFF7D9CDD9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862-4778-AF0C-FFEFF7D9CDD9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Říjen!$I$1:$I$2</c:f>
              <c:strCache>
                <c:ptCount val="2"/>
                <c:pt idx="0">
                  <c:v>Bilance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Říjen!$I$3:$I$98</c:f>
              <c:numCache>
                <c:formatCode>0.000</c:formatCode>
                <c:ptCount val="96"/>
                <c:pt idx="0">
                  <c:v>-4.4499999999999998E-2</c:v>
                </c:pt>
                <c:pt idx="1">
                  <c:v>-4.4499999999999998E-2</c:v>
                </c:pt>
                <c:pt idx="2">
                  <c:v>-4.4499999999999998E-2</c:v>
                </c:pt>
                <c:pt idx="3">
                  <c:v>-4.4499999999999998E-2</c:v>
                </c:pt>
                <c:pt idx="4">
                  <c:v>-4.0749999999999995E-2</c:v>
                </c:pt>
                <c:pt idx="5">
                  <c:v>-4.0749999999999995E-2</c:v>
                </c:pt>
                <c:pt idx="6">
                  <c:v>-4.0749999999999995E-2</c:v>
                </c:pt>
                <c:pt idx="7">
                  <c:v>-4.0749999999999995E-2</c:v>
                </c:pt>
                <c:pt idx="8">
                  <c:v>-4.0749999999999995E-2</c:v>
                </c:pt>
                <c:pt idx="9">
                  <c:v>-2.5749999999999999E-2</c:v>
                </c:pt>
                <c:pt idx="10">
                  <c:v>-2.5749999999999999E-2</c:v>
                </c:pt>
                <c:pt idx="11">
                  <c:v>-2.5749999999999999E-2</c:v>
                </c:pt>
                <c:pt idx="12">
                  <c:v>-2.5749999999999999E-2</c:v>
                </c:pt>
                <c:pt idx="13">
                  <c:v>-2.5749999999999999E-2</c:v>
                </c:pt>
                <c:pt idx="14">
                  <c:v>-2.5749999999999999E-2</c:v>
                </c:pt>
                <c:pt idx="15">
                  <c:v>-2.5749999999999999E-2</c:v>
                </c:pt>
                <c:pt idx="16">
                  <c:v>-2.5749999999999999E-2</c:v>
                </c:pt>
                <c:pt idx="17">
                  <c:v>-2.5749999999999999E-2</c:v>
                </c:pt>
                <c:pt idx="18">
                  <c:v>-2.5749999999999999E-2</c:v>
                </c:pt>
                <c:pt idx="19">
                  <c:v>-2.5749999999999999E-2</c:v>
                </c:pt>
                <c:pt idx="20">
                  <c:v>-2.5749999999999999E-2</c:v>
                </c:pt>
                <c:pt idx="21">
                  <c:v>-2.5749999999999999E-2</c:v>
                </c:pt>
                <c:pt idx="22">
                  <c:v>-2.4749999999999998E-2</c:v>
                </c:pt>
                <c:pt idx="23">
                  <c:v>-2.4749999999999998E-2</c:v>
                </c:pt>
                <c:pt idx="24">
                  <c:v>-3.175E-2</c:v>
                </c:pt>
                <c:pt idx="25">
                  <c:v>-2.9750000000000002E-2</c:v>
                </c:pt>
                <c:pt idx="26">
                  <c:v>-0.41175</c:v>
                </c:pt>
                <c:pt idx="27">
                  <c:v>-0.60025000000000006</c:v>
                </c:pt>
                <c:pt idx="28">
                  <c:v>-2.2777499999999997</c:v>
                </c:pt>
                <c:pt idx="29">
                  <c:v>-2.6317499999999998</c:v>
                </c:pt>
                <c:pt idx="30">
                  <c:v>-2.2947499999999996</c:v>
                </c:pt>
                <c:pt idx="31">
                  <c:v>-0.34775</c:v>
                </c:pt>
                <c:pt idx="32">
                  <c:v>-0.32274999999999998</c:v>
                </c:pt>
                <c:pt idx="33">
                  <c:v>8.5250000000000006E-2</c:v>
                </c:pt>
                <c:pt idx="34">
                  <c:v>0.12925</c:v>
                </c:pt>
                <c:pt idx="35">
                  <c:v>0.18725</c:v>
                </c:pt>
                <c:pt idx="36">
                  <c:v>0.26124999999999998</c:v>
                </c:pt>
                <c:pt idx="37">
                  <c:v>0.35425000000000001</c:v>
                </c:pt>
                <c:pt idx="38">
                  <c:v>0.46625</c:v>
                </c:pt>
                <c:pt idx="39">
                  <c:v>0.60024999999999995</c:v>
                </c:pt>
                <c:pt idx="40">
                  <c:v>0.75524999999999998</c:v>
                </c:pt>
                <c:pt idx="41">
                  <c:v>0.93024999999999991</c:v>
                </c:pt>
                <c:pt idx="42">
                  <c:v>1.1212500000000001</c:v>
                </c:pt>
                <c:pt idx="43">
                  <c:v>1.32525</c:v>
                </c:pt>
                <c:pt idx="44">
                  <c:v>1.53525</c:v>
                </c:pt>
                <c:pt idx="45">
                  <c:v>1.74325</c:v>
                </c:pt>
                <c:pt idx="46">
                  <c:v>1.94025</c:v>
                </c:pt>
                <c:pt idx="47">
                  <c:v>2.1182500000000002</c:v>
                </c:pt>
                <c:pt idx="48">
                  <c:v>2.2672500000000002</c:v>
                </c:pt>
                <c:pt idx="49">
                  <c:v>2.3802500000000002</c:v>
                </c:pt>
                <c:pt idx="50">
                  <c:v>2.45025</c:v>
                </c:pt>
                <c:pt idx="51">
                  <c:v>2.4742500000000001</c:v>
                </c:pt>
                <c:pt idx="52">
                  <c:v>2.45025</c:v>
                </c:pt>
                <c:pt idx="53">
                  <c:v>2.3802500000000002</c:v>
                </c:pt>
                <c:pt idx="54">
                  <c:v>2.2672500000000002</c:v>
                </c:pt>
                <c:pt idx="55">
                  <c:v>2.1182500000000002</c:v>
                </c:pt>
                <c:pt idx="56">
                  <c:v>1.94025</c:v>
                </c:pt>
                <c:pt idx="57">
                  <c:v>1.74325</c:v>
                </c:pt>
                <c:pt idx="58">
                  <c:v>1.53525</c:v>
                </c:pt>
                <c:pt idx="59">
                  <c:v>1.32525</c:v>
                </c:pt>
                <c:pt idx="60">
                  <c:v>1.1212500000000001</c:v>
                </c:pt>
                <c:pt idx="61">
                  <c:v>0.93024999999999991</c:v>
                </c:pt>
                <c:pt idx="62">
                  <c:v>0.75524999999999998</c:v>
                </c:pt>
                <c:pt idx="63">
                  <c:v>0.60024999999999995</c:v>
                </c:pt>
                <c:pt idx="64">
                  <c:v>0.46625</c:v>
                </c:pt>
                <c:pt idx="65">
                  <c:v>0.35425000000000001</c:v>
                </c:pt>
                <c:pt idx="66">
                  <c:v>-0.11375000000000002</c:v>
                </c:pt>
                <c:pt idx="67">
                  <c:v>-0.22025000000000003</c:v>
                </c:pt>
                <c:pt idx="68">
                  <c:v>-0.66074999999999995</c:v>
                </c:pt>
                <c:pt idx="69">
                  <c:v>-0.70474999999999999</c:v>
                </c:pt>
                <c:pt idx="70">
                  <c:v>-2.2377500000000001</c:v>
                </c:pt>
                <c:pt idx="71">
                  <c:v>-3.01275</c:v>
                </c:pt>
                <c:pt idx="72">
                  <c:v>-3.4547499999999998</c:v>
                </c:pt>
                <c:pt idx="73">
                  <c:v>-3.0317499999999997</c:v>
                </c:pt>
                <c:pt idx="74">
                  <c:v>-1.5407499999999998</c:v>
                </c:pt>
                <c:pt idx="75">
                  <c:v>-1.5457499999999997</c:v>
                </c:pt>
                <c:pt idx="76">
                  <c:v>-0.45100000000000001</c:v>
                </c:pt>
                <c:pt idx="77">
                  <c:v>-0.42799999999999999</c:v>
                </c:pt>
                <c:pt idx="78">
                  <c:v>-0.4965</c:v>
                </c:pt>
                <c:pt idx="79">
                  <c:v>-0.4975</c:v>
                </c:pt>
                <c:pt idx="80">
                  <c:v>-0.50050000000000006</c:v>
                </c:pt>
                <c:pt idx="81">
                  <c:v>-0.50150000000000006</c:v>
                </c:pt>
                <c:pt idx="82">
                  <c:v>-0.50150000000000006</c:v>
                </c:pt>
                <c:pt idx="83">
                  <c:v>-0.50550000000000006</c:v>
                </c:pt>
                <c:pt idx="84">
                  <c:v>-1.0555000000000001</c:v>
                </c:pt>
                <c:pt idx="85">
                  <c:v>-1.0555000000000001</c:v>
                </c:pt>
                <c:pt idx="86">
                  <c:v>-1.0630000000000002</c:v>
                </c:pt>
                <c:pt idx="87">
                  <c:v>-1.4379999999999999</c:v>
                </c:pt>
                <c:pt idx="88">
                  <c:v>-1.4379999999999999</c:v>
                </c:pt>
                <c:pt idx="89">
                  <c:v>-0.8254999999999999</c:v>
                </c:pt>
                <c:pt idx="90">
                  <c:v>-0.84049999999999991</c:v>
                </c:pt>
                <c:pt idx="91">
                  <c:v>-0.81174999999999997</c:v>
                </c:pt>
                <c:pt idx="92">
                  <c:v>-5.9499999999999997E-2</c:v>
                </c:pt>
                <c:pt idx="93">
                  <c:v>-5.9499999999999997E-2</c:v>
                </c:pt>
                <c:pt idx="94">
                  <c:v>-5.0500000000000003E-2</c:v>
                </c:pt>
                <c:pt idx="95">
                  <c:v>-4.7500000000000001E-2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09-4BC1-B7B8-BABE0DCD5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109-4BC1-B7B8-BABE0DCD58F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109-4BC1-B7B8-BABE0DCD58F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109-4BC1-B7B8-BABE0DCD58F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09-4BC1-B7B8-BABE0DCD58F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109-4BC1-B7B8-BABE0DCD58F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109-4BC1-B7B8-BABE0DCD58F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109-4BC1-B7B8-BABE0DCD58F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109-4BC1-B7B8-BABE0DCD58F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109-4BC1-B7B8-BABE0DCD58F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109-4BC1-B7B8-BABE0DCD58FF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109-4BC1-B7B8-BABE0DCD58FF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109-4BC1-B7B8-BABE0DCD58F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109-4BC1-B7B8-BABE0DCD58FF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Říjen!$J$1:$J$2</c:f>
              <c:strCache>
                <c:ptCount val="2"/>
                <c:pt idx="0">
                  <c:v>Stav baterie</c:v>
                </c:pt>
                <c:pt idx="1">
                  <c:v>12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Říjen!$J$3:$J$98</c:f>
              <c:numCache>
                <c:formatCode>0.000</c:formatCode>
                <c:ptCount val="96"/>
                <c:pt idx="0">
                  <c:v>11.912027777777778</c:v>
                </c:pt>
                <c:pt idx="1">
                  <c:v>11.824055555555557</c:v>
                </c:pt>
                <c:pt idx="2">
                  <c:v>11.736083333333335</c:v>
                </c:pt>
                <c:pt idx="3">
                  <c:v>11.648111111111113</c:v>
                </c:pt>
                <c:pt idx="4">
                  <c:v>11.564305555555558</c:v>
                </c:pt>
                <c:pt idx="5">
                  <c:v>11.480500000000003</c:v>
                </c:pt>
                <c:pt idx="6">
                  <c:v>11.396694444444448</c:v>
                </c:pt>
                <c:pt idx="7">
                  <c:v>11.312888888888892</c:v>
                </c:pt>
                <c:pt idx="8">
                  <c:v>11.229083333333337</c:v>
                </c:pt>
                <c:pt idx="9">
                  <c:v>11.161944444444448</c:v>
                </c:pt>
                <c:pt idx="10">
                  <c:v>11.094805555555558</c:v>
                </c:pt>
                <c:pt idx="11">
                  <c:v>11.027666666666669</c:v>
                </c:pt>
                <c:pt idx="12">
                  <c:v>10.960527777777779</c:v>
                </c:pt>
                <c:pt idx="13">
                  <c:v>10.893388888888889</c:v>
                </c:pt>
                <c:pt idx="14">
                  <c:v>10.82625</c:v>
                </c:pt>
                <c:pt idx="15">
                  <c:v>10.75911111111111</c:v>
                </c:pt>
                <c:pt idx="16">
                  <c:v>10.691972222222221</c:v>
                </c:pt>
                <c:pt idx="17">
                  <c:v>10.624833333333331</c:v>
                </c:pt>
                <c:pt idx="18">
                  <c:v>10.557694444444442</c:v>
                </c:pt>
                <c:pt idx="19">
                  <c:v>10.490555555555552</c:v>
                </c:pt>
                <c:pt idx="20">
                  <c:v>10.423416666666663</c:v>
                </c:pt>
                <c:pt idx="21">
                  <c:v>10.356277777777773</c:v>
                </c:pt>
                <c:pt idx="22">
                  <c:v>10.290249999999995</c:v>
                </c:pt>
                <c:pt idx="23">
                  <c:v>10.224222222222217</c:v>
                </c:pt>
                <c:pt idx="24">
                  <c:v>10.150416666666661</c:v>
                </c:pt>
                <c:pt idx="25">
                  <c:v>10.078833333333328</c:v>
                </c:pt>
                <c:pt idx="26">
                  <c:v>9.5828055555555505</c:v>
                </c:pt>
                <c:pt idx="27">
                  <c:v>8.8773333333333273</c:v>
                </c:pt>
                <c:pt idx="28">
                  <c:v>6.307972222222217</c:v>
                </c:pt>
                <c:pt idx="29">
                  <c:v>3.3452777777777727</c:v>
                </c:pt>
                <c:pt idx="30">
                  <c:v>1.9817499999999999</c:v>
                </c:pt>
                <c:pt idx="31">
                  <c:v>1.9634999999999998</c:v>
                </c:pt>
                <c:pt idx="32">
                  <c:v>1.9452499999999997</c:v>
                </c:pt>
                <c:pt idx="33">
                  <c:v>2.0122499999999994</c:v>
                </c:pt>
                <c:pt idx="34">
                  <c:v>2.1109999999999998</c:v>
                </c:pt>
                <c:pt idx="35">
                  <c:v>2.259722222222222</c:v>
                </c:pt>
                <c:pt idx="36">
                  <c:v>2.482444444444444</c:v>
                </c:pt>
                <c:pt idx="37">
                  <c:v>2.798166666666666</c:v>
                </c:pt>
                <c:pt idx="38">
                  <c:v>3.2258888888888881</c:v>
                </c:pt>
                <c:pt idx="39">
                  <c:v>3.7876111111111102</c:v>
                </c:pt>
                <c:pt idx="40">
                  <c:v>4.5043333333333324</c:v>
                </c:pt>
                <c:pt idx="41">
                  <c:v>5.3960555555555549</c:v>
                </c:pt>
                <c:pt idx="42">
                  <c:v>6.4787777777777773</c:v>
                </c:pt>
                <c:pt idx="43">
                  <c:v>7.7655000000000003</c:v>
                </c:pt>
                <c:pt idx="44">
                  <c:v>9.2622222222222224</c:v>
                </c:pt>
                <c:pt idx="45">
                  <c:v>10.966944444444444</c:v>
                </c:pt>
                <c:pt idx="46">
                  <c:v>12.868666666666666</c:v>
                </c:pt>
                <c:pt idx="47">
                  <c:v>14.948388888888887</c:v>
                </c:pt>
                <c:pt idx="48">
                  <c:v>17.17711111111111</c:v>
                </c:pt>
                <c:pt idx="49">
                  <c:v>18</c:v>
                </c:pt>
                <c:pt idx="50">
                  <c:v>17.961472222222223</c:v>
                </c:pt>
                <c:pt idx="51">
                  <c:v>17.965753086419753</c:v>
                </c:pt>
                <c:pt idx="52">
                  <c:v>17.96527743484225</c:v>
                </c:pt>
                <c:pt idx="53">
                  <c:v>17.965330285017529</c:v>
                </c:pt>
                <c:pt idx="54">
                  <c:v>17.965324412775832</c:v>
                </c:pt>
                <c:pt idx="55">
                  <c:v>17.965325065247132</c:v>
                </c:pt>
                <c:pt idx="56">
                  <c:v>17.965324992750318</c:v>
                </c:pt>
                <c:pt idx="57">
                  <c:v>17.965325000805521</c:v>
                </c:pt>
                <c:pt idx="58">
                  <c:v>17.9653249999105</c:v>
                </c:pt>
                <c:pt idx="59">
                  <c:v>17.965325000009944</c:v>
                </c:pt>
                <c:pt idx="60">
                  <c:v>17.965324999998895</c:v>
                </c:pt>
                <c:pt idx="61">
                  <c:v>17.965325000000124</c:v>
                </c:pt>
                <c:pt idx="62">
                  <c:v>17.965324999999986</c:v>
                </c:pt>
                <c:pt idx="63">
                  <c:v>17.965325000000004</c:v>
                </c:pt>
                <c:pt idx="64">
                  <c:v>17.965325</c:v>
                </c:pt>
                <c:pt idx="65">
                  <c:v>17.965325</c:v>
                </c:pt>
                <c:pt idx="66">
                  <c:v>17.800408333333333</c:v>
                </c:pt>
                <c:pt idx="67">
                  <c:v>17.517158333333334</c:v>
                </c:pt>
                <c:pt idx="68">
                  <c:v>16.744463888888891</c:v>
                </c:pt>
                <c:pt idx="69">
                  <c:v>15.922880555555558</c:v>
                </c:pt>
                <c:pt idx="70">
                  <c:v>13.39796388888889</c:v>
                </c:pt>
                <c:pt idx="71">
                  <c:v>10.011936111111112</c:v>
                </c:pt>
                <c:pt idx="72">
                  <c:v>6.1347972222222236</c:v>
                </c:pt>
                <c:pt idx="73">
                  <c:v>2.7276583333333351</c:v>
                </c:pt>
                <c:pt idx="74">
                  <c:v>1.9817499999999999</c:v>
                </c:pt>
                <c:pt idx="75">
                  <c:v>1.9634999999999998</c:v>
                </c:pt>
                <c:pt idx="76">
                  <c:v>1.9452499999999997</c:v>
                </c:pt>
                <c:pt idx="77">
                  <c:v>1.9269999999999996</c:v>
                </c:pt>
                <c:pt idx="78">
                  <c:v>1.9087499999999995</c:v>
                </c:pt>
                <c:pt idx="79">
                  <c:v>1.8904999999999994</c:v>
                </c:pt>
                <c:pt idx="80">
                  <c:v>1.8722499999999993</c:v>
                </c:pt>
                <c:pt idx="81">
                  <c:v>1.8539999999999992</c:v>
                </c:pt>
                <c:pt idx="82">
                  <c:v>1.8357499999999991</c:v>
                </c:pt>
                <c:pt idx="83">
                  <c:v>1.817499999999999</c:v>
                </c:pt>
                <c:pt idx="84">
                  <c:v>1.7992499999999989</c:v>
                </c:pt>
                <c:pt idx="85">
                  <c:v>1.7809999999999988</c:v>
                </c:pt>
                <c:pt idx="86">
                  <c:v>1.7627499999999987</c:v>
                </c:pt>
                <c:pt idx="87">
                  <c:v>1.7444999999999986</c:v>
                </c:pt>
                <c:pt idx="88">
                  <c:v>1.7262499999999985</c:v>
                </c:pt>
                <c:pt idx="89">
                  <c:v>1.7079999999999984</c:v>
                </c:pt>
                <c:pt idx="90">
                  <c:v>1.6897499999999983</c:v>
                </c:pt>
                <c:pt idx="91">
                  <c:v>1.6714999999999982</c:v>
                </c:pt>
                <c:pt idx="92">
                  <c:v>1.6532499999999981</c:v>
                </c:pt>
                <c:pt idx="93">
                  <c:v>1.634999999999998</c:v>
                </c:pt>
                <c:pt idx="94">
                  <c:v>1.6167499999999979</c:v>
                </c:pt>
                <c:pt idx="95">
                  <c:v>1.5984999999999978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F5-4D43-A1FC-EF9838D8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AF5-4D43-A1FC-EF9838D8E9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F5-4D43-A1FC-EF9838D8E9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F5-4D43-A1FC-EF9838D8E9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F5-4D43-A1FC-EF9838D8E9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F5-4D43-A1FC-EF9838D8E9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F5-4D43-A1FC-EF9838D8E9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F5-4D43-A1FC-EF9838D8E9F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F5-4D43-A1FC-EF9838D8E9F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AF5-4D43-A1FC-EF9838D8E9F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F5-4D43-A1FC-EF9838D8E9F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AF5-4D43-A1FC-EF9838D8E9F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AF5-4D43-A1FC-EF9838D8E9F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AF5-4D43-A1FC-EF9838D8E9FC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Říjen!$K$1:$K$2</c:f>
              <c:strCache>
                <c:ptCount val="2"/>
                <c:pt idx="0">
                  <c:v>Soc 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Říjen!$K$3:$K$98</c:f>
              <c:numCache>
                <c:formatCode>0%</c:formatCode>
                <c:ptCount val="96"/>
                <c:pt idx="0">
                  <c:v>0.59560138888888892</c:v>
                </c:pt>
                <c:pt idx="1">
                  <c:v>0.59120277777777785</c:v>
                </c:pt>
                <c:pt idx="2">
                  <c:v>0.58680416666666679</c:v>
                </c:pt>
                <c:pt idx="3">
                  <c:v>0.58240555555555562</c:v>
                </c:pt>
                <c:pt idx="4">
                  <c:v>0.57821527777777793</c:v>
                </c:pt>
                <c:pt idx="5">
                  <c:v>0.57402500000000012</c:v>
                </c:pt>
                <c:pt idx="6">
                  <c:v>0.56983472222222242</c:v>
                </c:pt>
                <c:pt idx="7">
                  <c:v>0.56564444444444462</c:v>
                </c:pt>
                <c:pt idx="8">
                  <c:v>0.56145416666666681</c:v>
                </c:pt>
                <c:pt idx="9">
                  <c:v>0.55809722222222236</c:v>
                </c:pt>
                <c:pt idx="10">
                  <c:v>0.5547402777777779</c:v>
                </c:pt>
                <c:pt idx="11">
                  <c:v>0.55138333333333345</c:v>
                </c:pt>
                <c:pt idx="12">
                  <c:v>0.54802638888888899</c:v>
                </c:pt>
                <c:pt idx="13">
                  <c:v>0.54466944444444443</c:v>
                </c:pt>
                <c:pt idx="14">
                  <c:v>0.54131249999999997</c:v>
                </c:pt>
                <c:pt idx="15">
                  <c:v>0.53795555555555552</c:v>
                </c:pt>
                <c:pt idx="16">
                  <c:v>0.53459861111111107</c:v>
                </c:pt>
                <c:pt idx="17">
                  <c:v>0.53124166666666661</c:v>
                </c:pt>
                <c:pt idx="18">
                  <c:v>0.52788472222222205</c:v>
                </c:pt>
                <c:pt idx="19">
                  <c:v>0.52452777777777759</c:v>
                </c:pt>
                <c:pt idx="20">
                  <c:v>0.52117083333333314</c:v>
                </c:pt>
                <c:pt idx="21">
                  <c:v>0.51781388888888868</c:v>
                </c:pt>
                <c:pt idx="22">
                  <c:v>0.51451249999999971</c:v>
                </c:pt>
                <c:pt idx="23">
                  <c:v>0.51121111111111084</c:v>
                </c:pt>
                <c:pt idx="24">
                  <c:v>0.50752083333333309</c:v>
                </c:pt>
                <c:pt idx="25">
                  <c:v>0.5039416666666664</c:v>
                </c:pt>
                <c:pt idx="26">
                  <c:v>0.47914027777777751</c:v>
                </c:pt>
                <c:pt idx="27">
                  <c:v>0.44386666666666635</c:v>
                </c:pt>
                <c:pt idx="28">
                  <c:v>0.31539861111111084</c:v>
                </c:pt>
                <c:pt idx="29">
                  <c:v>0.16726388888888863</c:v>
                </c:pt>
                <c:pt idx="30">
                  <c:v>9.9087499999999995E-2</c:v>
                </c:pt>
                <c:pt idx="31">
                  <c:v>9.8174999999999985E-2</c:v>
                </c:pt>
                <c:pt idx="32">
                  <c:v>9.7262499999999988E-2</c:v>
                </c:pt>
                <c:pt idx="33">
                  <c:v>0.10061249999999997</c:v>
                </c:pt>
                <c:pt idx="34">
                  <c:v>0.10554999999999999</c:v>
                </c:pt>
                <c:pt idx="35">
                  <c:v>0.11298611111111109</c:v>
                </c:pt>
                <c:pt idx="36">
                  <c:v>0.1241222222222222</c:v>
                </c:pt>
                <c:pt idx="37">
                  <c:v>0.1399083333333333</c:v>
                </c:pt>
                <c:pt idx="38">
                  <c:v>0.16129444444444441</c:v>
                </c:pt>
                <c:pt idx="39">
                  <c:v>0.1893805555555555</c:v>
                </c:pt>
                <c:pt idx="40">
                  <c:v>0.22521666666666662</c:v>
                </c:pt>
                <c:pt idx="41">
                  <c:v>0.26980277777777772</c:v>
                </c:pt>
                <c:pt idx="42">
                  <c:v>0.32393888888888889</c:v>
                </c:pt>
                <c:pt idx="43">
                  <c:v>0.38827500000000004</c:v>
                </c:pt>
                <c:pt idx="44">
                  <c:v>0.46311111111111114</c:v>
                </c:pt>
                <c:pt idx="45">
                  <c:v>0.54834722222222221</c:v>
                </c:pt>
                <c:pt idx="46">
                  <c:v>0.6434333333333333</c:v>
                </c:pt>
                <c:pt idx="47">
                  <c:v>0.74741944444444441</c:v>
                </c:pt>
                <c:pt idx="48">
                  <c:v>0.85885555555555548</c:v>
                </c:pt>
                <c:pt idx="49">
                  <c:v>0.9</c:v>
                </c:pt>
                <c:pt idx="50">
                  <c:v>0.89807361111111117</c:v>
                </c:pt>
                <c:pt idx="51">
                  <c:v>0.89828765432098767</c:v>
                </c:pt>
                <c:pt idx="52">
                  <c:v>0.89826387174211253</c:v>
                </c:pt>
                <c:pt idx="53">
                  <c:v>0.89826651425087645</c:v>
                </c:pt>
                <c:pt idx="54">
                  <c:v>0.89826622063879158</c:v>
                </c:pt>
                <c:pt idx="55">
                  <c:v>0.89826625326235665</c:v>
                </c:pt>
                <c:pt idx="56">
                  <c:v>0.89826624963751589</c:v>
                </c:pt>
                <c:pt idx="57">
                  <c:v>0.89826625004027605</c:v>
                </c:pt>
                <c:pt idx="58">
                  <c:v>0.89826624999552496</c:v>
                </c:pt>
                <c:pt idx="59">
                  <c:v>0.8982662500004972</c:v>
                </c:pt>
                <c:pt idx="60">
                  <c:v>0.89826624999994475</c:v>
                </c:pt>
                <c:pt idx="61">
                  <c:v>0.89826625000000626</c:v>
                </c:pt>
                <c:pt idx="62">
                  <c:v>0.89826624999999927</c:v>
                </c:pt>
                <c:pt idx="63">
                  <c:v>0.89826625000000015</c:v>
                </c:pt>
                <c:pt idx="64">
                  <c:v>0.89826625000000004</c:v>
                </c:pt>
                <c:pt idx="65">
                  <c:v>0.89826625000000004</c:v>
                </c:pt>
                <c:pt idx="66">
                  <c:v>0.89002041666666665</c:v>
                </c:pt>
                <c:pt idx="67">
                  <c:v>0.87585791666666668</c:v>
                </c:pt>
                <c:pt idx="68">
                  <c:v>0.8372231944444446</c:v>
                </c:pt>
                <c:pt idx="69">
                  <c:v>0.79614402777777793</c:v>
                </c:pt>
                <c:pt idx="70">
                  <c:v>0.66989819444444454</c:v>
                </c:pt>
                <c:pt idx="71">
                  <c:v>0.50059680555555564</c:v>
                </c:pt>
                <c:pt idx="72">
                  <c:v>0.30673986111111118</c:v>
                </c:pt>
                <c:pt idx="73">
                  <c:v>0.13638291666666674</c:v>
                </c:pt>
                <c:pt idx="74">
                  <c:v>9.9087499999999995E-2</c:v>
                </c:pt>
                <c:pt idx="75">
                  <c:v>9.8174999999999985E-2</c:v>
                </c:pt>
                <c:pt idx="76">
                  <c:v>9.7262499999999988E-2</c:v>
                </c:pt>
                <c:pt idx="77">
                  <c:v>9.6349999999999977E-2</c:v>
                </c:pt>
                <c:pt idx="78">
                  <c:v>9.5437499999999981E-2</c:v>
                </c:pt>
                <c:pt idx="79">
                  <c:v>9.452499999999997E-2</c:v>
                </c:pt>
                <c:pt idx="80">
                  <c:v>9.361249999999996E-2</c:v>
                </c:pt>
                <c:pt idx="81">
                  <c:v>9.2699999999999963E-2</c:v>
                </c:pt>
                <c:pt idx="82">
                  <c:v>9.1787499999999952E-2</c:v>
                </c:pt>
                <c:pt idx="83">
                  <c:v>9.0874999999999956E-2</c:v>
                </c:pt>
                <c:pt idx="84">
                  <c:v>8.9962499999999945E-2</c:v>
                </c:pt>
                <c:pt idx="85">
                  <c:v>8.9049999999999935E-2</c:v>
                </c:pt>
                <c:pt idx="86">
                  <c:v>8.8137499999999938E-2</c:v>
                </c:pt>
                <c:pt idx="87">
                  <c:v>8.7224999999999928E-2</c:v>
                </c:pt>
                <c:pt idx="88">
                  <c:v>8.6312499999999931E-2</c:v>
                </c:pt>
                <c:pt idx="89">
                  <c:v>8.539999999999992E-2</c:v>
                </c:pt>
                <c:pt idx="90">
                  <c:v>8.448749999999991E-2</c:v>
                </c:pt>
                <c:pt idx="91">
                  <c:v>8.3574999999999913E-2</c:v>
                </c:pt>
                <c:pt idx="92">
                  <c:v>8.2662499999999903E-2</c:v>
                </c:pt>
                <c:pt idx="93">
                  <c:v>8.1749999999999906E-2</c:v>
                </c:pt>
                <c:pt idx="94">
                  <c:v>8.0837499999999896E-2</c:v>
                </c:pt>
                <c:pt idx="95">
                  <c:v>7.9924999999999885E-2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C6-4E2B-9D4A-70670B2E6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AC6-4E2B-9D4A-70670B2E69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C6-4E2B-9D4A-70670B2E69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6-4E2B-9D4A-70670B2E69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6-4E2B-9D4A-70670B2E69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6-4E2B-9D4A-70670B2E69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6-4E2B-9D4A-70670B2E69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6-4E2B-9D4A-70670B2E697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6-4E2B-9D4A-70670B2E697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AC6-4E2B-9D4A-70670B2E697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C6-4E2B-9D4A-70670B2E697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AC6-4E2B-9D4A-70670B2E697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AC6-4E2B-9D4A-70670B2E697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AC6-4E2B-9D4A-70670B2E6974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Říjen!$L$1:$L$2</c:f>
              <c:strCache>
                <c:ptCount val="2"/>
                <c:pt idx="0">
                  <c:v>Nabíjení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Říjen!$L$3:$L$98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7.6725000000000002E-2</c:v>
                </c:pt>
                <c:pt idx="34">
                  <c:v>0.11632500000000001</c:v>
                </c:pt>
                <c:pt idx="35">
                  <c:v>0.16852500000000001</c:v>
                </c:pt>
                <c:pt idx="36">
                  <c:v>0.235125</c:v>
                </c:pt>
                <c:pt idx="37">
                  <c:v>0.31882500000000003</c:v>
                </c:pt>
                <c:pt idx="38">
                  <c:v>0.41962500000000003</c:v>
                </c:pt>
                <c:pt idx="39">
                  <c:v>0.54022499999999996</c:v>
                </c:pt>
                <c:pt idx="40">
                  <c:v>0.67972500000000002</c:v>
                </c:pt>
                <c:pt idx="41">
                  <c:v>0.83722499999999989</c:v>
                </c:pt>
                <c:pt idx="42">
                  <c:v>1.009125</c:v>
                </c:pt>
                <c:pt idx="43">
                  <c:v>1.192725</c:v>
                </c:pt>
                <c:pt idx="44">
                  <c:v>1.3817250000000001</c:v>
                </c:pt>
                <c:pt idx="45">
                  <c:v>1.5689249999999999</c:v>
                </c:pt>
                <c:pt idx="46">
                  <c:v>1.7462250000000001</c:v>
                </c:pt>
                <c:pt idx="47">
                  <c:v>1.9064250000000003</c:v>
                </c:pt>
                <c:pt idx="48">
                  <c:v>2.0405250000000001</c:v>
                </c:pt>
                <c:pt idx="49">
                  <c:v>0.82288888888889034</c:v>
                </c:pt>
                <c:pt idx="50">
                  <c:v>0</c:v>
                </c:pt>
                <c:pt idx="51">
                  <c:v>3.8527777777776606E-2</c:v>
                </c:pt>
                <c:pt idx="52">
                  <c:v>3.4246913580247451E-2</c:v>
                </c:pt>
                <c:pt idx="53">
                  <c:v>3.4722565157750296E-2</c:v>
                </c:pt>
                <c:pt idx="54">
                  <c:v>3.4669714982470623E-2</c:v>
                </c:pt>
                <c:pt idx="55">
                  <c:v>3.467558722416797E-2</c:v>
                </c:pt>
                <c:pt idx="56">
                  <c:v>3.467493475286787E-2</c:v>
                </c:pt>
                <c:pt idx="57">
                  <c:v>3.4675007249681755E-2</c:v>
                </c:pt>
                <c:pt idx="58">
                  <c:v>3.4674999194479028E-2</c:v>
                </c:pt>
                <c:pt idx="59">
                  <c:v>3.4675000089499974E-2</c:v>
                </c:pt>
                <c:pt idx="60">
                  <c:v>3.4674999990055966E-2</c:v>
                </c:pt>
                <c:pt idx="61">
                  <c:v>3.4675000001104905E-2</c:v>
                </c:pt>
                <c:pt idx="62">
                  <c:v>3.4674999999875666E-2</c:v>
                </c:pt>
                <c:pt idx="63">
                  <c:v>3.4675000000014222E-2</c:v>
                </c:pt>
                <c:pt idx="64">
                  <c:v>3.4674999999996459E-2</c:v>
                </c:pt>
                <c:pt idx="65">
                  <c:v>3.4675000000000011E-2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45-4531-9E21-E7D6BDE1A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645-4531-9E21-E7D6BDE1A50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645-4531-9E21-E7D6BDE1A50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645-4531-9E21-E7D6BDE1A5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45-4531-9E21-E7D6BDE1A50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45-4531-9E21-E7D6BDE1A5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45-4531-9E21-E7D6BDE1A50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645-4531-9E21-E7D6BDE1A50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645-4531-9E21-E7D6BDE1A50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645-4531-9E21-E7D6BDE1A50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645-4531-9E21-E7D6BDE1A50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645-4531-9E21-E7D6BDE1A50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645-4531-9E21-E7D6BDE1A50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645-4531-9E21-E7D6BDE1A500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0"/>
          <c:order val="10"/>
          <c:tx>
            <c:strRef>
              <c:f>Říjen!$M$1:$M$2</c:f>
              <c:strCache>
                <c:ptCount val="2"/>
                <c:pt idx="0">
                  <c:v>Nabíjení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Říjen!$M$3:$M$98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8.5250000000000006E-2</c:v>
                </c:pt>
                <c:pt idx="34">
                  <c:v>0.12925</c:v>
                </c:pt>
                <c:pt idx="35">
                  <c:v>0.18725</c:v>
                </c:pt>
                <c:pt idx="36">
                  <c:v>0.26124999999999998</c:v>
                </c:pt>
                <c:pt idx="37">
                  <c:v>0.35425000000000001</c:v>
                </c:pt>
                <c:pt idx="38">
                  <c:v>0.46625</c:v>
                </c:pt>
                <c:pt idx="39">
                  <c:v>0.60024999999999995</c:v>
                </c:pt>
                <c:pt idx="40">
                  <c:v>0.75524999999999998</c:v>
                </c:pt>
                <c:pt idx="41">
                  <c:v>0.93024999999999991</c:v>
                </c:pt>
                <c:pt idx="42">
                  <c:v>1.1212500000000001</c:v>
                </c:pt>
                <c:pt idx="43">
                  <c:v>1.32525</c:v>
                </c:pt>
                <c:pt idx="44">
                  <c:v>1.53525</c:v>
                </c:pt>
                <c:pt idx="45">
                  <c:v>1.74325</c:v>
                </c:pt>
                <c:pt idx="46">
                  <c:v>1.94025</c:v>
                </c:pt>
                <c:pt idx="47">
                  <c:v>2.1182500000000002</c:v>
                </c:pt>
                <c:pt idx="48">
                  <c:v>2.2672500000000002</c:v>
                </c:pt>
                <c:pt idx="49">
                  <c:v>0.91432098765432257</c:v>
                </c:pt>
                <c:pt idx="50">
                  <c:v>0</c:v>
                </c:pt>
                <c:pt idx="51">
                  <c:v>4.2808641975307336E-2</c:v>
                </c:pt>
                <c:pt idx="52">
                  <c:v>3.8052126200274948E-2</c:v>
                </c:pt>
                <c:pt idx="53">
                  <c:v>3.8580627953055883E-2</c:v>
                </c:pt>
                <c:pt idx="54">
                  <c:v>3.8521905536078468E-2</c:v>
                </c:pt>
                <c:pt idx="55">
                  <c:v>3.852843024907552E-2</c:v>
                </c:pt>
                <c:pt idx="56">
                  <c:v>3.8527705280964296E-2</c:v>
                </c:pt>
                <c:pt idx="57">
                  <c:v>3.8527785832979729E-2</c:v>
                </c:pt>
                <c:pt idx="58">
                  <c:v>3.8527776882754473E-2</c:v>
                </c:pt>
                <c:pt idx="59">
                  <c:v>3.852777787722219E-2</c:v>
                </c:pt>
                <c:pt idx="60">
                  <c:v>3.8527777766728853E-2</c:v>
                </c:pt>
                <c:pt idx="61">
                  <c:v>3.852777777900545E-2</c:v>
                </c:pt>
                <c:pt idx="62">
                  <c:v>3.8527777777639625E-2</c:v>
                </c:pt>
                <c:pt idx="63">
                  <c:v>3.8527777777793579E-2</c:v>
                </c:pt>
                <c:pt idx="64">
                  <c:v>3.8527777777773844E-2</c:v>
                </c:pt>
                <c:pt idx="65">
                  <c:v>3.8527777777777793E-2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51-44FE-9A95-5348D2749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751-44FE-9A95-5348D27496E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751-44FE-9A95-5348D27496E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751-44FE-9A95-5348D27496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751-44FE-9A95-5348D27496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751-44FE-9A95-5348D27496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751-44FE-9A95-5348D27496E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751-44FE-9A95-5348D27496E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751-44FE-9A95-5348D27496E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751-44FE-9A95-5348D27496E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751-44FE-9A95-5348D27496E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751-44FE-9A95-5348D27496E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751-44FE-9A95-5348D27496E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751-44FE-9A95-5348D27496EE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1"/>
          <c:order val="11"/>
          <c:tx>
            <c:strRef>
              <c:f>Říjen!$N$1:$N$2</c:f>
              <c:strCache>
                <c:ptCount val="2"/>
                <c:pt idx="0">
                  <c:v>Vybíjení (Netto)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Říjen!$N$3:$N$98</c:f>
              <c:numCache>
                <c:formatCode>0.000</c:formatCode>
                <c:ptCount val="96"/>
                <c:pt idx="0">
                  <c:v>6.275E-2</c:v>
                </c:pt>
                <c:pt idx="1">
                  <c:v>6.275E-2</c:v>
                </c:pt>
                <c:pt idx="2">
                  <c:v>6.275E-2</c:v>
                </c:pt>
                <c:pt idx="3">
                  <c:v>6.275E-2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5.8999999999999997E-2</c:v>
                </c:pt>
                <c:pt idx="8">
                  <c:v>5.8999999999999997E-2</c:v>
                </c:pt>
                <c:pt idx="9">
                  <c:v>4.3999999999999997E-2</c:v>
                </c:pt>
                <c:pt idx="10">
                  <c:v>4.3999999999999997E-2</c:v>
                </c:pt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4.3999999999999997E-2</c:v>
                </c:pt>
                <c:pt idx="17">
                  <c:v>4.3999999999999997E-2</c:v>
                </c:pt>
                <c:pt idx="18">
                  <c:v>4.3999999999999997E-2</c:v>
                </c:pt>
                <c:pt idx="19">
                  <c:v>4.3999999999999997E-2</c:v>
                </c:pt>
                <c:pt idx="20">
                  <c:v>4.3999999999999997E-2</c:v>
                </c:pt>
                <c:pt idx="21">
                  <c:v>4.3999999999999997E-2</c:v>
                </c:pt>
                <c:pt idx="22">
                  <c:v>4.2999999999999997E-2</c:v>
                </c:pt>
                <c:pt idx="23">
                  <c:v>4.2999999999999997E-2</c:v>
                </c:pt>
                <c:pt idx="24">
                  <c:v>0.05</c:v>
                </c:pt>
                <c:pt idx="25">
                  <c:v>4.8000000000000001E-2</c:v>
                </c:pt>
                <c:pt idx="26">
                  <c:v>0.43</c:v>
                </c:pt>
                <c:pt idx="27">
                  <c:v>0.61850000000000005</c:v>
                </c:pt>
                <c:pt idx="28">
                  <c:v>2.2959999999999998</c:v>
                </c:pt>
                <c:pt idx="29">
                  <c:v>2.65</c:v>
                </c:pt>
                <c:pt idx="30">
                  <c:v>2.3129999999999997</c:v>
                </c:pt>
                <c:pt idx="31">
                  <c:v>0.36599999999999999</c:v>
                </c:pt>
                <c:pt idx="32">
                  <c:v>0.34099999999999997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0.13200000000000001</c:v>
                </c:pt>
                <c:pt idx="67">
                  <c:v>0.23850000000000002</c:v>
                </c:pt>
                <c:pt idx="68">
                  <c:v>0.67899999999999994</c:v>
                </c:pt>
                <c:pt idx="69">
                  <c:v>0.72299999999999998</c:v>
                </c:pt>
                <c:pt idx="70">
                  <c:v>2.2560000000000002</c:v>
                </c:pt>
                <c:pt idx="71">
                  <c:v>3.0310000000000001</c:v>
                </c:pt>
                <c:pt idx="72">
                  <c:v>3.4729999999999999</c:v>
                </c:pt>
                <c:pt idx="73">
                  <c:v>3.05</c:v>
                </c:pt>
                <c:pt idx="74">
                  <c:v>1.5589999999999999</c:v>
                </c:pt>
                <c:pt idx="75">
                  <c:v>0.9817499999999999</c:v>
                </c:pt>
                <c:pt idx="76">
                  <c:v>0.46925</c:v>
                </c:pt>
                <c:pt idx="77">
                  <c:v>0.44624999999999998</c:v>
                </c:pt>
                <c:pt idx="78">
                  <c:v>0.51475000000000004</c:v>
                </c:pt>
                <c:pt idx="79">
                  <c:v>0.51575000000000004</c:v>
                </c:pt>
                <c:pt idx="80">
                  <c:v>0.51875000000000004</c:v>
                </c:pt>
                <c:pt idx="81">
                  <c:v>0.51975000000000005</c:v>
                </c:pt>
                <c:pt idx="82">
                  <c:v>0.51975000000000005</c:v>
                </c:pt>
                <c:pt idx="83">
                  <c:v>0.52375000000000005</c:v>
                </c:pt>
                <c:pt idx="84">
                  <c:v>0.81749999999999901</c:v>
                </c:pt>
                <c:pt idx="85">
                  <c:v>0.79924999999999891</c:v>
                </c:pt>
                <c:pt idx="86">
                  <c:v>0.78099999999999881</c:v>
                </c:pt>
                <c:pt idx="87">
                  <c:v>0.76274999999999871</c:v>
                </c:pt>
                <c:pt idx="88">
                  <c:v>0.74449999999999861</c:v>
                </c:pt>
                <c:pt idx="89">
                  <c:v>0.72624999999999851</c:v>
                </c:pt>
                <c:pt idx="90">
                  <c:v>0.70799999999999841</c:v>
                </c:pt>
                <c:pt idx="91">
                  <c:v>0.68974999999999831</c:v>
                </c:pt>
                <c:pt idx="92">
                  <c:v>7.775E-2</c:v>
                </c:pt>
                <c:pt idx="93">
                  <c:v>7.775E-2</c:v>
                </c:pt>
                <c:pt idx="94">
                  <c:v>6.8750000000000006E-2</c:v>
                </c:pt>
                <c:pt idx="95">
                  <c:v>6.5750000000000003E-2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5D9-4D4F-9181-CB055330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5D9-4D4F-9181-CB05533056A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5D9-4D4F-9181-CB05533056A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5D9-4D4F-9181-CB05533056A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5D9-4D4F-9181-CB05533056A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5D9-4D4F-9181-CB05533056A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5D9-4D4F-9181-CB05533056A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5D9-4D4F-9181-CB05533056A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5D9-4D4F-9181-CB05533056A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D9-4D4F-9181-CB05533056A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5D9-4D4F-9181-CB05533056A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5D9-4D4F-9181-CB05533056A3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5D9-4D4F-9181-CB05533056A3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5D9-4D4F-9181-CB05533056A3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2"/>
          <c:order val="12"/>
          <c:tx>
            <c:strRef>
              <c:f>Říjen!$O$1:$O$2</c:f>
              <c:strCache>
                <c:ptCount val="2"/>
                <c:pt idx="0">
                  <c:v>Vybíjení (Brutto)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Říjen!$O$3:$O$98</c:f>
              <c:numCache>
                <c:formatCode>0.000</c:formatCode>
                <c:ptCount val="96"/>
                <c:pt idx="0">
                  <c:v>6.9722222222222227E-2</c:v>
                </c:pt>
                <c:pt idx="1">
                  <c:v>6.9722222222222227E-2</c:v>
                </c:pt>
                <c:pt idx="2">
                  <c:v>6.9722222222222227E-2</c:v>
                </c:pt>
                <c:pt idx="3">
                  <c:v>6.9722222222222227E-2</c:v>
                </c:pt>
                <c:pt idx="4">
                  <c:v>6.5555555555555547E-2</c:v>
                </c:pt>
                <c:pt idx="5">
                  <c:v>6.5555555555555547E-2</c:v>
                </c:pt>
                <c:pt idx="6">
                  <c:v>6.5555555555555547E-2</c:v>
                </c:pt>
                <c:pt idx="7">
                  <c:v>6.5555555555555547E-2</c:v>
                </c:pt>
                <c:pt idx="8">
                  <c:v>6.5555555555555547E-2</c:v>
                </c:pt>
                <c:pt idx="9">
                  <c:v>4.8888888888888885E-2</c:v>
                </c:pt>
                <c:pt idx="10">
                  <c:v>4.8888888888888885E-2</c:v>
                </c:pt>
                <c:pt idx="11">
                  <c:v>4.8888888888888885E-2</c:v>
                </c:pt>
                <c:pt idx="12">
                  <c:v>4.8888888888888885E-2</c:v>
                </c:pt>
                <c:pt idx="13">
                  <c:v>4.8888888888888885E-2</c:v>
                </c:pt>
                <c:pt idx="14">
                  <c:v>4.8888888888888885E-2</c:v>
                </c:pt>
                <c:pt idx="15">
                  <c:v>4.8888888888888885E-2</c:v>
                </c:pt>
                <c:pt idx="16">
                  <c:v>4.8888888888888885E-2</c:v>
                </c:pt>
                <c:pt idx="17">
                  <c:v>4.8888888888888885E-2</c:v>
                </c:pt>
                <c:pt idx="18">
                  <c:v>4.8888888888888885E-2</c:v>
                </c:pt>
                <c:pt idx="19">
                  <c:v>4.8888888888888885E-2</c:v>
                </c:pt>
                <c:pt idx="20">
                  <c:v>4.8888888888888885E-2</c:v>
                </c:pt>
                <c:pt idx="21">
                  <c:v>4.8888888888888885E-2</c:v>
                </c:pt>
                <c:pt idx="22">
                  <c:v>4.7777777777777773E-2</c:v>
                </c:pt>
                <c:pt idx="23">
                  <c:v>4.7777777777777773E-2</c:v>
                </c:pt>
                <c:pt idx="24">
                  <c:v>5.5555555555555559E-2</c:v>
                </c:pt>
                <c:pt idx="25">
                  <c:v>5.333333333333333E-2</c:v>
                </c:pt>
                <c:pt idx="26">
                  <c:v>0.47777777777777775</c:v>
                </c:pt>
                <c:pt idx="27">
                  <c:v>0.68722222222222229</c:v>
                </c:pt>
                <c:pt idx="28">
                  <c:v>2.5511111111111107</c:v>
                </c:pt>
                <c:pt idx="29">
                  <c:v>2.9444444444444442</c:v>
                </c:pt>
                <c:pt idx="30">
                  <c:v>2.57</c:v>
                </c:pt>
                <c:pt idx="31">
                  <c:v>0.40666666666666662</c:v>
                </c:pt>
                <c:pt idx="32">
                  <c:v>0.37888888888888883</c:v>
                </c:pt>
                <c:pt idx="33">
                  <c:v>2.0277777777777777E-2</c:v>
                </c:pt>
                <c:pt idx="34">
                  <c:v>2.0277777777777777E-2</c:v>
                </c:pt>
                <c:pt idx="35">
                  <c:v>2.0277777777777777E-2</c:v>
                </c:pt>
                <c:pt idx="36">
                  <c:v>2.0277777777777777E-2</c:v>
                </c:pt>
                <c:pt idx="37">
                  <c:v>2.0277777777777777E-2</c:v>
                </c:pt>
                <c:pt idx="38">
                  <c:v>2.0277777777777777E-2</c:v>
                </c:pt>
                <c:pt idx="39">
                  <c:v>2.0277777777777777E-2</c:v>
                </c:pt>
                <c:pt idx="40">
                  <c:v>2.0277777777777777E-2</c:v>
                </c:pt>
                <c:pt idx="41">
                  <c:v>2.0277777777777777E-2</c:v>
                </c:pt>
                <c:pt idx="42">
                  <c:v>2.0277777777777777E-2</c:v>
                </c:pt>
                <c:pt idx="43">
                  <c:v>2.0277777777777777E-2</c:v>
                </c:pt>
                <c:pt idx="44">
                  <c:v>2.0277777777777777E-2</c:v>
                </c:pt>
                <c:pt idx="45">
                  <c:v>2.0277777777777777E-2</c:v>
                </c:pt>
                <c:pt idx="46">
                  <c:v>2.0277777777777777E-2</c:v>
                </c:pt>
                <c:pt idx="47">
                  <c:v>2.0277777777777777E-2</c:v>
                </c:pt>
                <c:pt idx="48">
                  <c:v>2.0277777777777777E-2</c:v>
                </c:pt>
                <c:pt idx="49">
                  <c:v>2.0277777777777777E-2</c:v>
                </c:pt>
                <c:pt idx="50">
                  <c:v>2.0277777777777777E-2</c:v>
                </c:pt>
                <c:pt idx="51">
                  <c:v>2.0277777777777777E-2</c:v>
                </c:pt>
                <c:pt idx="52">
                  <c:v>2.0277777777777777E-2</c:v>
                </c:pt>
                <c:pt idx="53">
                  <c:v>2.0277777777777777E-2</c:v>
                </c:pt>
                <c:pt idx="54">
                  <c:v>2.0277777777777777E-2</c:v>
                </c:pt>
                <c:pt idx="55">
                  <c:v>2.0277777777777777E-2</c:v>
                </c:pt>
                <c:pt idx="56">
                  <c:v>2.0277777777777777E-2</c:v>
                </c:pt>
                <c:pt idx="57">
                  <c:v>2.0277777777777777E-2</c:v>
                </c:pt>
                <c:pt idx="58">
                  <c:v>2.0277777777777777E-2</c:v>
                </c:pt>
                <c:pt idx="59">
                  <c:v>2.0277777777777777E-2</c:v>
                </c:pt>
                <c:pt idx="60">
                  <c:v>2.0277777777777777E-2</c:v>
                </c:pt>
                <c:pt idx="61">
                  <c:v>2.0277777777777777E-2</c:v>
                </c:pt>
                <c:pt idx="62">
                  <c:v>2.0277777777777777E-2</c:v>
                </c:pt>
                <c:pt idx="63">
                  <c:v>2.0277777777777777E-2</c:v>
                </c:pt>
                <c:pt idx="64">
                  <c:v>2.0277777777777777E-2</c:v>
                </c:pt>
                <c:pt idx="65">
                  <c:v>2.0277777777777777E-2</c:v>
                </c:pt>
                <c:pt idx="66">
                  <c:v>0.14666666666666667</c:v>
                </c:pt>
                <c:pt idx="67">
                  <c:v>0.26500000000000001</c:v>
                </c:pt>
                <c:pt idx="68">
                  <c:v>0.75444444444444436</c:v>
                </c:pt>
                <c:pt idx="69">
                  <c:v>0.80333333333333323</c:v>
                </c:pt>
                <c:pt idx="70">
                  <c:v>2.5066666666666668</c:v>
                </c:pt>
                <c:pt idx="71">
                  <c:v>3.367777777777778</c:v>
                </c:pt>
                <c:pt idx="72">
                  <c:v>3.8588888888888886</c:v>
                </c:pt>
                <c:pt idx="73">
                  <c:v>3.3888888888888884</c:v>
                </c:pt>
                <c:pt idx="74">
                  <c:v>1.7322222222222221</c:v>
                </c:pt>
                <c:pt idx="75">
                  <c:v>1.0908333333333331</c:v>
                </c:pt>
                <c:pt idx="76">
                  <c:v>0.5213888888888889</c:v>
                </c:pt>
                <c:pt idx="77">
                  <c:v>0.49583333333333329</c:v>
                </c:pt>
                <c:pt idx="78">
                  <c:v>0.57194444444444448</c:v>
                </c:pt>
                <c:pt idx="79">
                  <c:v>0.57305555555555554</c:v>
                </c:pt>
                <c:pt idx="80">
                  <c:v>0.57638888888888895</c:v>
                </c:pt>
                <c:pt idx="81">
                  <c:v>0.57750000000000001</c:v>
                </c:pt>
                <c:pt idx="82">
                  <c:v>0.57750000000000001</c:v>
                </c:pt>
                <c:pt idx="83">
                  <c:v>0.58194444444444449</c:v>
                </c:pt>
                <c:pt idx="84">
                  <c:v>0.90833333333333222</c:v>
                </c:pt>
                <c:pt idx="85">
                  <c:v>0.88805555555555427</c:v>
                </c:pt>
                <c:pt idx="86">
                  <c:v>0.86777777777777643</c:v>
                </c:pt>
                <c:pt idx="87">
                  <c:v>0.84749999999999859</c:v>
                </c:pt>
                <c:pt idx="88">
                  <c:v>0.82722222222222064</c:v>
                </c:pt>
                <c:pt idx="89">
                  <c:v>0.8069444444444428</c:v>
                </c:pt>
                <c:pt idx="90">
                  <c:v>0.78666666666666485</c:v>
                </c:pt>
                <c:pt idx="91">
                  <c:v>0.76638888888888701</c:v>
                </c:pt>
                <c:pt idx="92">
                  <c:v>8.638888888888889E-2</c:v>
                </c:pt>
                <c:pt idx="93">
                  <c:v>8.638888888888889E-2</c:v>
                </c:pt>
                <c:pt idx="94">
                  <c:v>7.6388888888888895E-2</c:v>
                </c:pt>
                <c:pt idx="95">
                  <c:v>7.3055555555555554E-2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5F-44FE-8AAD-6C96BDF2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F-44FE-8AAD-6C96BDF2BEE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85F-44FE-8AAD-6C96BDF2BEE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5F-44FE-8AAD-6C96BDF2BEE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5F-44FE-8AAD-6C96BDF2BEE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5F-44FE-8AAD-6C96BDF2BEE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5F-44FE-8AAD-6C96BDF2BEE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85F-44FE-8AAD-6C96BDF2BEE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85F-44FE-8AAD-6C96BDF2BEE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85F-44FE-8AAD-6C96BDF2BEE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85F-44FE-8AAD-6C96BDF2BEE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85F-44FE-8AAD-6C96BDF2BEE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85F-44FE-8AAD-6C96BDF2BEE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Říjen!$P$1:$P$2</c15:sqref>
                        </c15:formulaRef>
                      </c:ext>
                    </c:extLst>
                    <c:strCache>
                      <c:ptCount val="2"/>
                      <c:pt idx="0">
                        <c:v>Vlastní 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Říjen!$P$3:$P$98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1.8249999999999999E-2</c:v>
                      </c:pt>
                      <c:pt idx="1">
                        <c:v>1.8249999999999999E-2</c:v>
                      </c:pt>
                      <c:pt idx="2">
                        <c:v>1.8249999999999999E-2</c:v>
                      </c:pt>
                      <c:pt idx="3">
                        <c:v>1.8249999999999999E-2</c:v>
                      </c:pt>
                      <c:pt idx="4">
                        <c:v>1.8249999999999999E-2</c:v>
                      </c:pt>
                      <c:pt idx="5">
                        <c:v>1.8249999999999999E-2</c:v>
                      </c:pt>
                      <c:pt idx="6">
                        <c:v>1.8249999999999999E-2</c:v>
                      </c:pt>
                      <c:pt idx="7">
                        <c:v>1.8249999999999999E-2</c:v>
                      </c:pt>
                      <c:pt idx="8">
                        <c:v>1.8249999999999999E-2</c:v>
                      </c:pt>
                      <c:pt idx="9">
                        <c:v>1.8249999999999999E-2</c:v>
                      </c:pt>
                      <c:pt idx="10">
                        <c:v>1.8249999999999999E-2</c:v>
                      </c:pt>
                      <c:pt idx="11">
                        <c:v>1.8249999999999999E-2</c:v>
                      </c:pt>
                      <c:pt idx="12">
                        <c:v>1.8249999999999999E-2</c:v>
                      </c:pt>
                      <c:pt idx="13">
                        <c:v>1.8249999999999999E-2</c:v>
                      </c:pt>
                      <c:pt idx="14">
                        <c:v>1.8249999999999999E-2</c:v>
                      </c:pt>
                      <c:pt idx="15">
                        <c:v>1.8249999999999999E-2</c:v>
                      </c:pt>
                      <c:pt idx="16">
                        <c:v>1.8249999999999999E-2</c:v>
                      </c:pt>
                      <c:pt idx="17">
                        <c:v>1.8249999999999999E-2</c:v>
                      </c:pt>
                      <c:pt idx="18">
                        <c:v>1.8249999999999999E-2</c:v>
                      </c:pt>
                      <c:pt idx="19">
                        <c:v>1.8249999999999999E-2</c:v>
                      </c:pt>
                      <c:pt idx="20">
                        <c:v>1.8249999999999999E-2</c:v>
                      </c:pt>
                      <c:pt idx="21">
                        <c:v>1.8249999999999999E-2</c:v>
                      </c:pt>
                      <c:pt idx="22">
                        <c:v>1.8249999999999999E-2</c:v>
                      </c:pt>
                      <c:pt idx="23">
                        <c:v>1.8249999999999999E-2</c:v>
                      </c:pt>
                      <c:pt idx="24">
                        <c:v>1.8249999999999999E-2</c:v>
                      </c:pt>
                      <c:pt idx="25">
                        <c:v>1.8249999999999999E-2</c:v>
                      </c:pt>
                      <c:pt idx="26">
                        <c:v>1.8249999999999999E-2</c:v>
                      </c:pt>
                      <c:pt idx="27">
                        <c:v>1.8249999999999999E-2</c:v>
                      </c:pt>
                      <c:pt idx="28">
                        <c:v>1.8249999999999999E-2</c:v>
                      </c:pt>
                      <c:pt idx="29">
                        <c:v>1.8249999999999999E-2</c:v>
                      </c:pt>
                      <c:pt idx="30">
                        <c:v>1.8249999999999999E-2</c:v>
                      </c:pt>
                      <c:pt idx="31">
                        <c:v>1.8249999999999999E-2</c:v>
                      </c:pt>
                      <c:pt idx="32">
                        <c:v>1.8249999999999999E-2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1.8249999999999999E-2</c:v>
                      </c:pt>
                      <c:pt idx="67">
                        <c:v>1.8249999999999999E-2</c:v>
                      </c:pt>
                      <c:pt idx="68">
                        <c:v>1.8249999999999999E-2</c:v>
                      </c:pt>
                      <c:pt idx="69">
                        <c:v>1.8249999999999999E-2</c:v>
                      </c:pt>
                      <c:pt idx="70">
                        <c:v>1.8249999999999999E-2</c:v>
                      </c:pt>
                      <c:pt idx="71">
                        <c:v>1.8249999999999999E-2</c:v>
                      </c:pt>
                      <c:pt idx="72">
                        <c:v>1.8249999999999999E-2</c:v>
                      </c:pt>
                      <c:pt idx="73">
                        <c:v>1.8249999999999999E-2</c:v>
                      </c:pt>
                      <c:pt idx="74">
                        <c:v>1.8249999999999999E-2</c:v>
                      </c:pt>
                      <c:pt idx="75">
                        <c:v>1.8249999999999999E-2</c:v>
                      </c:pt>
                      <c:pt idx="76">
                        <c:v>1.8249999999999999E-2</c:v>
                      </c:pt>
                      <c:pt idx="77">
                        <c:v>1.8249999999999999E-2</c:v>
                      </c:pt>
                      <c:pt idx="78">
                        <c:v>1.8249999999999999E-2</c:v>
                      </c:pt>
                      <c:pt idx="79">
                        <c:v>1.8249999999999999E-2</c:v>
                      </c:pt>
                      <c:pt idx="80">
                        <c:v>1.8249999999999999E-2</c:v>
                      </c:pt>
                      <c:pt idx="81">
                        <c:v>1.8249999999999999E-2</c:v>
                      </c:pt>
                      <c:pt idx="82">
                        <c:v>1.8249999999999999E-2</c:v>
                      </c:pt>
                      <c:pt idx="83">
                        <c:v>1.8249999999999999E-2</c:v>
                      </c:pt>
                      <c:pt idx="84">
                        <c:v>1.8249999999999999E-2</c:v>
                      </c:pt>
                      <c:pt idx="85">
                        <c:v>1.8249999999999999E-2</c:v>
                      </c:pt>
                      <c:pt idx="86">
                        <c:v>1.8249999999999999E-2</c:v>
                      </c:pt>
                      <c:pt idx="87">
                        <c:v>1.8249999999999999E-2</c:v>
                      </c:pt>
                      <c:pt idx="88">
                        <c:v>1.8249999999999999E-2</c:v>
                      </c:pt>
                      <c:pt idx="89">
                        <c:v>1.8249999999999999E-2</c:v>
                      </c:pt>
                      <c:pt idx="90">
                        <c:v>1.8249999999999999E-2</c:v>
                      </c:pt>
                      <c:pt idx="91">
                        <c:v>1.8249999999999999E-2</c:v>
                      </c:pt>
                      <c:pt idx="92">
                        <c:v>1.8249999999999999E-2</c:v>
                      </c:pt>
                      <c:pt idx="93">
                        <c:v>1.8249999999999999E-2</c:v>
                      </c:pt>
                      <c:pt idx="94">
                        <c:v>1.8249999999999999E-2</c:v>
                      </c:pt>
                      <c:pt idx="95">
                        <c:v>1.8249999999999999E-2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85F-44FE-8AAD-6C96BDF2BEEC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3"/>
          <c:order val="13"/>
          <c:tx>
            <c:strRef>
              <c:f>Říjen!$P$1:$P$2</c:f>
              <c:strCache>
                <c:ptCount val="2"/>
                <c:pt idx="0">
                  <c:v>Vlastní spotřeba</c:v>
                </c:pt>
                <c:pt idx="1">
                  <c:v>kWh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Říjen!$B$3:$B$98</c:f>
              <c:numCache>
                <c:formatCode>h:mm;@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0.42708333333333354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0.45833333333333359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0.48958333333333365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0.52083333333333359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0.66666666666666641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0.72916666666666619</c:v>
                </c:pt>
                <c:pt idx="71">
                  <c:v>0.73958333333333282</c:v>
                </c:pt>
                <c:pt idx="72">
                  <c:v>0.74999999999999944</c:v>
                </c:pt>
                <c:pt idx="73">
                  <c:v>0.76041666666666607</c:v>
                </c:pt>
                <c:pt idx="74">
                  <c:v>0.7708333333333327</c:v>
                </c:pt>
                <c:pt idx="75">
                  <c:v>0.78124999999999933</c:v>
                </c:pt>
                <c:pt idx="76">
                  <c:v>0.79166666666666596</c:v>
                </c:pt>
                <c:pt idx="77">
                  <c:v>0.80208333333333259</c:v>
                </c:pt>
                <c:pt idx="78">
                  <c:v>0.81249999999999922</c:v>
                </c:pt>
                <c:pt idx="79">
                  <c:v>0.82291666666666585</c:v>
                </c:pt>
                <c:pt idx="80">
                  <c:v>0.83333333333333248</c:v>
                </c:pt>
                <c:pt idx="81">
                  <c:v>0.84374999999999911</c:v>
                </c:pt>
                <c:pt idx="82">
                  <c:v>0.85416666666666574</c:v>
                </c:pt>
                <c:pt idx="83">
                  <c:v>0.86458333333333237</c:v>
                </c:pt>
                <c:pt idx="84">
                  <c:v>0.874999999999999</c:v>
                </c:pt>
                <c:pt idx="85">
                  <c:v>0.88541666666666563</c:v>
                </c:pt>
                <c:pt idx="86">
                  <c:v>0.89583333333333226</c:v>
                </c:pt>
                <c:pt idx="87">
                  <c:v>0.90624999999999889</c:v>
                </c:pt>
                <c:pt idx="88">
                  <c:v>0.91666666666666552</c:v>
                </c:pt>
                <c:pt idx="89">
                  <c:v>0.92708333333333215</c:v>
                </c:pt>
                <c:pt idx="90">
                  <c:v>0.93749999999999878</c:v>
                </c:pt>
                <c:pt idx="91">
                  <c:v>0.94791666666666541</c:v>
                </c:pt>
                <c:pt idx="92">
                  <c:v>0.95833333333333204</c:v>
                </c:pt>
                <c:pt idx="93">
                  <c:v>0.96874999999999867</c:v>
                </c:pt>
                <c:pt idx="94">
                  <c:v>0.9791666666666653</c:v>
                </c:pt>
                <c:pt idx="95">
                  <c:v>0.98958333333333193</c:v>
                </c:pt>
              </c:numCache>
            </c:numRef>
          </c:cat>
          <c:val>
            <c:numRef>
              <c:f>Říjen!$P$3:$P$98</c:f>
              <c:numCache>
                <c:formatCode>0.000</c:formatCode>
                <c:ptCount val="96"/>
                <c:pt idx="0">
                  <c:v>1.8249999999999999E-2</c:v>
                </c:pt>
                <c:pt idx="1">
                  <c:v>1.8249999999999999E-2</c:v>
                </c:pt>
                <c:pt idx="2">
                  <c:v>1.8249999999999999E-2</c:v>
                </c:pt>
                <c:pt idx="3">
                  <c:v>1.8249999999999999E-2</c:v>
                </c:pt>
                <c:pt idx="4">
                  <c:v>1.8249999999999999E-2</c:v>
                </c:pt>
                <c:pt idx="5">
                  <c:v>1.8249999999999999E-2</c:v>
                </c:pt>
                <c:pt idx="6">
                  <c:v>1.8249999999999999E-2</c:v>
                </c:pt>
                <c:pt idx="7">
                  <c:v>1.8249999999999999E-2</c:v>
                </c:pt>
                <c:pt idx="8">
                  <c:v>1.8249999999999999E-2</c:v>
                </c:pt>
                <c:pt idx="9">
                  <c:v>1.8249999999999999E-2</c:v>
                </c:pt>
                <c:pt idx="10">
                  <c:v>1.8249999999999999E-2</c:v>
                </c:pt>
                <c:pt idx="11">
                  <c:v>1.8249999999999999E-2</c:v>
                </c:pt>
                <c:pt idx="12">
                  <c:v>1.8249999999999999E-2</c:v>
                </c:pt>
                <c:pt idx="13">
                  <c:v>1.8249999999999999E-2</c:v>
                </c:pt>
                <c:pt idx="14">
                  <c:v>1.8249999999999999E-2</c:v>
                </c:pt>
                <c:pt idx="15">
                  <c:v>1.8249999999999999E-2</c:v>
                </c:pt>
                <c:pt idx="16">
                  <c:v>1.8249999999999999E-2</c:v>
                </c:pt>
                <c:pt idx="17">
                  <c:v>1.8249999999999999E-2</c:v>
                </c:pt>
                <c:pt idx="18">
                  <c:v>1.8249999999999999E-2</c:v>
                </c:pt>
                <c:pt idx="19">
                  <c:v>1.8249999999999999E-2</c:v>
                </c:pt>
                <c:pt idx="20">
                  <c:v>1.8249999999999999E-2</c:v>
                </c:pt>
                <c:pt idx="21">
                  <c:v>1.8249999999999999E-2</c:v>
                </c:pt>
                <c:pt idx="22">
                  <c:v>1.8249999999999999E-2</c:v>
                </c:pt>
                <c:pt idx="23">
                  <c:v>1.8249999999999999E-2</c:v>
                </c:pt>
                <c:pt idx="24">
                  <c:v>1.8249999999999999E-2</c:v>
                </c:pt>
                <c:pt idx="25">
                  <c:v>1.8249999999999999E-2</c:v>
                </c:pt>
                <c:pt idx="26">
                  <c:v>1.8249999999999999E-2</c:v>
                </c:pt>
                <c:pt idx="27">
                  <c:v>1.8249999999999999E-2</c:v>
                </c:pt>
                <c:pt idx="28">
                  <c:v>1.8249999999999999E-2</c:v>
                </c:pt>
                <c:pt idx="29">
                  <c:v>1.8249999999999999E-2</c:v>
                </c:pt>
                <c:pt idx="30">
                  <c:v>1.8249999999999999E-2</c:v>
                </c:pt>
                <c:pt idx="31">
                  <c:v>1.8249999999999999E-2</c:v>
                </c:pt>
                <c:pt idx="32">
                  <c:v>1.8249999999999999E-2</c:v>
                </c:pt>
                <c:pt idx="33">
                  <c:v>1.8249999999999999E-2</c:v>
                </c:pt>
                <c:pt idx="34">
                  <c:v>1.8249999999999999E-2</c:v>
                </c:pt>
                <c:pt idx="35">
                  <c:v>1.8249999999999999E-2</c:v>
                </c:pt>
                <c:pt idx="36">
                  <c:v>1.8249999999999999E-2</c:v>
                </c:pt>
                <c:pt idx="37">
                  <c:v>1.8249999999999999E-2</c:v>
                </c:pt>
                <c:pt idx="38">
                  <c:v>1.8249999999999999E-2</c:v>
                </c:pt>
                <c:pt idx="39">
                  <c:v>1.8249999999999999E-2</c:v>
                </c:pt>
                <c:pt idx="40">
                  <c:v>1.8249999999999999E-2</c:v>
                </c:pt>
                <c:pt idx="41">
                  <c:v>1.8249999999999999E-2</c:v>
                </c:pt>
                <c:pt idx="42">
                  <c:v>1.8249999999999999E-2</c:v>
                </c:pt>
                <c:pt idx="43">
                  <c:v>1.8249999999999999E-2</c:v>
                </c:pt>
                <c:pt idx="44">
                  <c:v>1.8249999999999999E-2</c:v>
                </c:pt>
                <c:pt idx="45">
                  <c:v>1.8249999999999999E-2</c:v>
                </c:pt>
                <c:pt idx="46">
                  <c:v>1.8249999999999999E-2</c:v>
                </c:pt>
                <c:pt idx="47">
                  <c:v>1.8249999999999999E-2</c:v>
                </c:pt>
                <c:pt idx="48">
                  <c:v>1.8249999999999999E-2</c:v>
                </c:pt>
                <c:pt idx="49">
                  <c:v>1.8249999999999999E-2</c:v>
                </c:pt>
                <c:pt idx="50">
                  <c:v>1.8249999999999999E-2</c:v>
                </c:pt>
                <c:pt idx="51">
                  <c:v>1.8249999999999999E-2</c:v>
                </c:pt>
                <c:pt idx="52">
                  <c:v>1.8249999999999999E-2</c:v>
                </c:pt>
                <c:pt idx="53">
                  <c:v>1.8249999999999999E-2</c:v>
                </c:pt>
                <c:pt idx="54">
                  <c:v>1.8249999999999999E-2</c:v>
                </c:pt>
                <c:pt idx="55">
                  <c:v>1.8249999999999999E-2</c:v>
                </c:pt>
                <c:pt idx="56">
                  <c:v>1.8249999999999999E-2</c:v>
                </c:pt>
                <c:pt idx="57">
                  <c:v>1.8249999999999999E-2</c:v>
                </c:pt>
                <c:pt idx="58">
                  <c:v>1.8249999999999999E-2</c:v>
                </c:pt>
                <c:pt idx="59">
                  <c:v>1.8249999999999999E-2</c:v>
                </c:pt>
                <c:pt idx="60">
                  <c:v>1.8249999999999999E-2</c:v>
                </c:pt>
                <c:pt idx="61">
                  <c:v>1.8249999999999999E-2</c:v>
                </c:pt>
                <c:pt idx="62">
                  <c:v>1.8249999999999999E-2</c:v>
                </c:pt>
                <c:pt idx="63">
                  <c:v>1.8249999999999999E-2</c:v>
                </c:pt>
                <c:pt idx="64">
                  <c:v>1.8249999999999999E-2</c:v>
                </c:pt>
                <c:pt idx="65">
                  <c:v>1.8249999999999999E-2</c:v>
                </c:pt>
                <c:pt idx="66">
                  <c:v>1.8249999999999999E-2</c:v>
                </c:pt>
                <c:pt idx="67">
                  <c:v>1.8249999999999999E-2</c:v>
                </c:pt>
                <c:pt idx="68">
                  <c:v>1.8249999999999999E-2</c:v>
                </c:pt>
                <c:pt idx="69">
                  <c:v>1.8249999999999999E-2</c:v>
                </c:pt>
                <c:pt idx="70">
                  <c:v>1.8249999999999999E-2</c:v>
                </c:pt>
                <c:pt idx="71">
                  <c:v>1.8249999999999999E-2</c:v>
                </c:pt>
                <c:pt idx="72">
                  <c:v>1.8249999999999999E-2</c:v>
                </c:pt>
                <c:pt idx="73">
                  <c:v>1.8249999999999999E-2</c:v>
                </c:pt>
                <c:pt idx="74">
                  <c:v>1.8249999999999999E-2</c:v>
                </c:pt>
                <c:pt idx="75">
                  <c:v>1.8249999999999999E-2</c:v>
                </c:pt>
                <c:pt idx="76">
                  <c:v>1.8249999999999999E-2</c:v>
                </c:pt>
                <c:pt idx="77">
                  <c:v>1.8249999999999999E-2</c:v>
                </c:pt>
                <c:pt idx="78">
                  <c:v>1.8249999999999999E-2</c:v>
                </c:pt>
                <c:pt idx="79">
                  <c:v>1.8249999999999999E-2</c:v>
                </c:pt>
                <c:pt idx="80">
                  <c:v>1.8249999999999999E-2</c:v>
                </c:pt>
                <c:pt idx="81">
                  <c:v>1.8249999999999999E-2</c:v>
                </c:pt>
                <c:pt idx="82">
                  <c:v>1.8249999999999999E-2</c:v>
                </c:pt>
                <c:pt idx="83">
                  <c:v>1.8249999999999999E-2</c:v>
                </c:pt>
                <c:pt idx="84">
                  <c:v>1.8249999999999999E-2</c:v>
                </c:pt>
                <c:pt idx="85">
                  <c:v>1.8249999999999999E-2</c:v>
                </c:pt>
                <c:pt idx="86">
                  <c:v>1.8249999999999999E-2</c:v>
                </c:pt>
                <c:pt idx="87">
                  <c:v>1.8249999999999999E-2</c:v>
                </c:pt>
                <c:pt idx="88">
                  <c:v>1.8249999999999999E-2</c:v>
                </c:pt>
                <c:pt idx="89">
                  <c:v>1.8249999999999999E-2</c:v>
                </c:pt>
                <c:pt idx="90">
                  <c:v>1.8249999999999999E-2</c:v>
                </c:pt>
                <c:pt idx="91">
                  <c:v>1.8249999999999999E-2</c:v>
                </c:pt>
                <c:pt idx="92">
                  <c:v>1.8249999999999999E-2</c:v>
                </c:pt>
                <c:pt idx="93">
                  <c:v>1.8249999999999999E-2</c:v>
                </c:pt>
                <c:pt idx="94">
                  <c:v>1.8249999999999999E-2</c:v>
                </c:pt>
                <c:pt idx="95">
                  <c:v>1.8249999999999999E-2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0C-43D8-A4D8-9B6ACA7CC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970175"/>
        <c:axId val="540340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Říjen!$C$1:$C$2</c15:sqref>
                        </c15:formulaRef>
                      </c:ext>
                    </c:extLst>
                    <c:strCache>
                      <c:ptCount val="2"/>
                      <c:pt idx="0">
                        <c:v>Spotřeba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Říjen!$C$3:$C$98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2.5749999999999999E-2</c:v>
                      </c:pt>
                      <c:pt idx="23">
                        <c:v>2.5749999999999999E-2</c:v>
                      </c:pt>
                      <c:pt idx="24">
                        <c:v>3.3750000000000002E-2</c:v>
                      </c:pt>
                      <c:pt idx="25">
                        <c:v>3.3750000000000002E-2</c:v>
                      </c:pt>
                      <c:pt idx="26">
                        <c:v>0.41775000000000001</c:v>
                      </c:pt>
                      <c:pt idx="27">
                        <c:v>0.61025000000000007</c:v>
                      </c:pt>
                      <c:pt idx="28">
                        <c:v>2.2927499999999998</c:v>
                      </c:pt>
                      <c:pt idx="29">
                        <c:v>2.6557499999999998</c:v>
                      </c:pt>
                      <c:pt idx="30">
                        <c:v>2.3307499999999997</c:v>
                      </c:pt>
                      <c:pt idx="31">
                        <c:v>0.40075</c:v>
                      </c:pt>
                      <c:pt idx="32">
                        <c:v>0.40075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0.40075</c:v>
                      </c:pt>
                      <c:pt idx="67">
                        <c:v>0.43325000000000002</c:v>
                      </c:pt>
                      <c:pt idx="68">
                        <c:v>0.81574999999999998</c:v>
                      </c:pt>
                      <c:pt idx="69">
                        <c:v>0.81574999999999998</c:v>
                      </c:pt>
                      <c:pt idx="70">
                        <c:v>2.31575</c:v>
                      </c:pt>
                      <c:pt idx="71">
                        <c:v>3.06575</c:v>
                      </c:pt>
                      <c:pt idx="72">
                        <c:v>3.4907499999999998</c:v>
                      </c:pt>
                      <c:pt idx="73">
                        <c:v>3.0557499999999997</c:v>
                      </c:pt>
                      <c:pt idx="74">
                        <c:v>1.5557499999999997</c:v>
                      </c:pt>
                      <c:pt idx="75">
                        <c:v>1.5557499999999997</c:v>
                      </c:pt>
                      <c:pt idx="76">
                        <c:v>0.45700000000000002</c:v>
                      </c:pt>
                      <c:pt idx="77">
                        <c:v>0.432</c:v>
                      </c:pt>
                      <c:pt idx="78">
                        <c:v>0.4985</c:v>
                      </c:pt>
                      <c:pt idx="79">
                        <c:v>0.4985</c:v>
                      </c:pt>
                      <c:pt idx="80">
                        <c:v>0.50150000000000006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1.0555000000000001</c:v>
                      </c:pt>
                      <c:pt idx="85">
                        <c:v>1.0555000000000001</c:v>
                      </c:pt>
                      <c:pt idx="86">
                        <c:v>1.0630000000000002</c:v>
                      </c:pt>
                      <c:pt idx="87">
                        <c:v>1.4379999999999999</c:v>
                      </c:pt>
                      <c:pt idx="88">
                        <c:v>1.4379999999999999</c:v>
                      </c:pt>
                      <c:pt idx="89">
                        <c:v>0.8254999999999999</c:v>
                      </c:pt>
                      <c:pt idx="90">
                        <c:v>0.84049999999999991</c:v>
                      </c:pt>
                      <c:pt idx="91">
                        <c:v>0.81174999999999997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0C-43D8-A4D8-9B6ACA7CC5C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Říjen!$D$1:$D$2</c15:sqref>
                        </c15:formulaRef>
                      </c:ext>
                    </c:extLst>
                    <c:strCache>
                      <c:ptCount val="2"/>
                      <c:pt idx="0">
                        <c:v>Přímá vlastní spotřeba z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Říjen!$D$3:$D$98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2.5749999999999999E-2</c:v>
                      </c:pt>
                      <c:pt idx="34">
                        <c:v>2.5749999999999999E-2</c:v>
                      </c:pt>
                      <c:pt idx="35">
                        <c:v>2.5749999999999999E-2</c:v>
                      </c:pt>
                      <c:pt idx="36">
                        <c:v>2.5749999999999999E-2</c:v>
                      </c:pt>
                      <c:pt idx="37">
                        <c:v>2.5749999999999999E-2</c:v>
                      </c:pt>
                      <c:pt idx="38">
                        <c:v>2.5749999999999999E-2</c:v>
                      </c:pt>
                      <c:pt idx="39">
                        <c:v>2.5749999999999999E-2</c:v>
                      </c:pt>
                      <c:pt idx="40">
                        <c:v>2.5749999999999999E-2</c:v>
                      </c:pt>
                      <c:pt idx="41">
                        <c:v>2.5749999999999999E-2</c:v>
                      </c:pt>
                      <c:pt idx="42">
                        <c:v>2.5749999999999999E-2</c:v>
                      </c:pt>
                      <c:pt idx="43">
                        <c:v>2.5749999999999999E-2</c:v>
                      </c:pt>
                      <c:pt idx="44">
                        <c:v>2.5749999999999999E-2</c:v>
                      </c:pt>
                      <c:pt idx="45">
                        <c:v>2.5749999999999999E-2</c:v>
                      </c:pt>
                      <c:pt idx="46">
                        <c:v>2.5749999999999999E-2</c:v>
                      </c:pt>
                      <c:pt idx="47">
                        <c:v>2.5749999999999999E-2</c:v>
                      </c:pt>
                      <c:pt idx="48">
                        <c:v>2.5749999999999999E-2</c:v>
                      </c:pt>
                      <c:pt idx="49">
                        <c:v>2.5749999999999999E-2</c:v>
                      </c:pt>
                      <c:pt idx="50">
                        <c:v>2.5749999999999999E-2</c:v>
                      </c:pt>
                      <c:pt idx="51">
                        <c:v>2.5749999999999999E-2</c:v>
                      </c:pt>
                      <c:pt idx="52">
                        <c:v>2.5749999999999999E-2</c:v>
                      </c:pt>
                      <c:pt idx="53">
                        <c:v>2.5749999999999999E-2</c:v>
                      </c:pt>
                      <c:pt idx="54">
                        <c:v>2.5749999999999999E-2</c:v>
                      </c:pt>
                      <c:pt idx="55">
                        <c:v>2.5749999999999999E-2</c:v>
                      </c:pt>
                      <c:pt idx="56">
                        <c:v>2.5749999999999999E-2</c:v>
                      </c:pt>
                      <c:pt idx="57">
                        <c:v>2.5749999999999999E-2</c:v>
                      </c:pt>
                      <c:pt idx="58">
                        <c:v>2.5749999999999999E-2</c:v>
                      </c:pt>
                      <c:pt idx="59">
                        <c:v>2.5749999999999999E-2</c:v>
                      </c:pt>
                      <c:pt idx="60">
                        <c:v>2.5749999999999999E-2</c:v>
                      </c:pt>
                      <c:pt idx="61">
                        <c:v>2.5749999999999999E-2</c:v>
                      </c:pt>
                      <c:pt idx="62">
                        <c:v>2.5749999999999999E-2</c:v>
                      </c:pt>
                      <c:pt idx="63">
                        <c:v>2.5749999999999999E-2</c:v>
                      </c:pt>
                      <c:pt idx="64">
                        <c:v>2.5749999999999999E-2</c:v>
                      </c:pt>
                      <c:pt idx="65">
                        <c:v>2.5749999999999999E-2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0C-43D8-A4D8-9B6ACA7CC5C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Říjen!$E$1:$E$2</c15:sqref>
                        </c15:formulaRef>
                      </c:ext>
                    </c:extLst>
                    <c:strCache>
                      <c:ptCount val="2"/>
                      <c:pt idx="0">
                        <c:v>Výroba FVE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Říjen!$E$3:$E$98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1E-3</c:v>
                      </c:pt>
                      <c:pt idx="23">
                        <c:v>1E-3</c:v>
                      </c:pt>
                      <c:pt idx="24">
                        <c:v>2E-3</c:v>
                      </c:pt>
                      <c:pt idx="25">
                        <c:v>4.0000000000000001E-3</c:v>
                      </c:pt>
                      <c:pt idx="26">
                        <c:v>6.0000000000000001E-3</c:v>
                      </c:pt>
                      <c:pt idx="27">
                        <c:v>0.01</c:v>
                      </c:pt>
                      <c:pt idx="28">
                        <c:v>1.4999999999999999E-2</c:v>
                      </c:pt>
                      <c:pt idx="29">
                        <c:v>2.4E-2</c:v>
                      </c:pt>
                      <c:pt idx="30">
                        <c:v>3.5999999999999997E-2</c:v>
                      </c:pt>
                      <c:pt idx="31">
                        <c:v>5.2999999999999999E-2</c:v>
                      </c:pt>
                      <c:pt idx="32">
                        <c:v>7.8E-2</c:v>
                      </c:pt>
                      <c:pt idx="33">
                        <c:v>0.111</c:v>
                      </c:pt>
                      <c:pt idx="34">
                        <c:v>0.155</c:v>
                      </c:pt>
                      <c:pt idx="35">
                        <c:v>0.21299999999999999</c:v>
                      </c:pt>
                      <c:pt idx="36">
                        <c:v>0.28699999999999998</c:v>
                      </c:pt>
                      <c:pt idx="37">
                        <c:v>0.38</c:v>
                      </c:pt>
                      <c:pt idx="38">
                        <c:v>0.49199999999999999</c:v>
                      </c:pt>
                      <c:pt idx="39">
                        <c:v>0.626</c:v>
                      </c:pt>
                      <c:pt idx="40">
                        <c:v>0.78100000000000003</c:v>
                      </c:pt>
                      <c:pt idx="41">
                        <c:v>0.95599999999999996</c:v>
                      </c:pt>
                      <c:pt idx="42">
                        <c:v>1.147</c:v>
                      </c:pt>
                      <c:pt idx="43">
                        <c:v>1.351</c:v>
                      </c:pt>
                      <c:pt idx="44">
                        <c:v>1.5609999999999999</c:v>
                      </c:pt>
                      <c:pt idx="45">
                        <c:v>1.7689999999999999</c:v>
                      </c:pt>
                      <c:pt idx="46">
                        <c:v>1.966</c:v>
                      </c:pt>
                      <c:pt idx="47">
                        <c:v>2.1440000000000001</c:v>
                      </c:pt>
                      <c:pt idx="48">
                        <c:v>2.2930000000000001</c:v>
                      </c:pt>
                      <c:pt idx="49">
                        <c:v>2.4060000000000001</c:v>
                      </c:pt>
                      <c:pt idx="50">
                        <c:v>2.476</c:v>
                      </c:pt>
                      <c:pt idx="51">
                        <c:v>2.5</c:v>
                      </c:pt>
                      <c:pt idx="52">
                        <c:v>2.476</c:v>
                      </c:pt>
                      <c:pt idx="53">
                        <c:v>2.4060000000000001</c:v>
                      </c:pt>
                      <c:pt idx="54">
                        <c:v>2.2930000000000001</c:v>
                      </c:pt>
                      <c:pt idx="55">
                        <c:v>2.1440000000000001</c:v>
                      </c:pt>
                      <c:pt idx="56">
                        <c:v>1.966</c:v>
                      </c:pt>
                      <c:pt idx="57">
                        <c:v>1.7689999999999999</c:v>
                      </c:pt>
                      <c:pt idx="58">
                        <c:v>1.5609999999999999</c:v>
                      </c:pt>
                      <c:pt idx="59">
                        <c:v>1.351</c:v>
                      </c:pt>
                      <c:pt idx="60">
                        <c:v>1.147</c:v>
                      </c:pt>
                      <c:pt idx="61">
                        <c:v>0.95599999999999996</c:v>
                      </c:pt>
                      <c:pt idx="62">
                        <c:v>0.78100000000000003</c:v>
                      </c:pt>
                      <c:pt idx="63">
                        <c:v>0.626</c:v>
                      </c:pt>
                      <c:pt idx="64">
                        <c:v>0.49199999999999999</c:v>
                      </c:pt>
                      <c:pt idx="65">
                        <c:v>0.38</c:v>
                      </c:pt>
                      <c:pt idx="66">
                        <c:v>0.28699999999999998</c:v>
                      </c:pt>
                      <c:pt idx="67">
                        <c:v>0.21299999999999999</c:v>
                      </c:pt>
                      <c:pt idx="68">
                        <c:v>0.155</c:v>
                      </c:pt>
                      <c:pt idx="69">
                        <c:v>0.111</c:v>
                      </c:pt>
                      <c:pt idx="70">
                        <c:v>7.8E-2</c:v>
                      </c:pt>
                      <c:pt idx="71">
                        <c:v>5.2999999999999999E-2</c:v>
                      </c:pt>
                      <c:pt idx="72">
                        <c:v>3.5999999999999997E-2</c:v>
                      </c:pt>
                      <c:pt idx="73">
                        <c:v>2.4E-2</c:v>
                      </c:pt>
                      <c:pt idx="74">
                        <c:v>1.4999999999999999E-2</c:v>
                      </c:pt>
                      <c:pt idx="75">
                        <c:v>0.01</c:v>
                      </c:pt>
                      <c:pt idx="76">
                        <c:v>6.0000000000000001E-3</c:v>
                      </c:pt>
                      <c:pt idx="77">
                        <c:v>4.0000000000000001E-3</c:v>
                      </c:pt>
                      <c:pt idx="78">
                        <c:v>2E-3</c:v>
                      </c:pt>
                      <c:pt idx="79">
                        <c:v>1E-3</c:v>
                      </c:pt>
                      <c:pt idx="80">
                        <c:v>1E-3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0C-43D8-A4D8-9B6ACA7CC5C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Říjen!$F$1:$F$2</c15:sqref>
                        </c15:formulaRef>
                      </c:ext>
                    </c:extLst>
                    <c:strCache>
                      <c:ptCount val="2"/>
                      <c:pt idx="0">
                        <c:v>Odběr z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Říjen!$F$3:$F$98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0.56399999999999983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0.2380000000000011</c:v>
                      </c:pt>
                      <c:pt idx="85">
                        <c:v>0.2562500000000012</c:v>
                      </c:pt>
                      <c:pt idx="86">
                        <c:v>0.28200000000000136</c:v>
                      </c:pt>
                      <c:pt idx="87">
                        <c:v>0.67525000000000124</c:v>
                      </c:pt>
                      <c:pt idx="88">
                        <c:v>0.69350000000000134</c:v>
                      </c:pt>
                      <c:pt idx="89">
                        <c:v>9.9250000000001393E-2</c:v>
                      </c:pt>
                      <c:pt idx="90">
                        <c:v>0.13250000000000151</c:v>
                      </c:pt>
                      <c:pt idx="91">
                        <c:v>0.12200000000000166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0C-43D8-A4D8-9B6ACA7CC5C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Říjen!$G$1:$G$2</c15:sqref>
                        </c15:formulaRef>
                      </c:ext>
                    </c:extLst>
                    <c:strCache>
                      <c:ptCount val="2"/>
                      <c:pt idx="0">
                        <c:v>Přetok do DS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Říjen!$G$3:$G$98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1.4659290123456776</c:v>
                      </c:pt>
                      <c:pt idx="50">
                        <c:v>2.45025</c:v>
                      </c:pt>
                      <c:pt idx="51">
                        <c:v>2.4314413580246925</c:v>
                      </c:pt>
                      <c:pt idx="52">
                        <c:v>2.4121978737997249</c:v>
                      </c:pt>
                      <c:pt idx="53">
                        <c:v>2.3416693720469444</c:v>
                      </c:pt>
                      <c:pt idx="54">
                        <c:v>2.2287280944639218</c:v>
                      </c:pt>
                      <c:pt idx="55">
                        <c:v>2.0797215697509248</c:v>
                      </c:pt>
                      <c:pt idx="56">
                        <c:v>1.9017222947190358</c:v>
                      </c:pt>
                      <c:pt idx="57">
                        <c:v>1.7047222141670202</c:v>
                      </c:pt>
                      <c:pt idx="58">
                        <c:v>1.4967222231172455</c:v>
                      </c:pt>
                      <c:pt idx="59">
                        <c:v>1.2867222221227779</c:v>
                      </c:pt>
                      <c:pt idx="60">
                        <c:v>1.0827222222332713</c:v>
                      </c:pt>
                      <c:pt idx="61">
                        <c:v>0.89172222222099451</c:v>
                      </c:pt>
                      <c:pt idx="62">
                        <c:v>0.71672222222236037</c:v>
                      </c:pt>
                      <c:pt idx="63">
                        <c:v>0.56172222222220636</c:v>
                      </c:pt>
                      <c:pt idx="64">
                        <c:v>0.42772222222222617</c:v>
                      </c:pt>
                      <c:pt idx="65">
                        <c:v>0.31572222222222224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0C-43D8-A4D8-9B6ACA7CC5C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Říjen!$H$1:$H$2</c15:sqref>
                        </c15:formulaRef>
                      </c:ext>
                    </c:extLst>
                    <c:strCache>
                      <c:ptCount val="2"/>
                      <c:pt idx="0">
                        <c:v>Spotřeba z baterie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Říjen!$H$3:$H$98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4.4499999999999998E-2</c:v>
                      </c:pt>
                      <c:pt idx="1">
                        <c:v>4.4499999999999998E-2</c:v>
                      </c:pt>
                      <c:pt idx="2">
                        <c:v>4.4499999999999998E-2</c:v>
                      </c:pt>
                      <c:pt idx="3">
                        <c:v>4.4499999999999998E-2</c:v>
                      </c:pt>
                      <c:pt idx="4">
                        <c:v>4.0749999999999995E-2</c:v>
                      </c:pt>
                      <c:pt idx="5">
                        <c:v>4.0749999999999995E-2</c:v>
                      </c:pt>
                      <c:pt idx="6">
                        <c:v>4.0749999999999995E-2</c:v>
                      </c:pt>
                      <c:pt idx="7">
                        <c:v>4.0749999999999995E-2</c:v>
                      </c:pt>
                      <c:pt idx="8">
                        <c:v>4.0749999999999995E-2</c:v>
                      </c:pt>
                      <c:pt idx="9">
                        <c:v>2.5749999999999999E-2</c:v>
                      </c:pt>
                      <c:pt idx="10">
                        <c:v>2.5749999999999999E-2</c:v>
                      </c:pt>
                      <c:pt idx="11">
                        <c:v>2.5749999999999999E-2</c:v>
                      </c:pt>
                      <c:pt idx="12">
                        <c:v>2.5749999999999999E-2</c:v>
                      </c:pt>
                      <c:pt idx="13">
                        <c:v>2.5749999999999999E-2</c:v>
                      </c:pt>
                      <c:pt idx="14">
                        <c:v>2.5749999999999999E-2</c:v>
                      </c:pt>
                      <c:pt idx="15">
                        <c:v>2.5749999999999999E-2</c:v>
                      </c:pt>
                      <c:pt idx="16">
                        <c:v>2.5749999999999999E-2</c:v>
                      </c:pt>
                      <c:pt idx="17">
                        <c:v>2.5749999999999999E-2</c:v>
                      </c:pt>
                      <c:pt idx="18">
                        <c:v>2.5749999999999999E-2</c:v>
                      </c:pt>
                      <c:pt idx="19">
                        <c:v>2.5749999999999999E-2</c:v>
                      </c:pt>
                      <c:pt idx="20">
                        <c:v>2.5749999999999999E-2</c:v>
                      </c:pt>
                      <c:pt idx="21">
                        <c:v>2.5749999999999999E-2</c:v>
                      </c:pt>
                      <c:pt idx="22">
                        <c:v>2.4749999999999998E-2</c:v>
                      </c:pt>
                      <c:pt idx="23">
                        <c:v>2.4749999999999998E-2</c:v>
                      </c:pt>
                      <c:pt idx="24">
                        <c:v>3.175E-2</c:v>
                      </c:pt>
                      <c:pt idx="25">
                        <c:v>2.9750000000000002E-2</c:v>
                      </c:pt>
                      <c:pt idx="26">
                        <c:v>0.41175</c:v>
                      </c:pt>
                      <c:pt idx="27">
                        <c:v>0.60025000000000006</c:v>
                      </c:pt>
                      <c:pt idx="28">
                        <c:v>2.2777499999999997</c:v>
                      </c:pt>
                      <c:pt idx="29">
                        <c:v>2.6317499999999998</c:v>
                      </c:pt>
                      <c:pt idx="30">
                        <c:v>2.2947499999999996</c:v>
                      </c:pt>
                      <c:pt idx="31">
                        <c:v>0.34775</c:v>
                      </c:pt>
                      <c:pt idx="32">
                        <c:v>0.32274999999999998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0.11375000000000002</c:v>
                      </c:pt>
                      <c:pt idx="67">
                        <c:v>0.22025000000000003</c:v>
                      </c:pt>
                      <c:pt idx="68">
                        <c:v>0.66074999999999995</c:v>
                      </c:pt>
                      <c:pt idx="69">
                        <c:v>0.70474999999999999</c:v>
                      </c:pt>
                      <c:pt idx="70">
                        <c:v>2.2377500000000001</c:v>
                      </c:pt>
                      <c:pt idx="71">
                        <c:v>3.01275</c:v>
                      </c:pt>
                      <c:pt idx="72">
                        <c:v>3.4547499999999998</c:v>
                      </c:pt>
                      <c:pt idx="73">
                        <c:v>3.0317499999999997</c:v>
                      </c:pt>
                      <c:pt idx="74">
                        <c:v>1.5407499999999998</c:v>
                      </c:pt>
                      <c:pt idx="75">
                        <c:v>0.9817499999999999</c:v>
                      </c:pt>
                      <c:pt idx="76">
                        <c:v>0.45100000000000001</c:v>
                      </c:pt>
                      <c:pt idx="77">
                        <c:v>0.42799999999999999</c:v>
                      </c:pt>
                      <c:pt idx="78">
                        <c:v>0.4965</c:v>
                      </c:pt>
                      <c:pt idx="79">
                        <c:v>0.4975</c:v>
                      </c:pt>
                      <c:pt idx="80">
                        <c:v>0.50050000000000006</c:v>
                      </c:pt>
                      <c:pt idx="81">
                        <c:v>0.50150000000000006</c:v>
                      </c:pt>
                      <c:pt idx="82">
                        <c:v>0.50150000000000006</c:v>
                      </c:pt>
                      <c:pt idx="83">
                        <c:v>0.50550000000000006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5.9499999999999997E-2</c:v>
                      </c:pt>
                      <c:pt idx="93">
                        <c:v>5.9499999999999997E-2</c:v>
                      </c:pt>
                      <c:pt idx="94">
                        <c:v>5.0500000000000003E-2</c:v>
                      </c:pt>
                      <c:pt idx="95">
                        <c:v>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0C-43D8-A4D8-9B6ACA7CC5C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Říjen!$I$1:$I$2</c15:sqref>
                        </c15:formulaRef>
                      </c:ext>
                    </c:extLst>
                    <c:strCache>
                      <c:ptCount val="2"/>
                      <c:pt idx="0">
                        <c:v>Bilance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Říjen!$I$3:$I$98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-4.4499999999999998E-2</c:v>
                      </c:pt>
                      <c:pt idx="1">
                        <c:v>-4.4499999999999998E-2</c:v>
                      </c:pt>
                      <c:pt idx="2">
                        <c:v>-4.4499999999999998E-2</c:v>
                      </c:pt>
                      <c:pt idx="3">
                        <c:v>-4.4499999999999998E-2</c:v>
                      </c:pt>
                      <c:pt idx="4">
                        <c:v>-4.0749999999999995E-2</c:v>
                      </c:pt>
                      <c:pt idx="5">
                        <c:v>-4.0749999999999995E-2</c:v>
                      </c:pt>
                      <c:pt idx="6">
                        <c:v>-4.0749999999999995E-2</c:v>
                      </c:pt>
                      <c:pt idx="7">
                        <c:v>-4.0749999999999995E-2</c:v>
                      </c:pt>
                      <c:pt idx="8">
                        <c:v>-4.0749999999999995E-2</c:v>
                      </c:pt>
                      <c:pt idx="9">
                        <c:v>-2.5749999999999999E-2</c:v>
                      </c:pt>
                      <c:pt idx="10">
                        <c:v>-2.5749999999999999E-2</c:v>
                      </c:pt>
                      <c:pt idx="11">
                        <c:v>-2.5749999999999999E-2</c:v>
                      </c:pt>
                      <c:pt idx="12">
                        <c:v>-2.5749999999999999E-2</c:v>
                      </c:pt>
                      <c:pt idx="13">
                        <c:v>-2.5749999999999999E-2</c:v>
                      </c:pt>
                      <c:pt idx="14">
                        <c:v>-2.5749999999999999E-2</c:v>
                      </c:pt>
                      <c:pt idx="15">
                        <c:v>-2.5749999999999999E-2</c:v>
                      </c:pt>
                      <c:pt idx="16">
                        <c:v>-2.5749999999999999E-2</c:v>
                      </c:pt>
                      <c:pt idx="17">
                        <c:v>-2.5749999999999999E-2</c:v>
                      </c:pt>
                      <c:pt idx="18">
                        <c:v>-2.5749999999999999E-2</c:v>
                      </c:pt>
                      <c:pt idx="19">
                        <c:v>-2.5749999999999999E-2</c:v>
                      </c:pt>
                      <c:pt idx="20">
                        <c:v>-2.5749999999999999E-2</c:v>
                      </c:pt>
                      <c:pt idx="21">
                        <c:v>-2.5749999999999999E-2</c:v>
                      </c:pt>
                      <c:pt idx="22">
                        <c:v>-2.4749999999999998E-2</c:v>
                      </c:pt>
                      <c:pt idx="23">
                        <c:v>-2.4749999999999998E-2</c:v>
                      </c:pt>
                      <c:pt idx="24">
                        <c:v>-3.175E-2</c:v>
                      </c:pt>
                      <c:pt idx="25">
                        <c:v>-2.9750000000000002E-2</c:v>
                      </c:pt>
                      <c:pt idx="26">
                        <c:v>-0.41175</c:v>
                      </c:pt>
                      <c:pt idx="27">
                        <c:v>-0.60025000000000006</c:v>
                      </c:pt>
                      <c:pt idx="28">
                        <c:v>-2.2777499999999997</c:v>
                      </c:pt>
                      <c:pt idx="29">
                        <c:v>-2.6317499999999998</c:v>
                      </c:pt>
                      <c:pt idx="30">
                        <c:v>-2.2947499999999996</c:v>
                      </c:pt>
                      <c:pt idx="31">
                        <c:v>-0.34775</c:v>
                      </c:pt>
                      <c:pt idx="32">
                        <c:v>-0.32274999999999998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2.3802500000000002</c:v>
                      </c:pt>
                      <c:pt idx="50">
                        <c:v>2.45025</c:v>
                      </c:pt>
                      <c:pt idx="51">
                        <c:v>2.4742500000000001</c:v>
                      </c:pt>
                      <c:pt idx="52">
                        <c:v>2.45025</c:v>
                      </c:pt>
                      <c:pt idx="53">
                        <c:v>2.3802500000000002</c:v>
                      </c:pt>
                      <c:pt idx="54">
                        <c:v>2.2672500000000002</c:v>
                      </c:pt>
                      <c:pt idx="55">
                        <c:v>2.1182500000000002</c:v>
                      </c:pt>
                      <c:pt idx="56">
                        <c:v>1.94025</c:v>
                      </c:pt>
                      <c:pt idx="57">
                        <c:v>1.74325</c:v>
                      </c:pt>
                      <c:pt idx="58">
                        <c:v>1.53525</c:v>
                      </c:pt>
                      <c:pt idx="59">
                        <c:v>1.32525</c:v>
                      </c:pt>
                      <c:pt idx="60">
                        <c:v>1.1212500000000001</c:v>
                      </c:pt>
                      <c:pt idx="61">
                        <c:v>0.93024999999999991</c:v>
                      </c:pt>
                      <c:pt idx="62">
                        <c:v>0.75524999999999998</c:v>
                      </c:pt>
                      <c:pt idx="63">
                        <c:v>0.60024999999999995</c:v>
                      </c:pt>
                      <c:pt idx="64">
                        <c:v>0.46625</c:v>
                      </c:pt>
                      <c:pt idx="65">
                        <c:v>0.35425000000000001</c:v>
                      </c:pt>
                      <c:pt idx="66">
                        <c:v>-0.11375000000000002</c:v>
                      </c:pt>
                      <c:pt idx="67">
                        <c:v>-0.22025000000000003</c:v>
                      </c:pt>
                      <c:pt idx="68">
                        <c:v>-0.66074999999999995</c:v>
                      </c:pt>
                      <c:pt idx="69">
                        <c:v>-0.70474999999999999</c:v>
                      </c:pt>
                      <c:pt idx="70">
                        <c:v>-2.2377500000000001</c:v>
                      </c:pt>
                      <c:pt idx="71">
                        <c:v>-3.01275</c:v>
                      </c:pt>
                      <c:pt idx="72">
                        <c:v>-3.4547499999999998</c:v>
                      </c:pt>
                      <c:pt idx="73">
                        <c:v>-3.0317499999999997</c:v>
                      </c:pt>
                      <c:pt idx="74">
                        <c:v>-1.5407499999999998</c:v>
                      </c:pt>
                      <c:pt idx="75">
                        <c:v>-1.5457499999999997</c:v>
                      </c:pt>
                      <c:pt idx="76">
                        <c:v>-0.45100000000000001</c:v>
                      </c:pt>
                      <c:pt idx="77">
                        <c:v>-0.42799999999999999</c:v>
                      </c:pt>
                      <c:pt idx="78">
                        <c:v>-0.4965</c:v>
                      </c:pt>
                      <c:pt idx="79">
                        <c:v>-0.4975</c:v>
                      </c:pt>
                      <c:pt idx="80">
                        <c:v>-0.50050000000000006</c:v>
                      </c:pt>
                      <c:pt idx="81">
                        <c:v>-0.50150000000000006</c:v>
                      </c:pt>
                      <c:pt idx="82">
                        <c:v>-0.50150000000000006</c:v>
                      </c:pt>
                      <c:pt idx="83">
                        <c:v>-0.50550000000000006</c:v>
                      </c:pt>
                      <c:pt idx="84">
                        <c:v>-1.0555000000000001</c:v>
                      </c:pt>
                      <c:pt idx="85">
                        <c:v>-1.0555000000000001</c:v>
                      </c:pt>
                      <c:pt idx="86">
                        <c:v>-1.0630000000000002</c:v>
                      </c:pt>
                      <c:pt idx="87">
                        <c:v>-1.4379999999999999</c:v>
                      </c:pt>
                      <c:pt idx="88">
                        <c:v>-1.4379999999999999</c:v>
                      </c:pt>
                      <c:pt idx="89">
                        <c:v>-0.8254999999999999</c:v>
                      </c:pt>
                      <c:pt idx="90">
                        <c:v>-0.84049999999999991</c:v>
                      </c:pt>
                      <c:pt idx="91">
                        <c:v>-0.81174999999999997</c:v>
                      </c:pt>
                      <c:pt idx="92">
                        <c:v>-5.9499999999999997E-2</c:v>
                      </c:pt>
                      <c:pt idx="93">
                        <c:v>-5.9499999999999997E-2</c:v>
                      </c:pt>
                      <c:pt idx="94">
                        <c:v>-5.0500000000000003E-2</c:v>
                      </c:pt>
                      <c:pt idx="95">
                        <c:v>-4.7500000000000001E-2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0C-43D8-A4D8-9B6ACA7CC5C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Říjen!$J$1:$J$2</c15:sqref>
                        </c15:formulaRef>
                      </c:ext>
                    </c:extLst>
                    <c:strCache>
                      <c:ptCount val="2"/>
                      <c:pt idx="0">
                        <c:v>Stav baterie</c:v>
                      </c:pt>
                      <c:pt idx="1">
                        <c:v>12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Říjen!$J$3:$J$98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11.912027777777778</c:v>
                      </c:pt>
                      <c:pt idx="1">
                        <c:v>11.824055555555557</c:v>
                      </c:pt>
                      <c:pt idx="2">
                        <c:v>11.736083333333335</c:v>
                      </c:pt>
                      <c:pt idx="3">
                        <c:v>11.648111111111113</c:v>
                      </c:pt>
                      <c:pt idx="4">
                        <c:v>11.564305555555558</c:v>
                      </c:pt>
                      <c:pt idx="5">
                        <c:v>11.480500000000003</c:v>
                      </c:pt>
                      <c:pt idx="6">
                        <c:v>11.396694444444448</c:v>
                      </c:pt>
                      <c:pt idx="7">
                        <c:v>11.312888888888892</c:v>
                      </c:pt>
                      <c:pt idx="8">
                        <c:v>11.229083333333337</c:v>
                      </c:pt>
                      <c:pt idx="9">
                        <c:v>11.161944444444448</c:v>
                      </c:pt>
                      <c:pt idx="10">
                        <c:v>11.094805555555558</c:v>
                      </c:pt>
                      <c:pt idx="11">
                        <c:v>11.027666666666669</c:v>
                      </c:pt>
                      <c:pt idx="12">
                        <c:v>10.960527777777779</c:v>
                      </c:pt>
                      <c:pt idx="13">
                        <c:v>10.893388888888889</c:v>
                      </c:pt>
                      <c:pt idx="14">
                        <c:v>10.82625</c:v>
                      </c:pt>
                      <c:pt idx="15">
                        <c:v>10.75911111111111</c:v>
                      </c:pt>
                      <c:pt idx="16">
                        <c:v>10.691972222222221</c:v>
                      </c:pt>
                      <c:pt idx="17">
                        <c:v>10.624833333333331</c:v>
                      </c:pt>
                      <c:pt idx="18">
                        <c:v>10.557694444444442</c:v>
                      </c:pt>
                      <c:pt idx="19">
                        <c:v>10.490555555555552</c:v>
                      </c:pt>
                      <c:pt idx="20">
                        <c:v>10.423416666666663</c:v>
                      </c:pt>
                      <c:pt idx="21">
                        <c:v>10.356277777777773</c:v>
                      </c:pt>
                      <c:pt idx="22">
                        <c:v>10.290249999999995</c:v>
                      </c:pt>
                      <c:pt idx="23">
                        <c:v>10.224222222222217</c:v>
                      </c:pt>
                      <c:pt idx="24">
                        <c:v>10.150416666666661</c:v>
                      </c:pt>
                      <c:pt idx="25">
                        <c:v>10.078833333333328</c:v>
                      </c:pt>
                      <c:pt idx="26">
                        <c:v>9.5828055555555505</c:v>
                      </c:pt>
                      <c:pt idx="27">
                        <c:v>8.8773333333333273</c:v>
                      </c:pt>
                      <c:pt idx="28">
                        <c:v>6.307972222222217</c:v>
                      </c:pt>
                      <c:pt idx="29">
                        <c:v>3.3452777777777727</c:v>
                      </c:pt>
                      <c:pt idx="30">
                        <c:v>1.9817499999999999</c:v>
                      </c:pt>
                      <c:pt idx="31">
                        <c:v>1.9634999999999998</c:v>
                      </c:pt>
                      <c:pt idx="32">
                        <c:v>1.9452499999999997</c:v>
                      </c:pt>
                      <c:pt idx="33">
                        <c:v>2.0122499999999994</c:v>
                      </c:pt>
                      <c:pt idx="34">
                        <c:v>2.1109999999999998</c:v>
                      </c:pt>
                      <c:pt idx="35">
                        <c:v>2.259722222222222</c:v>
                      </c:pt>
                      <c:pt idx="36">
                        <c:v>2.482444444444444</c:v>
                      </c:pt>
                      <c:pt idx="37">
                        <c:v>2.798166666666666</c:v>
                      </c:pt>
                      <c:pt idx="38">
                        <c:v>3.2258888888888881</c:v>
                      </c:pt>
                      <c:pt idx="39">
                        <c:v>3.7876111111111102</c:v>
                      </c:pt>
                      <c:pt idx="40">
                        <c:v>4.5043333333333324</c:v>
                      </c:pt>
                      <c:pt idx="41">
                        <c:v>5.3960555555555549</c:v>
                      </c:pt>
                      <c:pt idx="42">
                        <c:v>6.4787777777777773</c:v>
                      </c:pt>
                      <c:pt idx="43">
                        <c:v>7.7655000000000003</c:v>
                      </c:pt>
                      <c:pt idx="44">
                        <c:v>9.2622222222222224</c:v>
                      </c:pt>
                      <c:pt idx="45">
                        <c:v>10.966944444444444</c:v>
                      </c:pt>
                      <c:pt idx="46">
                        <c:v>12.868666666666666</c:v>
                      </c:pt>
                      <c:pt idx="47">
                        <c:v>14.948388888888887</c:v>
                      </c:pt>
                      <c:pt idx="48">
                        <c:v>17.17711111111111</c:v>
                      </c:pt>
                      <c:pt idx="49">
                        <c:v>18</c:v>
                      </c:pt>
                      <c:pt idx="50">
                        <c:v>17.961472222222223</c:v>
                      </c:pt>
                      <c:pt idx="51">
                        <c:v>17.965753086419753</c:v>
                      </c:pt>
                      <c:pt idx="52">
                        <c:v>17.96527743484225</c:v>
                      </c:pt>
                      <c:pt idx="53">
                        <c:v>17.965330285017529</c:v>
                      </c:pt>
                      <c:pt idx="54">
                        <c:v>17.965324412775832</c:v>
                      </c:pt>
                      <c:pt idx="55">
                        <c:v>17.965325065247132</c:v>
                      </c:pt>
                      <c:pt idx="56">
                        <c:v>17.965324992750318</c:v>
                      </c:pt>
                      <c:pt idx="57">
                        <c:v>17.965325000805521</c:v>
                      </c:pt>
                      <c:pt idx="58">
                        <c:v>17.9653249999105</c:v>
                      </c:pt>
                      <c:pt idx="59">
                        <c:v>17.965325000009944</c:v>
                      </c:pt>
                      <c:pt idx="60">
                        <c:v>17.965324999998895</c:v>
                      </c:pt>
                      <c:pt idx="61">
                        <c:v>17.965325000000124</c:v>
                      </c:pt>
                      <c:pt idx="62">
                        <c:v>17.965324999999986</c:v>
                      </c:pt>
                      <c:pt idx="63">
                        <c:v>17.965325000000004</c:v>
                      </c:pt>
                      <c:pt idx="64">
                        <c:v>17.965325</c:v>
                      </c:pt>
                      <c:pt idx="65">
                        <c:v>17.965325</c:v>
                      </c:pt>
                      <c:pt idx="66">
                        <c:v>17.800408333333333</c:v>
                      </c:pt>
                      <c:pt idx="67">
                        <c:v>17.517158333333334</c:v>
                      </c:pt>
                      <c:pt idx="68">
                        <c:v>16.744463888888891</c:v>
                      </c:pt>
                      <c:pt idx="69">
                        <c:v>15.922880555555558</c:v>
                      </c:pt>
                      <c:pt idx="70">
                        <c:v>13.39796388888889</c:v>
                      </c:pt>
                      <c:pt idx="71">
                        <c:v>10.011936111111112</c:v>
                      </c:pt>
                      <c:pt idx="72">
                        <c:v>6.1347972222222236</c:v>
                      </c:pt>
                      <c:pt idx="73">
                        <c:v>2.7276583333333351</c:v>
                      </c:pt>
                      <c:pt idx="74">
                        <c:v>1.9817499999999999</c:v>
                      </c:pt>
                      <c:pt idx="75">
                        <c:v>1.9634999999999998</c:v>
                      </c:pt>
                      <c:pt idx="76">
                        <c:v>1.9452499999999997</c:v>
                      </c:pt>
                      <c:pt idx="77">
                        <c:v>1.9269999999999996</c:v>
                      </c:pt>
                      <c:pt idx="78">
                        <c:v>1.9087499999999995</c:v>
                      </c:pt>
                      <c:pt idx="79">
                        <c:v>1.8904999999999994</c:v>
                      </c:pt>
                      <c:pt idx="80">
                        <c:v>1.8722499999999993</c:v>
                      </c:pt>
                      <c:pt idx="81">
                        <c:v>1.8539999999999992</c:v>
                      </c:pt>
                      <c:pt idx="82">
                        <c:v>1.8357499999999991</c:v>
                      </c:pt>
                      <c:pt idx="83">
                        <c:v>1.817499999999999</c:v>
                      </c:pt>
                      <c:pt idx="84">
                        <c:v>1.7992499999999989</c:v>
                      </c:pt>
                      <c:pt idx="85">
                        <c:v>1.7809999999999988</c:v>
                      </c:pt>
                      <c:pt idx="86">
                        <c:v>1.7627499999999987</c:v>
                      </c:pt>
                      <c:pt idx="87">
                        <c:v>1.7444999999999986</c:v>
                      </c:pt>
                      <c:pt idx="88">
                        <c:v>1.7262499999999985</c:v>
                      </c:pt>
                      <c:pt idx="89">
                        <c:v>1.7079999999999984</c:v>
                      </c:pt>
                      <c:pt idx="90">
                        <c:v>1.6897499999999983</c:v>
                      </c:pt>
                      <c:pt idx="91">
                        <c:v>1.6714999999999982</c:v>
                      </c:pt>
                      <c:pt idx="92">
                        <c:v>1.6532499999999981</c:v>
                      </c:pt>
                      <c:pt idx="93">
                        <c:v>1.634999999999998</c:v>
                      </c:pt>
                      <c:pt idx="94">
                        <c:v>1.6167499999999979</c:v>
                      </c:pt>
                      <c:pt idx="95">
                        <c:v>1.5984999999999978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0C-43D8-A4D8-9B6ACA7CC5C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Říjen!$K$1:$K$2</c15:sqref>
                        </c15:formulaRef>
                      </c:ext>
                    </c:extLst>
                    <c:strCache>
                      <c:ptCount val="2"/>
                      <c:pt idx="0">
                        <c:v>Soc </c:v>
                      </c:pt>
                      <c:pt idx="1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Říjen!$K$3:$K$98</c15:sqref>
                        </c15:formulaRef>
                      </c:ext>
                    </c:extLst>
                    <c:numCache>
                      <c:formatCode>0%</c:formatCode>
                      <c:ptCount val="96"/>
                      <c:pt idx="0">
                        <c:v>0.59560138888888892</c:v>
                      </c:pt>
                      <c:pt idx="1">
                        <c:v>0.59120277777777785</c:v>
                      </c:pt>
                      <c:pt idx="2">
                        <c:v>0.58680416666666679</c:v>
                      </c:pt>
                      <c:pt idx="3">
                        <c:v>0.58240555555555562</c:v>
                      </c:pt>
                      <c:pt idx="4">
                        <c:v>0.57821527777777793</c:v>
                      </c:pt>
                      <c:pt idx="5">
                        <c:v>0.57402500000000012</c:v>
                      </c:pt>
                      <c:pt idx="6">
                        <c:v>0.56983472222222242</c:v>
                      </c:pt>
                      <c:pt idx="7">
                        <c:v>0.56564444444444462</c:v>
                      </c:pt>
                      <c:pt idx="8">
                        <c:v>0.56145416666666681</c:v>
                      </c:pt>
                      <c:pt idx="9">
                        <c:v>0.55809722222222236</c:v>
                      </c:pt>
                      <c:pt idx="10">
                        <c:v>0.5547402777777779</c:v>
                      </c:pt>
                      <c:pt idx="11">
                        <c:v>0.55138333333333345</c:v>
                      </c:pt>
                      <c:pt idx="12">
                        <c:v>0.54802638888888899</c:v>
                      </c:pt>
                      <c:pt idx="13">
                        <c:v>0.54466944444444443</c:v>
                      </c:pt>
                      <c:pt idx="14">
                        <c:v>0.54131249999999997</c:v>
                      </c:pt>
                      <c:pt idx="15">
                        <c:v>0.53795555555555552</c:v>
                      </c:pt>
                      <c:pt idx="16">
                        <c:v>0.53459861111111107</c:v>
                      </c:pt>
                      <c:pt idx="17">
                        <c:v>0.53124166666666661</c:v>
                      </c:pt>
                      <c:pt idx="18">
                        <c:v>0.52788472222222205</c:v>
                      </c:pt>
                      <c:pt idx="19">
                        <c:v>0.52452777777777759</c:v>
                      </c:pt>
                      <c:pt idx="20">
                        <c:v>0.52117083333333314</c:v>
                      </c:pt>
                      <c:pt idx="21">
                        <c:v>0.51781388888888868</c:v>
                      </c:pt>
                      <c:pt idx="22">
                        <c:v>0.51451249999999971</c:v>
                      </c:pt>
                      <c:pt idx="23">
                        <c:v>0.51121111111111084</c:v>
                      </c:pt>
                      <c:pt idx="24">
                        <c:v>0.50752083333333309</c:v>
                      </c:pt>
                      <c:pt idx="25">
                        <c:v>0.5039416666666664</c:v>
                      </c:pt>
                      <c:pt idx="26">
                        <c:v>0.47914027777777751</c:v>
                      </c:pt>
                      <c:pt idx="27">
                        <c:v>0.44386666666666635</c:v>
                      </c:pt>
                      <c:pt idx="28">
                        <c:v>0.31539861111111084</c:v>
                      </c:pt>
                      <c:pt idx="29">
                        <c:v>0.16726388888888863</c:v>
                      </c:pt>
                      <c:pt idx="30">
                        <c:v>9.9087499999999995E-2</c:v>
                      </c:pt>
                      <c:pt idx="31">
                        <c:v>9.8174999999999985E-2</c:v>
                      </c:pt>
                      <c:pt idx="32">
                        <c:v>9.7262499999999988E-2</c:v>
                      </c:pt>
                      <c:pt idx="33">
                        <c:v>0.10061249999999997</c:v>
                      </c:pt>
                      <c:pt idx="34">
                        <c:v>0.10554999999999999</c:v>
                      </c:pt>
                      <c:pt idx="35">
                        <c:v>0.11298611111111109</c:v>
                      </c:pt>
                      <c:pt idx="36">
                        <c:v>0.1241222222222222</c:v>
                      </c:pt>
                      <c:pt idx="37">
                        <c:v>0.1399083333333333</c:v>
                      </c:pt>
                      <c:pt idx="38">
                        <c:v>0.16129444444444441</c:v>
                      </c:pt>
                      <c:pt idx="39">
                        <c:v>0.1893805555555555</c:v>
                      </c:pt>
                      <c:pt idx="40">
                        <c:v>0.22521666666666662</c:v>
                      </c:pt>
                      <c:pt idx="41">
                        <c:v>0.26980277777777772</c:v>
                      </c:pt>
                      <c:pt idx="42">
                        <c:v>0.32393888888888889</c:v>
                      </c:pt>
                      <c:pt idx="43">
                        <c:v>0.38827500000000004</c:v>
                      </c:pt>
                      <c:pt idx="44">
                        <c:v>0.46311111111111114</c:v>
                      </c:pt>
                      <c:pt idx="45">
                        <c:v>0.54834722222222221</c:v>
                      </c:pt>
                      <c:pt idx="46">
                        <c:v>0.6434333333333333</c:v>
                      </c:pt>
                      <c:pt idx="47">
                        <c:v>0.74741944444444441</c:v>
                      </c:pt>
                      <c:pt idx="48">
                        <c:v>0.85885555555555548</c:v>
                      </c:pt>
                      <c:pt idx="49">
                        <c:v>0.9</c:v>
                      </c:pt>
                      <c:pt idx="50">
                        <c:v>0.89807361111111117</c:v>
                      </c:pt>
                      <c:pt idx="51">
                        <c:v>0.89828765432098767</c:v>
                      </c:pt>
                      <c:pt idx="52">
                        <c:v>0.89826387174211253</c:v>
                      </c:pt>
                      <c:pt idx="53">
                        <c:v>0.89826651425087645</c:v>
                      </c:pt>
                      <c:pt idx="54">
                        <c:v>0.89826622063879158</c:v>
                      </c:pt>
                      <c:pt idx="55">
                        <c:v>0.89826625326235665</c:v>
                      </c:pt>
                      <c:pt idx="56">
                        <c:v>0.89826624963751589</c:v>
                      </c:pt>
                      <c:pt idx="57">
                        <c:v>0.89826625004027605</c:v>
                      </c:pt>
                      <c:pt idx="58">
                        <c:v>0.89826624999552496</c:v>
                      </c:pt>
                      <c:pt idx="59">
                        <c:v>0.8982662500004972</c:v>
                      </c:pt>
                      <c:pt idx="60">
                        <c:v>0.89826624999994475</c:v>
                      </c:pt>
                      <c:pt idx="61">
                        <c:v>0.89826625000000626</c:v>
                      </c:pt>
                      <c:pt idx="62">
                        <c:v>0.89826624999999927</c:v>
                      </c:pt>
                      <c:pt idx="63">
                        <c:v>0.89826625000000015</c:v>
                      </c:pt>
                      <c:pt idx="64">
                        <c:v>0.89826625000000004</c:v>
                      </c:pt>
                      <c:pt idx="65">
                        <c:v>0.89826625000000004</c:v>
                      </c:pt>
                      <c:pt idx="66">
                        <c:v>0.89002041666666665</c:v>
                      </c:pt>
                      <c:pt idx="67">
                        <c:v>0.87585791666666668</c:v>
                      </c:pt>
                      <c:pt idx="68">
                        <c:v>0.8372231944444446</c:v>
                      </c:pt>
                      <c:pt idx="69">
                        <c:v>0.79614402777777793</c:v>
                      </c:pt>
                      <c:pt idx="70">
                        <c:v>0.66989819444444454</c:v>
                      </c:pt>
                      <c:pt idx="71">
                        <c:v>0.50059680555555564</c:v>
                      </c:pt>
                      <c:pt idx="72">
                        <c:v>0.30673986111111118</c:v>
                      </c:pt>
                      <c:pt idx="73">
                        <c:v>0.13638291666666674</c:v>
                      </c:pt>
                      <c:pt idx="74">
                        <c:v>9.9087499999999995E-2</c:v>
                      </c:pt>
                      <c:pt idx="75">
                        <c:v>9.8174999999999985E-2</c:v>
                      </c:pt>
                      <c:pt idx="76">
                        <c:v>9.7262499999999988E-2</c:v>
                      </c:pt>
                      <c:pt idx="77">
                        <c:v>9.6349999999999977E-2</c:v>
                      </c:pt>
                      <c:pt idx="78">
                        <c:v>9.5437499999999981E-2</c:v>
                      </c:pt>
                      <c:pt idx="79">
                        <c:v>9.452499999999997E-2</c:v>
                      </c:pt>
                      <c:pt idx="80">
                        <c:v>9.361249999999996E-2</c:v>
                      </c:pt>
                      <c:pt idx="81">
                        <c:v>9.2699999999999963E-2</c:v>
                      </c:pt>
                      <c:pt idx="82">
                        <c:v>9.1787499999999952E-2</c:v>
                      </c:pt>
                      <c:pt idx="83">
                        <c:v>9.0874999999999956E-2</c:v>
                      </c:pt>
                      <c:pt idx="84">
                        <c:v>8.9962499999999945E-2</c:v>
                      </c:pt>
                      <c:pt idx="85">
                        <c:v>8.9049999999999935E-2</c:v>
                      </c:pt>
                      <c:pt idx="86">
                        <c:v>8.8137499999999938E-2</c:v>
                      </c:pt>
                      <c:pt idx="87">
                        <c:v>8.7224999999999928E-2</c:v>
                      </c:pt>
                      <c:pt idx="88">
                        <c:v>8.6312499999999931E-2</c:v>
                      </c:pt>
                      <c:pt idx="89">
                        <c:v>8.539999999999992E-2</c:v>
                      </c:pt>
                      <c:pt idx="90">
                        <c:v>8.448749999999991E-2</c:v>
                      </c:pt>
                      <c:pt idx="91">
                        <c:v>8.3574999999999913E-2</c:v>
                      </c:pt>
                      <c:pt idx="92">
                        <c:v>8.2662499999999903E-2</c:v>
                      </c:pt>
                      <c:pt idx="93">
                        <c:v>8.1749999999999906E-2</c:v>
                      </c:pt>
                      <c:pt idx="94">
                        <c:v>8.0837499999999896E-2</c:v>
                      </c:pt>
                      <c:pt idx="95">
                        <c:v>7.9924999999999885E-2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0C-43D8-A4D8-9B6ACA7CC5C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Říjen!$L$1:$L$2</c15:sqref>
                        </c15:formulaRef>
                      </c:ext>
                    </c:extLst>
                    <c:strCache>
                      <c:ptCount val="2"/>
                      <c:pt idx="0">
                        <c:v>Nabíjení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Říjen!$L$3:$L$98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7.6725000000000002E-2</c:v>
                      </c:pt>
                      <c:pt idx="34">
                        <c:v>0.11632500000000001</c:v>
                      </c:pt>
                      <c:pt idx="35">
                        <c:v>0.16852500000000001</c:v>
                      </c:pt>
                      <c:pt idx="36">
                        <c:v>0.235125</c:v>
                      </c:pt>
                      <c:pt idx="37">
                        <c:v>0.31882500000000003</c:v>
                      </c:pt>
                      <c:pt idx="38">
                        <c:v>0.41962500000000003</c:v>
                      </c:pt>
                      <c:pt idx="39">
                        <c:v>0.54022499999999996</c:v>
                      </c:pt>
                      <c:pt idx="40">
                        <c:v>0.67972500000000002</c:v>
                      </c:pt>
                      <c:pt idx="41">
                        <c:v>0.83722499999999989</c:v>
                      </c:pt>
                      <c:pt idx="42">
                        <c:v>1.009125</c:v>
                      </c:pt>
                      <c:pt idx="43">
                        <c:v>1.192725</c:v>
                      </c:pt>
                      <c:pt idx="44">
                        <c:v>1.3817250000000001</c:v>
                      </c:pt>
                      <c:pt idx="45">
                        <c:v>1.5689249999999999</c:v>
                      </c:pt>
                      <c:pt idx="46">
                        <c:v>1.7462250000000001</c:v>
                      </c:pt>
                      <c:pt idx="47">
                        <c:v>1.9064250000000003</c:v>
                      </c:pt>
                      <c:pt idx="48">
                        <c:v>2.0405250000000001</c:v>
                      </c:pt>
                      <c:pt idx="49">
                        <c:v>0.82288888888889034</c:v>
                      </c:pt>
                      <c:pt idx="50">
                        <c:v>0</c:v>
                      </c:pt>
                      <c:pt idx="51">
                        <c:v>3.8527777777776606E-2</c:v>
                      </c:pt>
                      <c:pt idx="52">
                        <c:v>3.4246913580247451E-2</c:v>
                      </c:pt>
                      <c:pt idx="53">
                        <c:v>3.4722565157750296E-2</c:v>
                      </c:pt>
                      <c:pt idx="54">
                        <c:v>3.4669714982470623E-2</c:v>
                      </c:pt>
                      <c:pt idx="55">
                        <c:v>3.467558722416797E-2</c:v>
                      </c:pt>
                      <c:pt idx="56">
                        <c:v>3.467493475286787E-2</c:v>
                      </c:pt>
                      <c:pt idx="57">
                        <c:v>3.4675007249681755E-2</c:v>
                      </c:pt>
                      <c:pt idx="58">
                        <c:v>3.4674999194479028E-2</c:v>
                      </c:pt>
                      <c:pt idx="59">
                        <c:v>3.4675000089499974E-2</c:v>
                      </c:pt>
                      <c:pt idx="60">
                        <c:v>3.4674999990055966E-2</c:v>
                      </c:pt>
                      <c:pt idx="61">
                        <c:v>3.4675000001104905E-2</c:v>
                      </c:pt>
                      <c:pt idx="62">
                        <c:v>3.4674999999875666E-2</c:v>
                      </c:pt>
                      <c:pt idx="63">
                        <c:v>3.4675000000014222E-2</c:v>
                      </c:pt>
                      <c:pt idx="64">
                        <c:v>3.4674999999996459E-2</c:v>
                      </c:pt>
                      <c:pt idx="65">
                        <c:v>3.4675000000000011E-2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0C-43D8-A4D8-9B6ACA7CC5C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Říjen!$M$1:$M$2</c15:sqref>
                        </c15:formulaRef>
                      </c:ext>
                    </c:extLst>
                    <c:strCache>
                      <c:ptCount val="2"/>
                      <c:pt idx="0">
                        <c:v>Nabíjení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Říjen!$M$3:$M$98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8.5250000000000006E-2</c:v>
                      </c:pt>
                      <c:pt idx="34">
                        <c:v>0.12925</c:v>
                      </c:pt>
                      <c:pt idx="35">
                        <c:v>0.18725</c:v>
                      </c:pt>
                      <c:pt idx="36">
                        <c:v>0.26124999999999998</c:v>
                      </c:pt>
                      <c:pt idx="37">
                        <c:v>0.35425000000000001</c:v>
                      </c:pt>
                      <c:pt idx="38">
                        <c:v>0.46625</c:v>
                      </c:pt>
                      <c:pt idx="39">
                        <c:v>0.60024999999999995</c:v>
                      </c:pt>
                      <c:pt idx="40">
                        <c:v>0.75524999999999998</c:v>
                      </c:pt>
                      <c:pt idx="41">
                        <c:v>0.93024999999999991</c:v>
                      </c:pt>
                      <c:pt idx="42">
                        <c:v>1.1212500000000001</c:v>
                      </c:pt>
                      <c:pt idx="43">
                        <c:v>1.32525</c:v>
                      </c:pt>
                      <c:pt idx="44">
                        <c:v>1.53525</c:v>
                      </c:pt>
                      <c:pt idx="45">
                        <c:v>1.74325</c:v>
                      </c:pt>
                      <c:pt idx="46">
                        <c:v>1.94025</c:v>
                      </c:pt>
                      <c:pt idx="47">
                        <c:v>2.1182500000000002</c:v>
                      </c:pt>
                      <c:pt idx="48">
                        <c:v>2.2672500000000002</c:v>
                      </c:pt>
                      <c:pt idx="49">
                        <c:v>0.91432098765432257</c:v>
                      </c:pt>
                      <c:pt idx="50">
                        <c:v>0</c:v>
                      </c:pt>
                      <c:pt idx="51">
                        <c:v>4.2808641975307336E-2</c:v>
                      </c:pt>
                      <c:pt idx="52">
                        <c:v>3.8052126200274948E-2</c:v>
                      </c:pt>
                      <c:pt idx="53">
                        <c:v>3.8580627953055883E-2</c:v>
                      </c:pt>
                      <c:pt idx="54">
                        <c:v>3.8521905536078468E-2</c:v>
                      </c:pt>
                      <c:pt idx="55">
                        <c:v>3.852843024907552E-2</c:v>
                      </c:pt>
                      <c:pt idx="56">
                        <c:v>3.8527705280964296E-2</c:v>
                      </c:pt>
                      <c:pt idx="57">
                        <c:v>3.8527785832979729E-2</c:v>
                      </c:pt>
                      <c:pt idx="58">
                        <c:v>3.8527776882754473E-2</c:v>
                      </c:pt>
                      <c:pt idx="59">
                        <c:v>3.852777787722219E-2</c:v>
                      </c:pt>
                      <c:pt idx="60">
                        <c:v>3.8527777766728853E-2</c:v>
                      </c:pt>
                      <c:pt idx="61">
                        <c:v>3.852777777900545E-2</c:v>
                      </c:pt>
                      <c:pt idx="62">
                        <c:v>3.8527777777639625E-2</c:v>
                      </c:pt>
                      <c:pt idx="63">
                        <c:v>3.8527777777793579E-2</c:v>
                      </c:pt>
                      <c:pt idx="64">
                        <c:v>3.8527777777773844E-2</c:v>
                      </c:pt>
                      <c:pt idx="65">
                        <c:v>3.8527777777777793E-2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20C-43D8-A4D8-9B6ACA7CC5C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Říjen!$N$1:$N$2</c15:sqref>
                        </c15:formulaRef>
                      </c:ext>
                    </c:extLst>
                    <c:strCache>
                      <c:ptCount val="2"/>
                      <c:pt idx="0">
                        <c:v>Vybíjení (Netto)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Říjen!$N$3:$N$98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6.275E-2</c:v>
                      </c:pt>
                      <c:pt idx="1">
                        <c:v>6.275E-2</c:v>
                      </c:pt>
                      <c:pt idx="2">
                        <c:v>6.275E-2</c:v>
                      </c:pt>
                      <c:pt idx="3">
                        <c:v>6.275E-2</c:v>
                      </c:pt>
                      <c:pt idx="4">
                        <c:v>5.8999999999999997E-2</c:v>
                      </c:pt>
                      <c:pt idx="5">
                        <c:v>5.8999999999999997E-2</c:v>
                      </c:pt>
                      <c:pt idx="6">
                        <c:v>5.8999999999999997E-2</c:v>
                      </c:pt>
                      <c:pt idx="7">
                        <c:v>5.8999999999999997E-2</c:v>
                      </c:pt>
                      <c:pt idx="8">
                        <c:v>5.8999999999999997E-2</c:v>
                      </c:pt>
                      <c:pt idx="9">
                        <c:v>4.3999999999999997E-2</c:v>
                      </c:pt>
                      <c:pt idx="10">
                        <c:v>4.3999999999999997E-2</c:v>
                      </c:pt>
                      <c:pt idx="11">
                        <c:v>4.3999999999999997E-2</c:v>
                      </c:pt>
                      <c:pt idx="12">
                        <c:v>4.3999999999999997E-2</c:v>
                      </c:pt>
                      <c:pt idx="13">
                        <c:v>4.3999999999999997E-2</c:v>
                      </c:pt>
                      <c:pt idx="14">
                        <c:v>4.3999999999999997E-2</c:v>
                      </c:pt>
                      <c:pt idx="15">
                        <c:v>4.3999999999999997E-2</c:v>
                      </c:pt>
                      <c:pt idx="16">
                        <c:v>4.3999999999999997E-2</c:v>
                      </c:pt>
                      <c:pt idx="17">
                        <c:v>4.3999999999999997E-2</c:v>
                      </c:pt>
                      <c:pt idx="18">
                        <c:v>4.3999999999999997E-2</c:v>
                      </c:pt>
                      <c:pt idx="19">
                        <c:v>4.3999999999999997E-2</c:v>
                      </c:pt>
                      <c:pt idx="20">
                        <c:v>4.3999999999999997E-2</c:v>
                      </c:pt>
                      <c:pt idx="21">
                        <c:v>4.3999999999999997E-2</c:v>
                      </c:pt>
                      <c:pt idx="22">
                        <c:v>4.2999999999999997E-2</c:v>
                      </c:pt>
                      <c:pt idx="23">
                        <c:v>4.2999999999999997E-2</c:v>
                      </c:pt>
                      <c:pt idx="24">
                        <c:v>0.05</c:v>
                      </c:pt>
                      <c:pt idx="25">
                        <c:v>4.8000000000000001E-2</c:v>
                      </c:pt>
                      <c:pt idx="26">
                        <c:v>0.43</c:v>
                      </c:pt>
                      <c:pt idx="27">
                        <c:v>0.61850000000000005</c:v>
                      </c:pt>
                      <c:pt idx="28">
                        <c:v>2.2959999999999998</c:v>
                      </c:pt>
                      <c:pt idx="29">
                        <c:v>2.65</c:v>
                      </c:pt>
                      <c:pt idx="30">
                        <c:v>2.3129999999999997</c:v>
                      </c:pt>
                      <c:pt idx="31">
                        <c:v>0.36599999999999999</c:v>
                      </c:pt>
                      <c:pt idx="32">
                        <c:v>0.34099999999999997</c:v>
                      </c:pt>
                      <c:pt idx="33">
                        <c:v>1.8249999999999999E-2</c:v>
                      </c:pt>
                      <c:pt idx="34">
                        <c:v>1.8249999999999999E-2</c:v>
                      </c:pt>
                      <c:pt idx="35">
                        <c:v>1.8249999999999999E-2</c:v>
                      </c:pt>
                      <c:pt idx="36">
                        <c:v>1.8249999999999999E-2</c:v>
                      </c:pt>
                      <c:pt idx="37">
                        <c:v>1.8249999999999999E-2</c:v>
                      </c:pt>
                      <c:pt idx="38">
                        <c:v>1.8249999999999999E-2</c:v>
                      </c:pt>
                      <c:pt idx="39">
                        <c:v>1.8249999999999999E-2</c:v>
                      </c:pt>
                      <c:pt idx="40">
                        <c:v>1.8249999999999999E-2</c:v>
                      </c:pt>
                      <c:pt idx="41">
                        <c:v>1.8249999999999999E-2</c:v>
                      </c:pt>
                      <c:pt idx="42">
                        <c:v>1.8249999999999999E-2</c:v>
                      </c:pt>
                      <c:pt idx="43">
                        <c:v>1.8249999999999999E-2</c:v>
                      </c:pt>
                      <c:pt idx="44">
                        <c:v>1.8249999999999999E-2</c:v>
                      </c:pt>
                      <c:pt idx="45">
                        <c:v>1.8249999999999999E-2</c:v>
                      </c:pt>
                      <c:pt idx="46">
                        <c:v>1.8249999999999999E-2</c:v>
                      </c:pt>
                      <c:pt idx="47">
                        <c:v>1.8249999999999999E-2</c:v>
                      </c:pt>
                      <c:pt idx="48">
                        <c:v>1.8249999999999999E-2</c:v>
                      </c:pt>
                      <c:pt idx="49">
                        <c:v>1.8249999999999999E-2</c:v>
                      </c:pt>
                      <c:pt idx="50">
                        <c:v>1.8249999999999999E-2</c:v>
                      </c:pt>
                      <c:pt idx="51">
                        <c:v>1.8249999999999999E-2</c:v>
                      </c:pt>
                      <c:pt idx="52">
                        <c:v>1.8249999999999999E-2</c:v>
                      </c:pt>
                      <c:pt idx="53">
                        <c:v>1.8249999999999999E-2</c:v>
                      </c:pt>
                      <c:pt idx="54">
                        <c:v>1.8249999999999999E-2</c:v>
                      </c:pt>
                      <c:pt idx="55">
                        <c:v>1.8249999999999999E-2</c:v>
                      </c:pt>
                      <c:pt idx="56">
                        <c:v>1.8249999999999999E-2</c:v>
                      </c:pt>
                      <c:pt idx="57">
                        <c:v>1.8249999999999999E-2</c:v>
                      </c:pt>
                      <c:pt idx="58">
                        <c:v>1.8249999999999999E-2</c:v>
                      </c:pt>
                      <c:pt idx="59">
                        <c:v>1.8249999999999999E-2</c:v>
                      </c:pt>
                      <c:pt idx="60">
                        <c:v>1.8249999999999999E-2</c:v>
                      </c:pt>
                      <c:pt idx="61">
                        <c:v>1.8249999999999999E-2</c:v>
                      </c:pt>
                      <c:pt idx="62">
                        <c:v>1.8249999999999999E-2</c:v>
                      </c:pt>
                      <c:pt idx="63">
                        <c:v>1.8249999999999999E-2</c:v>
                      </c:pt>
                      <c:pt idx="64">
                        <c:v>1.8249999999999999E-2</c:v>
                      </c:pt>
                      <c:pt idx="65">
                        <c:v>1.8249999999999999E-2</c:v>
                      </c:pt>
                      <c:pt idx="66">
                        <c:v>0.13200000000000001</c:v>
                      </c:pt>
                      <c:pt idx="67">
                        <c:v>0.23850000000000002</c:v>
                      </c:pt>
                      <c:pt idx="68">
                        <c:v>0.67899999999999994</c:v>
                      </c:pt>
                      <c:pt idx="69">
                        <c:v>0.72299999999999998</c:v>
                      </c:pt>
                      <c:pt idx="70">
                        <c:v>2.2560000000000002</c:v>
                      </c:pt>
                      <c:pt idx="71">
                        <c:v>3.0310000000000001</c:v>
                      </c:pt>
                      <c:pt idx="72">
                        <c:v>3.4729999999999999</c:v>
                      </c:pt>
                      <c:pt idx="73">
                        <c:v>3.05</c:v>
                      </c:pt>
                      <c:pt idx="74">
                        <c:v>1.5589999999999999</c:v>
                      </c:pt>
                      <c:pt idx="75">
                        <c:v>0.9817499999999999</c:v>
                      </c:pt>
                      <c:pt idx="76">
                        <c:v>0.46925</c:v>
                      </c:pt>
                      <c:pt idx="77">
                        <c:v>0.44624999999999998</c:v>
                      </c:pt>
                      <c:pt idx="78">
                        <c:v>0.51475000000000004</c:v>
                      </c:pt>
                      <c:pt idx="79">
                        <c:v>0.51575000000000004</c:v>
                      </c:pt>
                      <c:pt idx="80">
                        <c:v>0.51875000000000004</c:v>
                      </c:pt>
                      <c:pt idx="81">
                        <c:v>0.51975000000000005</c:v>
                      </c:pt>
                      <c:pt idx="82">
                        <c:v>0.51975000000000005</c:v>
                      </c:pt>
                      <c:pt idx="83">
                        <c:v>0.52375000000000005</c:v>
                      </c:pt>
                      <c:pt idx="84">
                        <c:v>0.81749999999999901</c:v>
                      </c:pt>
                      <c:pt idx="85">
                        <c:v>0.79924999999999891</c:v>
                      </c:pt>
                      <c:pt idx="86">
                        <c:v>0.78099999999999881</c:v>
                      </c:pt>
                      <c:pt idx="87">
                        <c:v>0.76274999999999871</c:v>
                      </c:pt>
                      <c:pt idx="88">
                        <c:v>0.74449999999999861</c:v>
                      </c:pt>
                      <c:pt idx="89">
                        <c:v>0.72624999999999851</c:v>
                      </c:pt>
                      <c:pt idx="90">
                        <c:v>0.70799999999999841</c:v>
                      </c:pt>
                      <c:pt idx="91">
                        <c:v>0.68974999999999831</c:v>
                      </c:pt>
                      <c:pt idx="92">
                        <c:v>7.775E-2</c:v>
                      </c:pt>
                      <c:pt idx="93">
                        <c:v>7.775E-2</c:v>
                      </c:pt>
                      <c:pt idx="94">
                        <c:v>6.8750000000000006E-2</c:v>
                      </c:pt>
                      <c:pt idx="95">
                        <c:v>6.5750000000000003E-2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20C-43D8-A4D8-9B6ACA7CC5C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Říjen!$O$1:$O$2</c15:sqref>
                        </c15:formulaRef>
                      </c:ext>
                    </c:extLst>
                    <c:strCache>
                      <c:ptCount val="2"/>
                      <c:pt idx="0">
                        <c:v>Vybíjení (Brutto)</c:v>
                      </c:pt>
                      <c:pt idx="1">
                        <c:v>kWh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Říjen!$B$3:$B$98</c15:sqref>
                        </c15:formulaRef>
                      </c:ext>
                    </c:extLst>
                    <c:numCache>
                      <c:formatCode>h:mm;@</c:formatCode>
                      <c:ptCount val="96"/>
                      <c:pt idx="0">
                        <c:v>0</c:v>
                      </c:pt>
                      <c:pt idx="1">
                        <c:v>1.0416666666666666E-2</c:v>
                      </c:pt>
                      <c:pt idx="2">
                        <c:v>2.0833333333333332E-2</c:v>
                      </c:pt>
                      <c:pt idx="3">
                        <c:v>3.125E-2</c:v>
                      </c:pt>
                      <c:pt idx="4">
                        <c:v>4.1666666666666664E-2</c:v>
                      </c:pt>
                      <c:pt idx="5">
                        <c:v>5.2083333333333329E-2</c:v>
                      </c:pt>
                      <c:pt idx="6">
                        <c:v>6.2499999999999993E-2</c:v>
                      </c:pt>
                      <c:pt idx="7">
                        <c:v>7.2916666666666657E-2</c:v>
                      </c:pt>
                      <c:pt idx="8">
                        <c:v>8.3333333333333329E-2</c:v>
                      </c:pt>
                      <c:pt idx="9">
                        <c:v>9.375E-2</c:v>
                      </c:pt>
                      <c:pt idx="10">
                        <c:v>0.10416666666666667</c:v>
                      </c:pt>
                      <c:pt idx="11">
                        <c:v>0.11458333333333334</c:v>
                      </c:pt>
                      <c:pt idx="12">
                        <c:v>0.125</c:v>
                      </c:pt>
                      <c:pt idx="13">
                        <c:v>0.13541666666666666</c:v>
                      </c:pt>
                      <c:pt idx="14">
                        <c:v>0.14583333333333331</c:v>
                      </c:pt>
                      <c:pt idx="15">
                        <c:v>0.15624999999999997</c:v>
                      </c:pt>
                      <c:pt idx="16">
                        <c:v>0.16666666666666663</c:v>
                      </c:pt>
                      <c:pt idx="17">
                        <c:v>0.17708333333333329</c:v>
                      </c:pt>
                      <c:pt idx="18">
                        <c:v>0.18749999999999994</c:v>
                      </c:pt>
                      <c:pt idx="19">
                        <c:v>0.1979166666666666</c:v>
                      </c:pt>
                      <c:pt idx="20">
                        <c:v>0.20833333333333326</c:v>
                      </c:pt>
                      <c:pt idx="21">
                        <c:v>0.21874999999999992</c:v>
                      </c:pt>
                      <c:pt idx="22">
                        <c:v>0.22916666666666657</c:v>
                      </c:pt>
                      <c:pt idx="23">
                        <c:v>0.23958333333333323</c:v>
                      </c:pt>
                      <c:pt idx="24">
                        <c:v>0.24999999999999989</c:v>
                      </c:pt>
                      <c:pt idx="25">
                        <c:v>0.26041666666666657</c:v>
                      </c:pt>
                      <c:pt idx="26">
                        <c:v>0.27083333333333326</c:v>
                      </c:pt>
                      <c:pt idx="27">
                        <c:v>0.28124999999999994</c:v>
                      </c:pt>
                      <c:pt idx="28">
                        <c:v>0.29166666666666663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0.33333333333333337</c:v>
                      </c:pt>
                      <c:pt idx="33">
                        <c:v>0.34375000000000006</c:v>
                      </c:pt>
                      <c:pt idx="34">
                        <c:v>0.35416666666666674</c:v>
                      </c:pt>
                      <c:pt idx="35">
                        <c:v>0.36458333333333343</c:v>
                      </c:pt>
                      <c:pt idx="36">
                        <c:v>0.37500000000000011</c:v>
                      </c:pt>
                      <c:pt idx="37">
                        <c:v>0.3854166666666668</c:v>
                      </c:pt>
                      <c:pt idx="38">
                        <c:v>0.39583333333333348</c:v>
                      </c:pt>
                      <c:pt idx="39">
                        <c:v>0.40625000000000017</c:v>
                      </c:pt>
                      <c:pt idx="40">
                        <c:v>0.41666666666666685</c:v>
                      </c:pt>
                      <c:pt idx="41">
                        <c:v>0.42708333333333354</c:v>
                      </c:pt>
                      <c:pt idx="42">
                        <c:v>0.43750000000000022</c:v>
                      </c:pt>
                      <c:pt idx="43">
                        <c:v>0.44791666666666691</c:v>
                      </c:pt>
                      <c:pt idx="44">
                        <c:v>0.45833333333333359</c:v>
                      </c:pt>
                      <c:pt idx="45">
                        <c:v>0.46875000000000028</c:v>
                      </c:pt>
                      <c:pt idx="46">
                        <c:v>0.47916666666666696</c:v>
                      </c:pt>
                      <c:pt idx="47">
                        <c:v>0.48958333333333365</c:v>
                      </c:pt>
                      <c:pt idx="48">
                        <c:v>0.50000000000000033</c:v>
                      </c:pt>
                      <c:pt idx="49">
                        <c:v>0.51041666666666696</c:v>
                      </c:pt>
                      <c:pt idx="50">
                        <c:v>0.52083333333333359</c:v>
                      </c:pt>
                      <c:pt idx="51">
                        <c:v>0.53125000000000022</c:v>
                      </c:pt>
                      <c:pt idx="52">
                        <c:v>0.54166666666666685</c:v>
                      </c:pt>
                      <c:pt idx="53">
                        <c:v>0.55208333333333348</c:v>
                      </c:pt>
                      <c:pt idx="54">
                        <c:v>0.56250000000000011</c:v>
                      </c:pt>
                      <c:pt idx="55">
                        <c:v>0.57291666666666674</c:v>
                      </c:pt>
                      <c:pt idx="56">
                        <c:v>0.58333333333333337</c:v>
                      </c:pt>
                      <c:pt idx="57">
                        <c:v>0.59375</c:v>
                      </c:pt>
                      <c:pt idx="58">
                        <c:v>0.60416666666666663</c:v>
                      </c:pt>
                      <c:pt idx="59">
                        <c:v>0.61458333333333326</c:v>
                      </c:pt>
                      <c:pt idx="60">
                        <c:v>0.62499999999999989</c:v>
                      </c:pt>
                      <c:pt idx="61">
                        <c:v>0.63541666666666652</c:v>
                      </c:pt>
                      <c:pt idx="62">
                        <c:v>0.64583333333333315</c:v>
                      </c:pt>
                      <c:pt idx="63">
                        <c:v>0.65624999999999978</c:v>
                      </c:pt>
                      <c:pt idx="64">
                        <c:v>0.66666666666666641</c:v>
                      </c:pt>
                      <c:pt idx="65">
                        <c:v>0.67708333333333304</c:v>
                      </c:pt>
                      <c:pt idx="66">
                        <c:v>0.68749999999999967</c:v>
                      </c:pt>
                      <c:pt idx="67">
                        <c:v>0.6979166666666663</c:v>
                      </c:pt>
                      <c:pt idx="68">
                        <c:v>0.70833333333333293</c:v>
                      </c:pt>
                      <c:pt idx="69">
                        <c:v>0.71874999999999956</c:v>
                      </c:pt>
                      <c:pt idx="70">
                        <c:v>0.72916666666666619</c:v>
                      </c:pt>
                      <c:pt idx="71">
                        <c:v>0.73958333333333282</c:v>
                      </c:pt>
                      <c:pt idx="72">
                        <c:v>0.74999999999999944</c:v>
                      </c:pt>
                      <c:pt idx="73">
                        <c:v>0.76041666666666607</c:v>
                      </c:pt>
                      <c:pt idx="74">
                        <c:v>0.7708333333333327</c:v>
                      </c:pt>
                      <c:pt idx="75">
                        <c:v>0.78124999999999933</c:v>
                      </c:pt>
                      <c:pt idx="76">
                        <c:v>0.79166666666666596</c:v>
                      </c:pt>
                      <c:pt idx="77">
                        <c:v>0.80208333333333259</c:v>
                      </c:pt>
                      <c:pt idx="78">
                        <c:v>0.81249999999999922</c:v>
                      </c:pt>
                      <c:pt idx="79">
                        <c:v>0.82291666666666585</c:v>
                      </c:pt>
                      <c:pt idx="80">
                        <c:v>0.83333333333333248</c:v>
                      </c:pt>
                      <c:pt idx="81">
                        <c:v>0.84374999999999911</c:v>
                      </c:pt>
                      <c:pt idx="82">
                        <c:v>0.85416666666666574</c:v>
                      </c:pt>
                      <c:pt idx="83">
                        <c:v>0.86458333333333237</c:v>
                      </c:pt>
                      <c:pt idx="84">
                        <c:v>0.874999999999999</c:v>
                      </c:pt>
                      <c:pt idx="85">
                        <c:v>0.88541666666666563</c:v>
                      </c:pt>
                      <c:pt idx="86">
                        <c:v>0.89583333333333226</c:v>
                      </c:pt>
                      <c:pt idx="87">
                        <c:v>0.90624999999999889</c:v>
                      </c:pt>
                      <c:pt idx="88">
                        <c:v>0.91666666666666552</c:v>
                      </c:pt>
                      <c:pt idx="89">
                        <c:v>0.92708333333333215</c:v>
                      </c:pt>
                      <c:pt idx="90">
                        <c:v>0.93749999999999878</c:v>
                      </c:pt>
                      <c:pt idx="91">
                        <c:v>0.94791666666666541</c:v>
                      </c:pt>
                      <c:pt idx="92">
                        <c:v>0.95833333333333204</c:v>
                      </c:pt>
                      <c:pt idx="93">
                        <c:v>0.96874999999999867</c:v>
                      </c:pt>
                      <c:pt idx="94">
                        <c:v>0.9791666666666653</c:v>
                      </c:pt>
                      <c:pt idx="95">
                        <c:v>0.98958333333333193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Říjen!$O$3:$O$98</c15:sqref>
                        </c15:formulaRef>
                      </c:ext>
                    </c:extLst>
                    <c:numCache>
                      <c:formatCode>0.000</c:formatCode>
                      <c:ptCount val="96"/>
                      <c:pt idx="0">
                        <c:v>6.9722222222222227E-2</c:v>
                      </c:pt>
                      <c:pt idx="1">
                        <c:v>6.9722222222222227E-2</c:v>
                      </c:pt>
                      <c:pt idx="2">
                        <c:v>6.9722222222222227E-2</c:v>
                      </c:pt>
                      <c:pt idx="3">
                        <c:v>6.9722222222222227E-2</c:v>
                      </c:pt>
                      <c:pt idx="4">
                        <c:v>6.5555555555555547E-2</c:v>
                      </c:pt>
                      <c:pt idx="5">
                        <c:v>6.5555555555555547E-2</c:v>
                      </c:pt>
                      <c:pt idx="6">
                        <c:v>6.5555555555555547E-2</c:v>
                      </c:pt>
                      <c:pt idx="7">
                        <c:v>6.5555555555555547E-2</c:v>
                      </c:pt>
                      <c:pt idx="8">
                        <c:v>6.5555555555555547E-2</c:v>
                      </c:pt>
                      <c:pt idx="9">
                        <c:v>4.8888888888888885E-2</c:v>
                      </c:pt>
                      <c:pt idx="10">
                        <c:v>4.8888888888888885E-2</c:v>
                      </c:pt>
                      <c:pt idx="11">
                        <c:v>4.8888888888888885E-2</c:v>
                      </c:pt>
                      <c:pt idx="12">
                        <c:v>4.8888888888888885E-2</c:v>
                      </c:pt>
                      <c:pt idx="13">
                        <c:v>4.8888888888888885E-2</c:v>
                      </c:pt>
                      <c:pt idx="14">
                        <c:v>4.8888888888888885E-2</c:v>
                      </c:pt>
                      <c:pt idx="15">
                        <c:v>4.8888888888888885E-2</c:v>
                      </c:pt>
                      <c:pt idx="16">
                        <c:v>4.8888888888888885E-2</c:v>
                      </c:pt>
                      <c:pt idx="17">
                        <c:v>4.8888888888888885E-2</c:v>
                      </c:pt>
                      <c:pt idx="18">
                        <c:v>4.8888888888888885E-2</c:v>
                      </c:pt>
                      <c:pt idx="19">
                        <c:v>4.8888888888888885E-2</c:v>
                      </c:pt>
                      <c:pt idx="20">
                        <c:v>4.8888888888888885E-2</c:v>
                      </c:pt>
                      <c:pt idx="21">
                        <c:v>4.8888888888888885E-2</c:v>
                      </c:pt>
                      <c:pt idx="22">
                        <c:v>4.7777777777777773E-2</c:v>
                      </c:pt>
                      <c:pt idx="23">
                        <c:v>4.7777777777777773E-2</c:v>
                      </c:pt>
                      <c:pt idx="24">
                        <c:v>5.5555555555555559E-2</c:v>
                      </c:pt>
                      <c:pt idx="25">
                        <c:v>5.333333333333333E-2</c:v>
                      </c:pt>
                      <c:pt idx="26">
                        <c:v>0.47777777777777775</c:v>
                      </c:pt>
                      <c:pt idx="27">
                        <c:v>0.68722222222222229</c:v>
                      </c:pt>
                      <c:pt idx="28">
                        <c:v>2.5511111111111107</c:v>
                      </c:pt>
                      <c:pt idx="29">
                        <c:v>2.9444444444444442</c:v>
                      </c:pt>
                      <c:pt idx="30">
                        <c:v>2.57</c:v>
                      </c:pt>
                      <c:pt idx="31">
                        <c:v>0.40666666666666662</c:v>
                      </c:pt>
                      <c:pt idx="32">
                        <c:v>0.37888888888888883</c:v>
                      </c:pt>
                      <c:pt idx="33">
                        <c:v>2.0277777777777777E-2</c:v>
                      </c:pt>
                      <c:pt idx="34">
                        <c:v>2.0277777777777777E-2</c:v>
                      </c:pt>
                      <c:pt idx="35">
                        <c:v>2.0277777777777777E-2</c:v>
                      </c:pt>
                      <c:pt idx="36">
                        <c:v>2.0277777777777777E-2</c:v>
                      </c:pt>
                      <c:pt idx="37">
                        <c:v>2.0277777777777777E-2</c:v>
                      </c:pt>
                      <c:pt idx="38">
                        <c:v>2.0277777777777777E-2</c:v>
                      </c:pt>
                      <c:pt idx="39">
                        <c:v>2.0277777777777777E-2</c:v>
                      </c:pt>
                      <c:pt idx="40">
                        <c:v>2.0277777777777777E-2</c:v>
                      </c:pt>
                      <c:pt idx="41">
                        <c:v>2.0277777777777777E-2</c:v>
                      </c:pt>
                      <c:pt idx="42">
                        <c:v>2.0277777777777777E-2</c:v>
                      </c:pt>
                      <c:pt idx="43">
                        <c:v>2.0277777777777777E-2</c:v>
                      </c:pt>
                      <c:pt idx="44">
                        <c:v>2.0277777777777777E-2</c:v>
                      </c:pt>
                      <c:pt idx="45">
                        <c:v>2.0277777777777777E-2</c:v>
                      </c:pt>
                      <c:pt idx="46">
                        <c:v>2.0277777777777777E-2</c:v>
                      </c:pt>
                      <c:pt idx="47">
                        <c:v>2.0277777777777777E-2</c:v>
                      </c:pt>
                      <c:pt idx="48">
                        <c:v>2.0277777777777777E-2</c:v>
                      </c:pt>
                      <c:pt idx="49">
                        <c:v>2.0277777777777777E-2</c:v>
                      </c:pt>
                      <c:pt idx="50">
                        <c:v>2.0277777777777777E-2</c:v>
                      </c:pt>
                      <c:pt idx="51">
                        <c:v>2.0277777777777777E-2</c:v>
                      </c:pt>
                      <c:pt idx="52">
                        <c:v>2.0277777777777777E-2</c:v>
                      </c:pt>
                      <c:pt idx="53">
                        <c:v>2.0277777777777777E-2</c:v>
                      </c:pt>
                      <c:pt idx="54">
                        <c:v>2.0277777777777777E-2</c:v>
                      </c:pt>
                      <c:pt idx="55">
                        <c:v>2.0277777777777777E-2</c:v>
                      </c:pt>
                      <c:pt idx="56">
                        <c:v>2.0277777777777777E-2</c:v>
                      </c:pt>
                      <c:pt idx="57">
                        <c:v>2.0277777777777777E-2</c:v>
                      </c:pt>
                      <c:pt idx="58">
                        <c:v>2.0277777777777777E-2</c:v>
                      </c:pt>
                      <c:pt idx="59">
                        <c:v>2.0277777777777777E-2</c:v>
                      </c:pt>
                      <c:pt idx="60">
                        <c:v>2.0277777777777777E-2</c:v>
                      </c:pt>
                      <c:pt idx="61">
                        <c:v>2.0277777777777777E-2</c:v>
                      </c:pt>
                      <c:pt idx="62">
                        <c:v>2.0277777777777777E-2</c:v>
                      </c:pt>
                      <c:pt idx="63">
                        <c:v>2.0277777777777777E-2</c:v>
                      </c:pt>
                      <c:pt idx="64">
                        <c:v>2.0277777777777777E-2</c:v>
                      </c:pt>
                      <c:pt idx="65">
                        <c:v>2.0277777777777777E-2</c:v>
                      </c:pt>
                      <c:pt idx="66">
                        <c:v>0.14666666666666667</c:v>
                      </c:pt>
                      <c:pt idx="67">
                        <c:v>0.26500000000000001</c:v>
                      </c:pt>
                      <c:pt idx="68">
                        <c:v>0.75444444444444436</c:v>
                      </c:pt>
                      <c:pt idx="69">
                        <c:v>0.80333333333333323</c:v>
                      </c:pt>
                      <c:pt idx="70">
                        <c:v>2.5066666666666668</c:v>
                      </c:pt>
                      <c:pt idx="71">
                        <c:v>3.367777777777778</c:v>
                      </c:pt>
                      <c:pt idx="72">
                        <c:v>3.8588888888888886</c:v>
                      </c:pt>
                      <c:pt idx="73">
                        <c:v>3.3888888888888884</c:v>
                      </c:pt>
                      <c:pt idx="74">
                        <c:v>1.7322222222222221</c:v>
                      </c:pt>
                      <c:pt idx="75">
                        <c:v>1.0908333333333331</c:v>
                      </c:pt>
                      <c:pt idx="76">
                        <c:v>0.5213888888888889</c:v>
                      </c:pt>
                      <c:pt idx="77">
                        <c:v>0.49583333333333329</c:v>
                      </c:pt>
                      <c:pt idx="78">
                        <c:v>0.57194444444444448</c:v>
                      </c:pt>
                      <c:pt idx="79">
                        <c:v>0.57305555555555554</c:v>
                      </c:pt>
                      <c:pt idx="80">
                        <c:v>0.57638888888888895</c:v>
                      </c:pt>
                      <c:pt idx="81">
                        <c:v>0.57750000000000001</c:v>
                      </c:pt>
                      <c:pt idx="82">
                        <c:v>0.57750000000000001</c:v>
                      </c:pt>
                      <c:pt idx="83">
                        <c:v>0.58194444444444449</c:v>
                      </c:pt>
                      <c:pt idx="84">
                        <c:v>0.90833333333333222</c:v>
                      </c:pt>
                      <c:pt idx="85">
                        <c:v>0.88805555555555427</c:v>
                      </c:pt>
                      <c:pt idx="86">
                        <c:v>0.86777777777777643</c:v>
                      </c:pt>
                      <c:pt idx="87">
                        <c:v>0.84749999999999859</c:v>
                      </c:pt>
                      <c:pt idx="88">
                        <c:v>0.82722222222222064</c:v>
                      </c:pt>
                      <c:pt idx="89">
                        <c:v>0.8069444444444428</c:v>
                      </c:pt>
                      <c:pt idx="90">
                        <c:v>0.78666666666666485</c:v>
                      </c:pt>
                      <c:pt idx="91">
                        <c:v>0.76638888888888701</c:v>
                      </c:pt>
                      <c:pt idx="92">
                        <c:v>8.638888888888889E-2</c:v>
                      </c:pt>
                      <c:pt idx="93">
                        <c:v>8.638888888888889E-2</c:v>
                      </c:pt>
                      <c:pt idx="94">
                        <c:v>7.6388888888888895E-2</c:v>
                      </c:pt>
                      <c:pt idx="95">
                        <c:v>7.3055555555555554E-2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20C-43D8-A4D8-9B6ACA7CC5C2}"/>
                  </c:ext>
                </c:extLst>
              </c15:ser>
            </c15:filteredLineSeries>
          </c:ext>
        </c:extLst>
      </c:lineChart>
      <c:catAx>
        <c:axId val="577970175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40340239"/>
        <c:crosses val="autoZero"/>
        <c:auto val="1"/>
        <c:lblAlgn val="ctr"/>
        <c:lblOffset val="100"/>
        <c:noMultiLvlLbl val="0"/>
      </c:catAx>
      <c:valAx>
        <c:axId val="5403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779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11206</xdr:rowOff>
    </xdr:from>
    <xdr:to>
      <xdr:col>21</xdr:col>
      <xdr:colOff>11205</xdr:colOff>
      <xdr:row>34</xdr:row>
      <xdr:rowOff>179294</xdr:rowOff>
    </xdr:to>
    <xdr:graphicFrame macro="">
      <xdr:nvGraphicFramePr>
        <xdr:cNvPr id="20" name="Graf 19">
          <a:extLst>
            <a:ext uri="{FF2B5EF4-FFF2-40B4-BE49-F238E27FC236}">
              <a16:creationId xmlns:a16="http://schemas.microsoft.com/office/drawing/2014/main" id="{29FD91CC-B7E6-4B8B-A5AD-72DA6BCD9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190499</xdr:rowOff>
    </xdr:from>
    <xdr:to>
      <xdr:col>20</xdr:col>
      <xdr:colOff>598713</xdr:colOff>
      <xdr:row>67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2814DDB-9BEE-470B-B38D-99D26C070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0</xdr:rowOff>
    </xdr:from>
    <xdr:to>
      <xdr:col>21</xdr:col>
      <xdr:colOff>13606</xdr:colOff>
      <xdr:row>96</xdr:row>
      <xdr:rowOff>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31872434-0777-4E83-9634-0672396AD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97</xdr:row>
      <xdr:rowOff>176893</xdr:rowOff>
    </xdr:from>
    <xdr:to>
      <xdr:col>21</xdr:col>
      <xdr:colOff>13607</xdr:colOff>
      <xdr:row>126</xdr:row>
      <xdr:rowOff>40821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395A8E51-5574-4A10-A807-43E5874D7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128</xdr:row>
      <xdr:rowOff>1</xdr:rowOff>
    </xdr:from>
    <xdr:to>
      <xdr:col>21</xdr:col>
      <xdr:colOff>13607</xdr:colOff>
      <xdr:row>156</xdr:row>
      <xdr:rowOff>54429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154C8930-1323-40BA-97DF-E2BC8C2DD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157</xdr:row>
      <xdr:rowOff>176893</xdr:rowOff>
    </xdr:from>
    <xdr:to>
      <xdr:col>21</xdr:col>
      <xdr:colOff>13607</xdr:colOff>
      <xdr:row>186</xdr:row>
      <xdr:rowOff>40821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F95DB81-B021-42C1-8A57-9F78AD144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187</xdr:row>
      <xdr:rowOff>176893</xdr:rowOff>
    </xdr:from>
    <xdr:to>
      <xdr:col>21</xdr:col>
      <xdr:colOff>13607</xdr:colOff>
      <xdr:row>216</xdr:row>
      <xdr:rowOff>40821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2982AB23-E56D-40A7-A1DF-C4777E5EA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218</xdr:row>
      <xdr:rowOff>13607</xdr:rowOff>
    </xdr:from>
    <xdr:to>
      <xdr:col>21</xdr:col>
      <xdr:colOff>13607</xdr:colOff>
      <xdr:row>246</xdr:row>
      <xdr:rowOff>68035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780AED38-64E2-4140-B319-FE4AABDC3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249</xdr:row>
      <xdr:rowOff>13607</xdr:rowOff>
    </xdr:from>
    <xdr:to>
      <xdr:col>21</xdr:col>
      <xdr:colOff>13607</xdr:colOff>
      <xdr:row>277</xdr:row>
      <xdr:rowOff>68035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D4C026B6-6FAE-4B6C-9CC9-46906F494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280</xdr:row>
      <xdr:rowOff>0</xdr:rowOff>
    </xdr:from>
    <xdr:to>
      <xdr:col>21</xdr:col>
      <xdr:colOff>13607</xdr:colOff>
      <xdr:row>308</xdr:row>
      <xdr:rowOff>54428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7EA3D8E3-FCC4-4581-B932-EEA525699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310</xdr:row>
      <xdr:rowOff>163285</xdr:rowOff>
    </xdr:from>
    <xdr:to>
      <xdr:col>21</xdr:col>
      <xdr:colOff>13607</xdr:colOff>
      <xdr:row>339</xdr:row>
      <xdr:rowOff>27213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09AEA02F-6893-461E-A4BF-A59D79FA0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340</xdr:row>
      <xdr:rowOff>176893</xdr:rowOff>
    </xdr:from>
    <xdr:to>
      <xdr:col>21</xdr:col>
      <xdr:colOff>13607</xdr:colOff>
      <xdr:row>369</xdr:row>
      <xdr:rowOff>40821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A2DAD971-9176-40FD-B5CB-E79157402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372</xdr:row>
      <xdr:rowOff>13607</xdr:rowOff>
    </xdr:from>
    <xdr:to>
      <xdr:col>21</xdr:col>
      <xdr:colOff>13607</xdr:colOff>
      <xdr:row>400</xdr:row>
      <xdr:rowOff>68035</xdr:rowOff>
    </xdr:to>
    <xdr:graphicFrame macro="">
      <xdr:nvGraphicFramePr>
        <xdr:cNvPr id="13" name="Graf 12">
          <a:extLst>
            <a:ext uri="{FF2B5EF4-FFF2-40B4-BE49-F238E27FC236}">
              <a16:creationId xmlns:a16="http://schemas.microsoft.com/office/drawing/2014/main" id="{C9298C7D-B06C-43F9-A2C9-AE2045BA2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403</xdr:row>
      <xdr:rowOff>0</xdr:rowOff>
    </xdr:from>
    <xdr:to>
      <xdr:col>21</xdr:col>
      <xdr:colOff>13607</xdr:colOff>
      <xdr:row>431</xdr:row>
      <xdr:rowOff>54428</xdr:rowOff>
    </xdr:to>
    <xdr:graphicFrame macro="">
      <xdr:nvGraphicFramePr>
        <xdr:cNvPr id="14" name="Graf 13">
          <a:extLst>
            <a:ext uri="{FF2B5EF4-FFF2-40B4-BE49-F238E27FC236}">
              <a16:creationId xmlns:a16="http://schemas.microsoft.com/office/drawing/2014/main" id="{FA9FAC0A-AA85-43CC-B92D-3AC87E74F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434</xdr:row>
      <xdr:rowOff>0</xdr:rowOff>
    </xdr:from>
    <xdr:to>
      <xdr:col>21</xdr:col>
      <xdr:colOff>13607</xdr:colOff>
      <xdr:row>462</xdr:row>
      <xdr:rowOff>54428</xdr:rowOff>
    </xdr:to>
    <xdr:graphicFrame macro="">
      <xdr:nvGraphicFramePr>
        <xdr:cNvPr id="15" name="Graf 14">
          <a:extLst>
            <a:ext uri="{FF2B5EF4-FFF2-40B4-BE49-F238E27FC236}">
              <a16:creationId xmlns:a16="http://schemas.microsoft.com/office/drawing/2014/main" id="{EF117BCB-1DF6-41DB-8CDF-2F7D7172D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465</xdr:row>
      <xdr:rowOff>0</xdr:rowOff>
    </xdr:from>
    <xdr:to>
      <xdr:col>21</xdr:col>
      <xdr:colOff>13607</xdr:colOff>
      <xdr:row>493</xdr:row>
      <xdr:rowOff>54428</xdr:rowOff>
    </xdr:to>
    <xdr:graphicFrame macro="">
      <xdr:nvGraphicFramePr>
        <xdr:cNvPr id="16" name="Graf 15">
          <a:extLst>
            <a:ext uri="{FF2B5EF4-FFF2-40B4-BE49-F238E27FC236}">
              <a16:creationId xmlns:a16="http://schemas.microsoft.com/office/drawing/2014/main" id="{E0392273-858A-4B87-AB40-1CBD9B09D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9525</xdr:colOff>
      <xdr:row>26</xdr:row>
      <xdr:rowOff>28574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B6136C43-6F32-465A-9937-BB5DF88A5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171450</xdr:rowOff>
    </xdr:from>
    <xdr:to>
      <xdr:col>18</xdr:col>
      <xdr:colOff>28574</xdr:colOff>
      <xdr:row>52</xdr:row>
      <xdr:rowOff>152400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8BD7878-ACA5-4989-9D60-124A96CEC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18</xdr:col>
      <xdr:colOff>28574</xdr:colOff>
      <xdr:row>79</xdr:row>
      <xdr:rowOff>174427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D431CBC9-3719-4DD5-A604-E3F463C59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18</xdr:col>
      <xdr:colOff>28574</xdr:colOff>
      <xdr:row>106</xdr:row>
      <xdr:rowOff>174426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7DDC6AF3-C585-45D6-B94D-115ABF351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109</xdr:row>
      <xdr:rowOff>0</xdr:rowOff>
    </xdr:from>
    <xdr:to>
      <xdr:col>18</xdr:col>
      <xdr:colOff>28574</xdr:colOff>
      <xdr:row>133</xdr:row>
      <xdr:rowOff>174426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F4401C3D-BE46-41CF-84B1-ECD2A7875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136</xdr:row>
      <xdr:rowOff>0</xdr:rowOff>
    </xdr:from>
    <xdr:to>
      <xdr:col>18</xdr:col>
      <xdr:colOff>28574</xdr:colOff>
      <xdr:row>160</xdr:row>
      <xdr:rowOff>174427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36DEBB34-D27E-4CC6-9344-05FDB9904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163</xdr:row>
      <xdr:rowOff>0</xdr:rowOff>
    </xdr:from>
    <xdr:to>
      <xdr:col>18</xdr:col>
      <xdr:colOff>28574</xdr:colOff>
      <xdr:row>187</xdr:row>
      <xdr:rowOff>174427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A04ADFA1-9ADB-4F07-B3AA-DDCF2FEA1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190</xdr:row>
      <xdr:rowOff>0</xdr:rowOff>
    </xdr:from>
    <xdr:to>
      <xdr:col>18</xdr:col>
      <xdr:colOff>28574</xdr:colOff>
      <xdr:row>214</xdr:row>
      <xdr:rowOff>174427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E3E4F9F0-FDB6-41F6-87D4-23D749DCF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217</xdr:row>
      <xdr:rowOff>0</xdr:rowOff>
    </xdr:from>
    <xdr:to>
      <xdr:col>18</xdr:col>
      <xdr:colOff>28574</xdr:colOff>
      <xdr:row>241</xdr:row>
      <xdr:rowOff>171450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DF79C512-5959-47E4-A484-8F2F13C74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244</xdr:row>
      <xdr:rowOff>0</xdr:rowOff>
    </xdr:from>
    <xdr:to>
      <xdr:col>18</xdr:col>
      <xdr:colOff>28574</xdr:colOff>
      <xdr:row>268</xdr:row>
      <xdr:rowOff>171450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27E7503D-0CB3-4F93-AE44-082E14127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271</xdr:row>
      <xdr:rowOff>0</xdr:rowOff>
    </xdr:from>
    <xdr:to>
      <xdr:col>18</xdr:col>
      <xdr:colOff>28574</xdr:colOff>
      <xdr:row>295</xdr:row>
      <xdr:rowOff>171450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159EC818-54AD-4AAC-B1C3-C2B276FC0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298</xdr:row>
      <xdr:rowOff>0</xdr:rowOff>
    </xdr:from>
    <xdr:to>
      <xdr:col>18</xdr:col>
      <xdr:colOff>28574</xdr:colOff>
      <xdr:row>322</xdr:row>
      <xdr:rowOff>171450</xdr:rowOff>
    </xdr:to>
    <xdr:graphicFrame macro="">
      <xdr:nvGraphicFramePr>
        <xdr:cNvPr id="13" name="Graf 12">
          <a:extLst>
            <a:ext uri="{FF2B5EF4-FFF2-40B4-BE49-F238E27FC236}">
              <a16:creationId xmlns:a16="http://schemas.microsoft.com/office/drawing/2014/main" id="{97DA1045-4816-4FD3-9845-34BA3C72A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325</xdr:row>
      <xdr:rowOff>0</xdr:rowOff>
    </xdr:from>
    <xdr:to>
      <xdr:col>18</xdr:col>
      <xdr:colOff>28574</xdr:colOff>
      <xdr:row>349</xdr:row>
      <xdr:rowOff>171450</xdr:rowOff>
    </xdr:to>
    <xdr:graphicFrame macro="">
      <xdr:nvGraphicFramePr>
        <xdr:cNvPr id="14" name="Graf 13">
          <a:extLst>
            <a:ext uri="{FF2B5EF4-FFF2-40B4-BE49-F238E27FC236}">
              <a16:creationId xmlns:a16="http://schemas.microsoft.com/office/drawing/2014/main" id="{5A6D690E-8D7D-4D65-8B01-7E8100AE6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352</xdr:row>
      <xdr:rowOff>0</xdr:rowOff>
    </xdr:from>
    <xdr:to>
      <xdr:col>18</xdr:col>
      <xdr:colOff>28574</xdr:colOff>
      <xdr:row>376</xdr:row>
      <xdr:rowOff>171450</xdr:rowOff>
    </xdr:to>
    <xdr:graphicFrame macro="">
      <xdr:nvGraphicFramePr>
        <xdr:cNvPr id="15" name="Graf 14">
          <a:extLst>
            <a:ext uri="{FF2B5EF4-FFF2-40B4-BE49-F238E27FC236}">
              <a16:creationId xmlns:a16="http://schemas.microsoft.com/office/drawing/2014/main" id="{1535E7FA-170E-481E-8F8D-5BA3B6056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379</xdr:row>
      <xdr:rowOff>0</xdr:rowOff>
    </xdr:from>
    <xdr:to>
      <xdr:col>18</xdr:col>
      <xdr:colOff>28574</xdr:colOff>
      <xdr:row>403</xdr:row>
      <xdr:rowOff>171450</xdr:rowOff>
    </xdr:to>
    <xdr:graphicFrame macro="">
      <xdr:nvGraphicFramePr>
        <xdr:cNvPr id="16" name="Graf 15">
          <a:extLst>
            <a:ext uri="{FF2B5EF4-FFF2-40B4-BE49-F238E27FC236}">
              <a16:creationId xmlns:a16="http://schemas.microsoft.com/office/drawing/2014/main" id="{FF2842FF-CAB0-4BCA-823B-8DA1CD42B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406</xdr:row>
      <xdr:rowOff>0</xdr:rowOff>
    </xdr:from>
    <xdr:to>
      <xdr:col>18</xdr:col>
      <xdr:colOff>28574</xdr:colOff>
      <xdr:row>430</xdr:row>
      <xdr:rowOff>171450</xdr:rowOff>
    </xdr:to>
    <xdr:graphicFrame macro="">
      <xdr:nvGraphicFramePr>
        <xdr:cNvPr id="17" name="Graf 16">
          <a:extLst>
            <a:ext uri="{FF2B5EF4-FFF2-40B4-BE49-F238E27FC236}">
              <a16:creationId xmlns:a16="http://schemas.microsoft.com/office/drawing/2014/main" id="{3B701345-0330-48AB-8E8D-9C11E9698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28574</xdr:colOff>
      <xdr:row>27</xdr:row>
      <xdr:rowOff>28574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99070B86-D4D2-4EC2-9849-D98DA6F28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192767</xdr:rowOff>
    </xdr:from>
    <xdr:to>
      <xdr:col>18</xdr:col>
      <xdr:colOff>22678</xdr:colOff>
      <xdr:row>52</xdr:row>
      <xdr:rowOff>181428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D641102-650C-4F66-941B-229381381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18</xdr:col>
      <xdr:colOff>22678</xdr:colOff>
      <xdr:row>78</xdr:row>
      <xdr:rowOff>181429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BED2562-CFF2-4D68-BE8A-FBF575C50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18</xdr:col>
      <xdr:colOff>22678</xdr:colOff>
      <xdr:row>104</xdr:row>
      <xdr:rowOff>181429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23EBEE08-ADA1-40C0-8866-F8FC30380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18</xdr:col>
      <xdr:colOff>22678</xdr:colOff>
      <xdr:row>130</xdr:row>
      <xdr:rowOff>181430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784D5D60-030C-428A-A96C-E09D706CC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133</xdr:row>
      <xdr:rowOff>0</xdr:rowOff>
    </xdr:from>
    <xdr:to>
      <xdr:col>18</xdr:col>
      <xdr:colOff>22678</xdr:colOff>
      <xdr:row>156</xdr:row>
      <xdr:rowOff>181429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B0E87C04-00CA-4B3C-8883-AC5708C62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159</xdr:row>
      <xdr:rowOff>0</xdr:rowOff>
    </xdr:from>
    <xdr:to>
      <xdr:col>18</xdr:col>
      <xdr:colOff>22678</xdr:colOff>
      <xdr:row>182</xdr:row>
      <xdr:rowOff>181429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C34629C6-58D6-4BD2-8E0A-D72A7158D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185</xdr:row>
      <xdr:rowOff>0</xdr:rowOff>
    </xdr:from>
    <xdr:to>
      <xdr:col>18</xdr:col>
      <xdr:colOff>22678</xdr:colOff>
      <xdr:row>208</xdr:row>
      <xdr:rowOff>181430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7D9282B6-5B25-4280-A46D-5B5995B9B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211</xdr:row>
      <xdr:rowOff>0</xdr:rowOff>
    </xdr:from>
    <xdr:to>
      <xdr:col>18</xdr:col>
      <xdr:colOff>22678</xdr:colOff>
      <xdr:row>234</xdr:row>
      <xdr:rowOff>181429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D8EA7C48-C3ED-40F6-A323-762FD9942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237</xdr:row>
      <xdr:rowOff>0</xdr:rowOff>
    </xdr:from>
    <xdr:to>
      <xdr:col>18</xdr:col>
      <xdr:colOff>22678</xdr:colOff>
      <xdr:row>260</xdr:row>
      <xdr:rowOff>181428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27B9644B-ED73-46E2-830C-01E3DAC2F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263</xdr:row>
      <xdr:rowOff>0</xdr:rowOff>
    </xdr:from>
    <xdr:to>
      <xdr:col>18</xdr:col>
      <xdr:colOff>22678</xdr:colOff>
      <xdr:row>286</xdr:row>
      <xdr:rowOff>181428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687E7D86-DB17-4973-AA8F-C966E3F5A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289</xdr:row>
      <xdr:rowOff>0</xdr:rowOff>
    </xdr:from>
    <xdr:to>
      <xdr:col>18</xdr:col>
      <xdr:colOff>22678</xdr:colOff>
      <xdr:row>312</xdr:row>
      <xdr:rowOff>181428</xdr:rowOff>
    </xdr:to>
    <xdr:graphicFrame macro="">
      <xdr:nvGraphicFramePr>
        <xdr:cNvPr id="13" name="Graf 12">
          <a:extLst>
            <a:ext uri="{FF2B5EF4-FFF2-40B4-BE49-F238E27FC236}">
              <a16:creationId xmlns:a16="http://schemas.microsoft.com/office/drawing/2014/main" id="{A0A84F48-2A6C-4989-9354-6624C6C38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315</xdr:row>
      <xdr:rowOff>0</xdr:rowOff>
    </xdr:from>
    <xdr:to>
      <xdr:col>18</xdr:col>
      <xdr:colOff>22678</xdr:colOff>
      <xdr:row>338</xdr:row>
      <xdr:rowOff>181428</xdr:rowOff>
    </xdr:to>
    <xdr:graphicFrame macro="">
      <xdr:nvGraphicFramePr>
        <xdr:cNvPr id="14" name="Graf 13">
          <a:extLst>
            <a:ext uri="{FF2B5EF4-FFF2-40B4-BE49-F238E27FC236}">
              <a16:creationId xmlns:a16="http://schemas.microsoft.com/office/drawing/2014/main" id="{F49C3C1A-E242-4170-BEFA-2D66BDE52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341</xdr:row>
      <xdr:rowOff>0</xdr:rowOff>
    </xdr:from>
    <xdr:to>
      <xdr:col>18</xdr:col>
      <xdr:colOff>22678</xdr:colOff>
      <xdr:row>364</xdr:row>
      <xdr:rowOff>181428</xdr:rowOff>
    </xdr:to>
    <xdr:graphicFrame macro="">
      <xdr:nvGraphicFramePr>
        <xdr:cNvPr id="15" name="Graf 14">
          <a:extLst>
            <a:ext uri="{FF2B5EF4-FFF2-40B4-BE49-F238E27FC236}">
              <a16:creationId xmlns:a16="http://schemas.microsoft.com/office/drawing/2014/main" id="{BB18FD57-7E19-4B68-BC78-AF04022E4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367</xdr:row>
      <xdr:rowOff>0</xdr:rowOff>
    </xdr:from>
    <xdr:to>
      <xdr:col>18</xdr:col>
      <xdr:colOff>22678</xdr:colOff>
      <xdr:row>390</xdr:row>
      <xdr:rowOff>181428</xdr:rowOff>
    </xdr:to>
    <xdr:graphicFrame macro="">
      <xdr:nvGraphicFramePr>
        <xdr:cNvPr id="16" name="Graf 15">
          <a:extLst>
            <a:ext uri="{FF2B5EF4-FFF2-40B4-BE49-F238E27FC236}">
              <a16:creationId xmlns:a16="http://schemas.microsoft.com/office/drawing/2014/main" id="{0DF34091-5A5F-4977-8499-10EA0C484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393</xdr:row>
      <xdr:rowOff>0</xdr:rowOff>
    </xdr:from>
    <xdr:to>
      <xdr:col>18</xdr:col>
      <xdr:colOff>22678</xdr:colOff>
      <xdr:row>416</xdr:row>
      <xdr:rowOff>181428</xdr:rowOff>
    </xdr:to>
    <xdr:graphicFrame macro="">
      <xdr:nvGraphicFramePr>
        <xdr:cNvPr id="17" name="Graf 16">
          <a:extLst>
            <a:ext uri="{FF2B5EF4-FFF2-40B4-BE49-F238E27FC236}">
              <a16:creationId xmlns:a16="http://schemas.microsoft.com/office/drawing/2014/main" id="{92EF4D4B-D49B-46F9-897E-AD635466F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Míček" refreshedDate="46270.798861111114" createdVersion="8" refreshedVersion="8" minRefreshableVersion="3" recordCount="97" xr:uid="{F47B32C9-7521-4E1D-904C-6A53D9874A31}">
  <cacheSource type="worksheet">
    <worksheetSource ref="A1:P98" sheet="Leden"/>
  </cacheSource>
  <cacheFields count="18">
    <cacheField name="Datum" numFmtId="14">
      <sharedItems containsNonDate="0" containsDate="1" containsString="0" containsBlank="1" minDate="2026-01-01T00:00:00" maxDate="2026-01-02T00:00:00" count="2">
        <m/>
        <d v="2026-01-01T00:00:00"/>
      </sharedItems>
    </cacheField>
    <cacheField name="Čas" numFmtId="166">
      <sharedItems containsNonDate="0" containsDate="1" containsString="0" containsBlank="1" minDate="1899-12-30T00:00:00" maxDate="1899-12-31T00:00:00" count="97">
        <m/>
        <d v="1899-12-30T00:00:00"/>
        <d v="1899-12-30T00:15:00"/>
        <d v="1899-12-30T00:30:00"/>
        <d v="1899-12-30T00:45:00"/>
        <d v="1899-12-30T01:00:00"/>
        <d v="1899-12-30T01:15:00"/>
        <d v="1899-12-30T01:30:00"/>
        <d v="1899-12-30T01:45:00"/>
        <d v="1899-12-30T02:00:00"/>
        <d v="1899-12-30T02:15:00"/>
        <d v="1899-12-30T02:30:00"/>
        <d v="1899-12-30T02:45:00"/>
        <d v="1899-12-30T03:00:00"/>
        <d v="1899-12-30T03:15:00"/>
        <d v="1899-12-30T03:30:00"/>
        <d v="1899-12-30T03:45:00"/>
        <d v="1899-12-30T04:00:00"/>
        <d v="1899-12-30T04:15:00"/>
        <d v="1899-12-30T04:30:00"/>
        <d v="1899-12-30T04:45:00"/>
        <d v="1899-12-30T05:00:00"/>
        <d v="1899-12-30T05:15:00"/>
        <d v="1899-12-30T05:30:00"/>
        <d v="1899-12-30T05:45:00"/>
        <d v="1899-12-30T06:00:00"/>
        <d v="1899-12-30T06:15:00"/>
        <d v="1899-12-30T06:30:00"/>
        <d v="1899-12-30T06:45:00"/>
        <d v="1899-12-30T07:00:00"/>
        <d v="1899-12-30T07:15:00"/>
        <d v="1899-12-30T07:30:00"/>
        <d v="1899-12-30T07:45:00"/>
        <d v="1899-12-30T08:00:00"/>
        <d v="1899-12-30T08:15:00"/>
        <d v="1899-12-30T08:30:00"/>
        <d v="1899-12-30T08:45:00"/>
        <d v="1899-12-30T09:00:00"/>
        <d v="1899-12-30T09:15:00"/>
        <d v="1899-12-30T09:30:00"/>
        <d v="1899-12-30T09:45:00"/>
        <d v="1899-12-30T10:00:00"/>
        <d v="1899-12-30T10:15:00"/>
        <d v="1899-12-30T10:30:00"/>
        <d v="1899-12-30T10:45:00"/>
        <d v="1899-12-30T11:00:00"/>
        <d v="1899-12-30T11:15:00"/>
        <d v="1899-12-30T11:30:00"/>
        <d v="1899-12-30T11:45:00"/>
        <d v="1899-12-30T12:00:00"/>
        <d v="1899-12-30T12:15:00"/>
        <d v="1899-12-30T12:30:00"/>
        <d v="1899-12-30T12:45:00"/>
        <d v="1899-12-30T13:00:00"/>
        <d v="1899-12-30T13:15:00"/>
        <d v="1899-12-30T13:30:00"/>
        <d v="1899-12-30T13:45:00"/>
        <d v="1899-12-30T14:00:00"/>
        <d v="1899-12-30T14:15:00"/>
        <d v="1899-12-30T14:30:00"/>
        <d v="1899-12-30T14:45:00"/>
        <d v="1899-12-30T15:00:00"/>
        <d v="1899-12-30T15:15:00"/>
        <d v="1899-12-30T15:30:00"/>
        <d v="1899-12-30T15:45:00"/>
        <d v="1899-12-30T16:00:00"/>
        <d v="1899-12-30T16:15:00"/>
        <d v="1899-12-30T16:30:00"/>
        <d v="1899-12-30T16:45:00"/>
        <d v="1899-12-30T17:00:00"/>
        <d v="1899-12-30T17:15:00"/>
        <d v="1899-12-30T17:30:00"/>
        <d v="1899-12-30T17:45:00"/>
        <d v="1899-12-30T18:00:00"/>
        <d v="1899-12-30T18:15:00"/>
        <d v="1899-12-30T18:30:00"/>
        <d v="1899-12-30T18:45:00"/>
        <d v="1899-12-30T19:00:00"/>
        <d v="1899-12-30T19:15:00"/>
        <d v="1899-12-30T19:30:00"/>
        <d v="1899-12-30T19:45:00"/>
        <d v="1899-12-30T20:00:00"/>
        <d v="1899-12-30T20:15:00"/>
        <d v="1899-12-30T20:30:00"/>
        <d v="1899-12-30T20:45:00"/>
        <d v="1899-12-30T21:00:00"/>
        <d v="1899-12-30T21:15:00"/>
        <d v="1899-12-30T21:30:00"/>
        <d v="1899-12-30T21:45:00"/>
        <d v="1899-12-30T22:00:00"/>
        <d v="1899-12-30T22:15:00"/>
        <d v="1899-12-30T22:30:00"/>
        <d v="1899-12-30T22:45:00"/>
        <d v="1899-12-30T23:00:00"/>
        <d v="1899-12-30T23:15:00"/>
        <d v="1899-12-30T23:30:00"/>
        <d v="1899-12-30T23:45:00"/>
      </sharedItems>
      <fieldGroup par="17"/>
    </cacheField>
    <cacheField name="Spotřeba" numFmtId="0">
      <sharedItems containsMixedTypes="1" containsNumber="1" minValue="2.5749999999999999E-2" maxValue="3.3247499999999999" count="38">
        <s v="kWh"/>
        <n v="0.54449999999999998"/>
        <n v="0.52574999999999994"/>
        <n v="0.53074999999999994"/>
        <n v="0.53174999999999994"/>
        <n v="0.54074999999999995"/>
        <n v="0.73324999999999996"/>
        <n v="2.9157500000000001"/>
        <n v="2.5467500000000003"/>
        <n v="0.54674999999999996"/>
        <n v="0.59675"/>
        <n v="0.53374999999999995"/>
        <n v="2.5749999999999999E-2"/>
        <n v="1.0257500000000002"/>
        <n v="1.0307500000000001"/>
        <n v="1.0807500000000001"/>
        <n v="1.06325"/>
        <n v="1.0707499999999999"/>
        <n v="2.5747499999999999"/>
        <n v="3.3247499999999999"/>
        <n v="3.3097500000000002"/>
        <n v="1.80975"/>
        <n v="1.8127500000000001"/>
        <n v="1.839"/>
        <n v="0.56399999999999995"/>
        <n v="0.62649999999999995"/>
        <n v="0.63049999999999995"/>
        <n v="1.1305000000000001"/>
        <n v="1.6805000000000001"/>
        <n v="1.6745000000000001"/>
        <n v="1.6820000000000002"/>
        <n v="1.1819999999999999"/>
        <n v="1.1779999999999999"/>
        <n v="1.1855"/>
        <n v="0.57299999999999995"/>
        <n v="1.073"/>
        <n v="1.05175"/>
        <n v="0.54574999999999996"/>
      </sharedItems>
    </cacheField>
    <cacheField name="Přímá vlastní spotřeba z FVE" numFmtId="0">
      <sharedItems containsString="0" containsBlank="1" containsNumber="1" minValue="0" maxValue="1.0257500000000002"/>
    </cacheField>
    <cacheField name="Výroba FVE" numFmtId="0">
      <sharedItems containsMixedTypes="1" containsNumber="1" minValue="0" maxValue="2.125" count="19">
        <s v="kWh"/>
        <n v="0"/>
        <n v="1E-3"/>
        <n v="2E-3"/>
        <n v="5.0000000000000001E-3"/>
        <n v="1.0999999999999999E-2"/>
        <n v="2.4E-2"/>
        <n v="4.8000000000000001E-2"/>
        <n v="9.2999999999999999E-2"/>
        <n v="0.16900000000000001"/>
        <n v="0.28799999999999998"/>
        <n v="0.46"/>
        <n v="0.69"/>
        <n v="0.97299999999999998"/>
        <n v="1.2889999999999999"/>
        <n v="1.6040000000000001"/>
        <n v="1.875"/>
        <n v="2.06"/>
        <n v="2.125"/>
      </sharedItems>
    </cacheField>
    <cacheField name="Odběr z DS" numFmtId="0">
      <sharedItems containsMixedTypes="1" containsNumber="1" minValue="0" maxValue="3.3097500000000002" count="37">
        <s v="kWh"/>
        <n v="0"/>
        <n v="0.17547222222221937"/>
        <n v="0.52574999999999994"/>
        <n v="0.53074999999999994"/>
        <n v="0.53174999999999994"/>
        <n v="0.54074999999999995"/>
        <n v="0.73324999999999996"/>
        <n v="2.9157500000000001"/>
        <n v="2.5467500000000003"/>
        <n v="0.54674999999999996"/>
        <n v="0.59675"/>
        <n v="0.53374999999999995"/>
        <n v="0.53274999999999995"/>
        <n v="2.375E-2"/>
        <n v="2.0749999999999998E-2"/>
        <n v="1.4749999999999999E-2"/>
        <n v="1.7499999999999981E-3"/>
        <n v="0.92252469135802873"/>
        <n v="3.3097500000000002"/>
        <n v="1.80975"/>
        <n v="1.8127500000000001"/>
        <n v="1.839"/>
        <n v="0.56399999999999995"/>
        <n v="0.62649999999999995"/>
        <n v="0.63049999999999995"/>
        <n v="1.1305000000000001"/>
        <n v="1.6805000000000001"/>
        <n v="1.6745000000000001"/>
        <n v="1.6820000000000002"/>
        <n v="1.1819999999999999"/>
        <n v="1.1779999999999999"/>
        <n v="1.1855"/>
        <n v="0.57299999999999995"/>
        <n v="1.073"/>
        <n v="1.05175"/>
        <n v="0.54574999999999996"/>
      </sharedItems>
    </cacheField>
    <cacheField name="Přetok do DS" numFmtId="0">
      <sharedItems containsMixedTypes="1" containsNumber="1" minValue="0" maxValue="0.70928703703703233" count="5">
        <s v="kWh"/>
        <n v="0"/>
        <n v="0.70928703703703233"/>
        <n v="0.6642499999999999"/>
        <n v="0.41171913580246861"/>
      </sharedItems>
    </cacheField>
    <cacheField name="Spotřeba z baterie" numFmtId="0">
      <sharedItems containsMixedTypes="1" containsNumber="1" minValue="0" maxValue="3.3247499999999999" count="18">
        <s v="kWh"/>
        <n v="0.54449999999999998"/>
        <n v="0.52574999999999994"/>
        <n v="0.35027777777778057"/>
        <n v="0"/>
        <n v="0.73775000000000013"/>
        <n v="1.7499999999999981E-3"/>
        <n v="1.4749999999999999E-2"/>
        <n v="2.0749999999999998E-2"/>
        <n v="2.375E-2"/>
        <n v="1.0247500000000003"/>
        <n v="1.0307500000000001"/>
        <n v="1.0807500000000001"/>
        <n v="1.06325"/>
        <n v="1.0707499999999999"/>
        <n v="2.5747499999999999"/>
        <n v="3.3247499999999999"/>
        <n v="2.4022253086419711"/>
      </sharedItems>
    </cacheField>
    <cacheField name="Bilance" numFmtId="0">
      <sharedItems containsMixedTypes="1" containsNumber="1" minValue="-3.3247499999999999" maxValue="2.0992500000000001"/>
    </cacheField>
    <cacheField name="Stav baterie" numFmtId="0">
      <sharedItems containsSemiMixedTypes="0" containsString="0" containsNumber="1" minValue="1" maxValue="18"/>
    </cacheField>
    <cacheField name="Soc " numFmtId="0">
      <sharedItems containsMixedTypes="1" containsNumber="1" minValue="0.05" maxValue="1"/>
    </cacheField>
    <cacheField name="Nabíjení (Netto)" numFmtId="0">
      <sharedItems containsMixedTypes="1" containsNumber="1" minValue="0" maxValue="1.8893250000000001"/>
    </cacheField>
    <cacheField name="Nabíjení (Brutto)" numFmtId="0">
      <sharedItems containsMixedTypes="1" containsNumber="1" minValue="0" maxValue="2.0992500000000001"/>
    </cacheField>
    <cacheField name="Vybíjení (Netto)" numFmtId="0">
      <sharedItems containsMixedTypes="1" containsNumber="1" minValue="0" maxValue="3.343" count="19">
        <s v="kWh"/>
        <n v="0.56274999999999997"/>
        <n v="0.54399999999999993"/>
        <n v="0.35027777777778057"/>
        <n v="0"/>
        <n v="1.8249999999999999E-2"/>
        <n v="0.75600000000000012"/>
        <n v="1.9999999999999997E-2"/>
        <n v="3.3000000000000002E-2"/>
        <n v="3.8999999999999993E-2"/>
        <n v="4.1999999999999996E-2"/>
        <n v="1.0430000000000004"/>
        <n v="1.0490000000000002"/>
        <n v="1.0990000000000002"/>
        <n v="1.0815000000000001"/>
        <n v="1.089"/>
        <n v="2.593"/>
        <n v="3.343"/>
        <n v="2.4022253086419711"/>
      </sharedItems>
    </cacheField>
    <cacheField name="Vybíjení (Brutto)" numFmtId="0">
      <sharedItems containsMixedTypes="1" containsNumber="1" minValue="0" maxValue="3.7144444444444442" count="19">
        <s v="kWh"/>
        <n v="0.62527777777777771"/>
        <n v="0.60444444444444434"/>
        <n v="0.38919753086420061"/>
        <n v="0"/>
        <n v="2.0277777777777777E-2"/>
        <n v="0.84000000000000008"/>
        <n v="2.222222222222222E-2"/>
        <n v="3.6666666666666667E-2"/>
        <n v="4.3333333333333328E-2"/>
        <n v="4.6666666666666662E-2"/>
        <n v="1.1588888888888893"/>
        <n v="1.1655555555555557"/>
        <n v="1.2211111111111113"/>
        <n v="1.2016666666666669"/>
        <n v="1.21"/>
        <n v="2.8811111111111112"/>
        <n v="3.7144444444444442"/>
        <n v="2.6691392318244125"/>
      </sharedItems>
    </cacheField>
    <cacheField name="Vlastní spotřeba" numFmtId="0">
      <sharedItems containsMixedTypes="1" containsNumber="1" minValue="1.8249999999999999E-2" maxValue="1.8249999999999999E-2"/>
    </cacheField>
    <cacheField name="Hodiny (Čas)" numFmtId="0" databaseField="0">
      <fieldGroup base="1">
        <rangePr groupBy="hours" startDate="1899-12-30T00:00:00" endDate="1899-12-31T00:00:00"/>
        <groupItems count="26">
          <s v="&lt;00.01.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1.01.1900"/>
        </groupItems>
      </fieldGroup>
    </cacheField>
    <cacheField name="Měsíce (Čas)" numFmtId="0" databaseField="0">
      <fieldGroup base="1">
        <rangePr groupBy="months" startDate="1899-12-30T00:00:00" endDate="1899-12-31T00:00:00"/>
        <groupItems count="14">
          <s v="&lt;00.01.1900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01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Míček" refreshedDate="46275.641874537039" createdVersion="8" refreshedVersion="8" minRefreshableVersion="3" recordCount="97" xr:uid="{0B66401A-A708-4B25-9F2D-C52E63980CA5}">
  <cacheSource type="worksheet">
    <worksheetSource ref="A1:P98" sheet="Červenec"/>
  </cacheSource>
  <cacheFields count="18">
    <cacheField name="Datum" numFmtId="14">
      <sharedItems containsNonDate="0" containsDate="1" containsString="0" containsBlank="1" minDate="2026-07-05T00:00:00" maxDate="2026-07-06T00:00:00" count="2">
        <m/>
        <d v="2026-07-05T00:00:00"/>
      </sharedItems>
    </cacheField>
    <cacheField name="Čas" numFmtId="166">
      <sharedItems containsNonDate="0" containsDate="1" containsString="0" containsBlank="1" minDate="1899-12-30T00:00:00" maxDate="1899-12-31T00:00:00" count="97">
        <m/>
        <d v="1899-12-30T00:00:00"/>
        <d v="1899-12-30T00:15:00"/>
        <d v="1899-12-30T00:30:00"/>
        <d v="1899-12-30T00:45:00"/>
        <d v="1899-12-30T01:00:00"/>
        <d v="1899-12-30T01:15:00"/>
        <d v="1899-12-30T01:30:00"/>
        <d v="1899-12-30T01:45:00"/>
        <d v="1899-12-30T02:00:00"/>
        <d v="1899-12-30T02:15:00"/>
        <d v="1899-12-30T02:30:00"/>
        <d v="1899-12-30T02:45:00"/>
        <d v="1899-12-30T03:00:00"/>
        <d v="1899-12-30T03:15:00"/>
        <d v="1899-12-30T03:30:00"/>
        <d v="1899-12-30T03:45:00"/>
        <d v="1899-12-30T04:00:00"/>
        <d v="1899-12-30T04:15:00"/>
        <d v="1899-12-30T04:30:00"/>
        <d v="1899-12-30T04:45:00"/>
        <d v="1899-12-30T05:00:00"/>
        <d v="1899-12-30T05:15:00"/>
        <d v="1899-12-30T05:30:00"/>
        <d v="1899-12-30T05:45:00"/>
        <d v="1899-12-30T06:00:00"/>
        <d v="1899-12-30T06:15:00"/>
        <d v="1899-12-30T06:30:00"/>
        <d v="1899-12-30T06:45:00"/>
        <d v="1899-12-30T07:00:00"/>
        <d v="1899-12-30T07:15:00"/>
        <d v="1899-12-30T07:30:00"/>
        <d v="1899-12-30T07:45:00"/>
        <d v="1899-12-30T08:00:00"/>
        <d v="1899-12-30T08:15:00"/>
        <d v="1899-12-30T08:30:00"/>
        <d v="1899-12-30T08:45:00"/>
        <d v="1899-12-30T09:00:00"/>
        <d v="1899-12-30T09:15:00"/>
        <d v="1899-12-30T09:30:00"/>
        <d v="1899-12-30T09:45:00"/>
        <d v="1899-12-30T10:00:00"/>
        <d v="1899-12-30T10:15:00"/>
        <d v="1899-12-30T10:30:00"/>
        <d v="1899-12-30T10:45:00"/>
        <d v="1899-12-30T11:00:00"/>
        <d v="1899-12-30T11:15:00"/>
        <d v="1899-12-30T11:30:00"/>
        <d v="1899-12-30T11:45:00"/>
        <d v="1899-12-30T12:00:00"/>
        <d v="1899-12-30T12:15:00"/>
        <d v="1899-12-30T12:30:00"/>
        <d v="1899-12-30T12:45:00"/>
        <d v="1899-12-30T13:00:00"/>
        <d v="1899-12-30T13:15:00"/>
        <d v="1899-12-30T13:30:00"/>
        <d v="1899-12-30T13:45:00"/>
        <d v="1899-12-30T14:00:00"/>
        <d v="1899-12-30T14:15:00"/>
        <d v="1899-12-30T14:30:00"/>
        <d v="1899-12-30T14:45:00"/>
        <d v="1899-12-30T15:00:00"/>
        <d v="1899-12-30T15:15:00"/>
        <d v="1899-12-30T15:30:00"/>
        <d v="1899-12-30T15:45:00"/>
        <d v="1899-12-30T16:00:00"/>
        <d v="1899-12-30T16:15:00"/>
        <d v="1899-12-30T16:30:00"/>
        <d v="1899-12-30T16:45:00"/>
        <d v="1899-12-30T17:00:00"/>
        <d v="1899-12-30T17:15:00"/>
        <d v="1899-12-30T17:30:00"/>
        <d v="1899-12-30T17:45:00"/>
        <d v="1899-12-30T18:00:00"/>
        <d v="1899-12-30T18:15:00"/>
        <d v="1899-12-30T18:30:00"/>
        <d v="1899-12-30T18:45:00"/>
        <d v="1899-12-30T19:00:00"/>
        <d v="1899-12-30T19:15:00"/>
        <d v="1899-12-30T19:30:00"/>
        <d v="1899-12-30T19:45:00"/>
        <d v="1899-12-30T20:00:00"/>
        <d v="1899-12-30T20:15:00"/>
        <d v="1899-12-30T20:30:00"/>
        <d v="1899-12-30T20:45:00"/>
        <d v="1899-12-30T21:00:00"/>
        <d v="1899-12-30T21:15:00"/>
        <d v="1899-12-30T21:30:00"/>
        <d v="1899-12-30T21:45:00"/>
        <d v="1899-12-30T22:00:00"/>
        <d v="1899-12-30T22:15:00"/>
        <d v="1899-12-30T22:30:00"/>
        <d v="1899-12-30T22:45:00"/>
        <d v="1899-12-30T23:00:00"/>
        <d v="1899-12-30T23:15:00"/>
        <d v="1899-12-30T23:30:00"/>
        <d v="1899-12-30T23:45:00"/>
      </sharedItems>
      <fieldGroup par="17"/>
    </cacheField>
    <cacheField name="Spotřeba" numFmtId="0">
      <sharedItems containsMixedTypes="1" containsNumber="1" minValue="2.5749999999999999E-2" maxValue="3.3247499999999999"/>
    </cacheField>
    <cacheField name="Přímá vlastní spotřeba z FVE" numFmtId="0">
      <sharedItems containsMixedTypes="1" containsNumber="1" minValue="0" maxValue="1.0257500000000002"/>
    </cacheField>
    <cacheField name="Výroba FVE" numFmtId="0">
      <sharedItems containsMixedTypes="1" containsNumber="1" minValue="0" maxValue="3.2440000000000002"/>
    </cacheField>
    <cacheField name="Odběr z DS" numFmtId="0">
      <sharedItems containsMixedTypes="1" containsNumber="1" minValue="0" maxValue="2.8327499999999999"/>
    </cacheField>
    <cacheField name="Přetok do DS" numFmtId="0">
      <sharedItems containsMixedTypes="1" containsNumber="1" minValue="0" maxValue="3.1979753128757453"/>
    </cacheField>
    <cacheField name="Spotřeba z baterie" numFmtId="0">
      <sharedItems containsMixedTypes="1" containsNumber="1" minValue="0" maxValue="3.1577500000000001"/>
    </cacheField>
    <cacheField name="Bilance" numFmtId="0">
      <sharedItems containsMixedTypes="1" containsNumber="1" minValue="-3.1577500000000001" maxValue="3.2182500000000003"/>
    </cacheField>
    <cacheField name="Stav baterie" numFmtId="0">
      <sharedItems containsSemiMixedTypes="0" containsString="0" containsNumber="1" minValue="1" maxValue="18"/>
    </cacheField>
    <cacheField name="Soc " numFmtId="0">
      <sharedItems containsMixedTypes="1" containsNumber="1" minValue="0.05" maxValue="1"/>
    </cacheField>
    <cacheField name="Nabíjení (Netto)" numFmtId="0">
      <sharedItems containsMixedTypes="1" containsNumber="1" minValue="0" maxValue="2.3069250000000001"/>
    </cacheField>
    <cacheField name="Nabíjení (Brutto)" numFmtId="0">
      <sharedItems containsMixedTypes="1" containsNumber="1" minValue="0" maxValue="2.56325"/>
    </cacheField>
    <cacheField name="Vybíjení (Netto)" numFmtId="0">
      <sharedItems containsMixedTypes="1" containsNumber="1" minValue="0" maxValue="3.1760000000000002"/>
    </cacheField>
    <cacheField name="Vybíjení (Brutto)" numFmtId="0">
      <sharedItems containsMixedTypes="1" containsNumber="1" minValue="0" maxValue="3.528888888888889"/>
    </cacheField>
    <cacheField name="Vlastní spotřeba" numFmtId="0">
      <sharedItems containsMixedTypes="1" containsNumber="1" minValue="1.8249999999999999E-2" maxValue="1.8249999999999999E-2"/>
    </cacheField>
    <cacheField name="Hodiny (Čas)" numFmtId="0" databaseField="0">
      <fieldGroup base="1">
        <rangePr groupBy="hours" startDate="1899-12-30T00:00:00" endDate="1899-12-31T00:00:00"/>
        <groupItems count="26">
          <s v="&lt;00.01.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1.01.1900"/>
        </groupItems>
      </fieldGroup>
    </cacheField>
    <cacheField name="Měsíce (Čas)" numFmtId="0" databaseField="0">
      <fieldGroup base="1">
        <rangePr groupBy="months" startDate="1899-12-30T00:00:00" endDate="1899-12-31T00:00:00"/>
        <groupItems count="14">
          <s v="&lt;00.01.1900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01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Míček" refreshedDate="46275.655792824073" createdVersion="8" refreshedVersion="8" minRefreshableVersion="3" recordCount="97" xr:uid="{6BE92601-C013-46FF-BABF-D316A91CEC9E}">
  <cacheSource type="worksheet">
    <worksheetSource ref="A1:P98" sheet="Říjen"/>
  </cacheSource>
  <cacheFields count="17">
    <cacheField name="Datum" numFmtId="14">
      <sharedItems containsNonDate="0" containsDate="1" containsString="0" containsBlank="1" minDate="2026-10-08T00:00:00" maxDate="2026-10-09T00:00:00" count="2">
        <m/>
        <d v="2026-10-08T00:00:00"/>
      </sharedItems>
    </cacheField>
    <cacheField name="Čas" numFmtId="166">
      <sharedItems containsNonDate="0" containsDate="1" containsString="0" containsBlank="1" minDate="1899-12-30T00:00:00" maxDate="1899-12-31T00:00:00" count="97">
        <m/>
        <d v="1899-12-30T00:00:00"/>
        <d v="1899-12-30T00:15:00"/>
        <d v="1899-12-30T00:30:00"/>
        <d v="1899-12-30T00:45:00"/>
        <d v="1899-12-30T01:00:00"/>
        <d v="1899-12-30T01:15:00"/>
        <d v="1899-12-30T01:30:00"/>
        <d v="1899-12-30T01:45:00"/>
        <d v="1899-12-30T02:00:00"/>
        <d v="1899-12-30T02:15:00"/>
        <d v="1899-12-30T02:30:00"/>
        <d v="1899-12-30T02:45:00"/>
        <d v="1899-12-30T03:00:00"/>
        <d v="1899-12-30T03:15:00"/>
        <d v="1899-12-30T03:30:00"/>
        <d v="1899-12-30T03:45:00"/>
        <d v="1899-12-30T04:00:00"/>
        <d v="1899-12-30T04:15:00"/>
        <d v="1899-12-30T04:30:00"/>
        <d v="1899-12-30T04:45:00"/>
        <d v="1899-12-30T05:00:00"/>
        <d v="1899-12-30T05:15:00"/>
        <d v="1899-12-30T05:30:00"/>
        <d v="1899-12-30T05:45:00"/>
        <d v="1899-12-30T06:00:00"/>
        <d v="1899-12-30T06:15:00"/>
        <d v="1899-12-30T06:30:00"/>
        <d v="1899-12-30T06:45:00"/>
        <d v="1899-12-30T07:00:00"/>
        <d v="1899-12-30T07:15:00"/>
        <d v="1899-12-30T07:30:00"/>
        <d v="1899-12-30T07:45:00"/>
        <d v="1899-12-30T08:00:00"/>
        <d v="1899-12-30T08:15:00"/>
        <d v="1899-12-30T08:30:00"/>
        <d v="1899-12-30T08:45:00"/>
        <d v="1899-12-30T09:00:00"/>
        <d v="1899-12-30T09:15:00"/>
        <d v="1899-12-30T09:30:00"/>
        <d v="1899-12-30T09:45:00"/>
        <d v="1899-12-30T10:00:00"/>
        <d v="1899-12-30T10:15:00"/>
        <d v="1899-12-30T10:30:00"/>
        <d v="1899-12-30T10:45:00"/>
        <d v="1899-12-30T11:00:00"/>
        <d v="1899-12-30T11:15:00"/>
        <d v="1899-12-30T11:30:00"/>
        <d v="1899-12-30T11:45:00"/>
        <d v="1899-12-30T12:00:00"/>
        <d v="1899-12-30T12:15:00"/>
        <d v="1899-12-30T12:30:00"/>
        <d v="1899-12-30T12:45:00"/>
        <d v="1899-12-30T13:00:00"/>
        <d v="1899-12-30T13:15:00"/>
        <d v="1899-12-30T13:30:00"/>
        <d v="1899-12-30T13:45:00"/>
        <d v="1899-12-30T14:00:00"/>
        <d v="1899-12-30T14:15:00"/>
        <d v="1899-12-30T14:30:00"/>
        <d v="1899-12-30T14:45:00"/>
        <d v="1899-12-30T15:00:00"/>
        <d v="1899-12-30T15:15:00"/>
        <d v="1899-12-30T15:30:00"/>
        <d v="1899-12-30T15:45:00"/>
        <d v="1899-12-30T16:00:00"/>
        <d v="1899-12-30T16:15:00"/>
        <d v="1899-12-30T16:30:00"/>
        <d v="1899-12-30T16:45:00"/>
        <d v="1899-12-30T17:00:00"/>
        <d v="1899-12-30T17:15:00"/>
        <d v="1899-12-30T17:30:00"/>
        <d v="1899-12-30T17:45:00"/>
        <d v="1899-12-30T18:00:00"/>
        <d v="1899-12-30T18:15:00"/>
        <d v="1899-12-30T18:30:00"/>
        <d v="1899-12-30T18:45:00"/>
        <d v="1899-12-30T19:00:00"/>
        <d v="1899-12-30T19:15:00"/>
        <d v="1899-12-30T19:30:00"/>
        <d v="1899-12-30T19:45:00"/>
        <d v="1899-12-30T20:00:00"/>
        <d v="1899-12-30T20:15:00"/>
        <d v="1899-12-30T20:30:00"/>
        <d v="1899-12-30T20:45:00"/>
        <d v="1899-12-30T21:00:00"/>
        <d v="1899-12-30T21:15:00"/>
        <d v="1899-12-30T21:30:00"/>
        <d v="1899-12-30T21:45:00"/>
        <d v="1899-12-30T22:00:00"/>
        <d v="1899-12-30T22:15:00"/>
        <d v="1899-12-30T22:30:00"/>
        <d v="1899-12-30T22:45:00"/>
        <d v="1899-12-30T23:00:00"/>
        <d v="1899-12-30T23:15:00"/>
        <d v="1899-12-30T23:30:00"/>
        <d v="1899-12-30T23:45:00"/>
      </sharedItems>
      <fieldGroup par="16"/>
    </cacheField>
    <cacheField name="Spotřeba" numFmtId="0">
      <sharedItems containsMixedTypes="1" containsNumber="1" minValue="2.5749999999999999E-2" maxValue="3.3247499999999999"/>
    </cacheField>
    <cacheField name="Přímá vlastní spotřeba z FVE" numFmtId="0">
      <sharedItems containsMixedTypes="1" containsNumber="1" minValue="0" maxValue="1.0257500000000002"/>
    </cacheField>
    <cacheField name="Výroba FVE" numFmtId="0">
      <sharedItems containsMixedTypes="1" containsNumber="1" minValue="0" maxValue="2.5"/>
    </cacheField>
    <cacheField name="Odběr z DS" numFmtId="0">
      <sharedItems containsMixedTypes="1" containsNumber="1" minValue="0" maxValue="2.9057500000000003"/>
    </cacheField>
    <cacheField name="Přetok do DS" numFmtId="0">
      <sharedItems containsMixedTypes="1" containsNumber="1" minValue="0" maxValue="2.4670517832647478"/>
    </cacheField>
    <cacheField name="Spotřeba z baterie" numFmtId="0">
      <sharedItems containsMixedTypes="1" containsNumber="1" minValue="0" maxValue="3.2887499999999998"/>
    </cacheField>
    <cacheField name="Bilance" numFmtId="0">
      <sharedItems containsMixedTypes="1" containsNumber="1" minValue="-3.2887499999999998" maxValue="2.4742500000000001"/>
    </cacheField>
    <cacheField name="Stav baterie" numFmtId="0">
      <sharedItems containsSemiMixedTypes="0" containsString="0" containsNumber="1" minValue="1" maxValue="17.993521604938273"/>
    </cacheField>
    <cacheField name="Soc " numFmtId="0">
      <sharedItems containsMixedTypes="1" containsNumber="1" minValue="0.05" maxValue="1"/>
    </cacheField>
    <cacheField name="Nabíjení (Netto)" numFmtId="0">
      <sharedItems containsMixedTypes="1" containsNumber="1" minValue="0" maxValue="2.1422250000000003"/>
    </cacheField>
    <cacheField name="Nabíjení (Brutto)" numFmtId="0">
      <sharedItems containsMixedTypes="1" containsNumber="1" minValue="0" maxValue="2.3802500000000002"/>
    </cacheField>
    <cacheField name="Vybíjení (Netto)" numFmtId="0">
      <sharedItems containsMixedTypes="1" containsNumber="1" minValue="0" maxValue="3.3069999999999999"/>
    </cacheField>
    <cacheField name="Vybíjení (Brutto)" numFmtId="0">
      <sharedItems containsMixedTypes="1" containsNumber="1" minValue="0" maxValue="3.6744444444444442"/>
    </cacheField>
    <cacheField name="Vlastní spotřeba" numFmtId="0">
      <sharedItems containsMixedTypes="1" containsNumber="1" minValue="1.8249999999999999E-2" maxValue="1.8249999999999999E-2"/>
    </cacheField>
    <cacheField name="Hodiny (Čas)" numFmtId="0" databaseField="0">
      <fieldGroup base="1">
        <rangePr groupBy="hours" startDate="1899-12-30T00:00:00" endDate="1899-12-31T00:00:00"/>
        <groupItems count="26">
          <s v="&lt;00.01.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1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x v="0"/>
    <m/>
    <x v="0"/>
    <x v="0"/>
    <x v="0"/>
    <x v="0"/>
    <s v="kWh"/>
    <n v="10"/>
    <s v="%"/>
    <s v="kWh"/>
    <s v="kWh"/>
    <x v="0"/>
    <x v="0"/>
    <s v="kWh"/>
  </r>
  <r>
    <x v="1"/>
    <x v="1"/>
    <x v="1"/>
    <n v="0"/>
    <x v="1"/>
    <x v="1"/>
    <x v="1"/>
    <x v="1"/>
    <n v="-0.54449999999999998"/>
    <n v="9.3747222222222231"/>
    <n v="0.55294117647058827"/>
    <n v="0"/>
    <n v="0"/>
    <x v="1"/>
    <x v="1"/>
    <n v="1.8249999999999999E-2"/>
  </r>
  <r>
    <x v="1"/>
    <x v="2"/>
    <x v="1"/>
    <n v="0"/>
    <x v="1"/>
    <x v="1"/>
    <x v="1"/>
    <x v="1"/>
    <n v="-0.54449999999999998"/>
    <n v="8.7494444444444461"/>
    <n v="0.51799918300653602"/>
    <n v="0"/>
    <n v="0"/>
    <x v="1"/>
    <x v="1"/>
    <n v="1.8249999999999999E-2"/>
  </r>
  <r>
    <x v="1"/>
    <x v="3"/>
    <x v="1"/>
    <n v="0"/>
    <x v="1"/>
    <x v="1"/>
    <x v="1"/>
    <x v="1"/>
    <n v="-0.54449999999999998"/>
    <n v="8.1241666666666692"/>
    <n v="0.48305718954248372"/>
    <n v="0"/>
    <n v="0"/>
    <x v="1"/>
    <x v="1"/>
    <n v="1.8249999999999999E-2"/>
  </r>
  <r>
    <x v="1"/>
    <x v="4"/>
    <x v="1"/>
    <n v="0"/>
    <x v="1"/>
    <x v="1"/>
    <x v="1"/>
    <x v="1"/>
    <n v="-0.54449999999999998"/>
    <n v="7.4988888888888914"/>
    <n v="0.44811519607843148"/>
    <n v="0"/>
    <n v="0"/>
    <x v="1"/>
    <x v="1"/>
    <n v="1.8249999999999999E-2"/>
  </r>
  <r>
    <x v="1"/>
    <x v="5"/>
    <x v="1"/>
    <n v="0"/>
    <x v="1"/>
    <x v="1"/>
    <x v="1"/>
    <x v="1"/>
    <n v="-0.54449999999999998"/>
    <n v="6.8736111111111136"/>
    <n v="0.41317320261437923"/>
    <n v="0"/>
    <n v="0"/>
    <x v="1"/>
    <x v="1"/>
    <n v="1.8249999999999999E-2"/>
  </r>
  <r>
    <x v="1"/>
    <x v="6"/>
    <x v="1"/>
    <n v="0"/>
    <x v="1"/>
    <x v="1"/>
    <x v="1"/>
    <x v="1"/>
    <n v="-0.54449999999999998"/>
    <n v="6.2483333333333357"/>
    <n v="0.37823120915032693"/>
    <n v="0"/>
    <n v="0"/>
    <x v="1"/>
    <x v="1"/>
    <n v="1.8249999999999999E-2"/>
  </r>
  <r>
    <x v="1"/>
    <x v="7"/>
    <x v="1"/>
    <n v="0"/>
    <x v="1"/>
    <x v="1"/>
    <x v="1"/>
    <x v="1"/>
    <n v="-0.54449999999999998"/>
    <n v="5.6230555555555579"/>
    <n v="0.34328921568627463"/>
    <n v="0"/>
    <n v="0"/>
    <x v="1"/>
    <x v="1"/>
    <n v="1.8249999999999999E-2"/>
  </r>
  <r>
    <x v="1"/>
    <x v="8"/>
    <x v="1"/>
    <n v="0"/>
    <x v="1"/>
    <x v="1"/>
    <x v="1"/>
    <x v="1"/>
    <n v="-0.54449999999999998"/>
    <n v="4.9977777777777801"/>
    <n v="0.30834722222222233"/>
    <n v="0"/>
    <n v="0"/>
    <x v="1"/>
    <x v="1"/>
    <n v="1.8249999999999999E-2"/>
  </r>
  <r>
    <x v="1"/>
    <x v="9"/>
    <x v="1"/>
    <n v="0"/>
    <x v="1"/>
    <x v="1"/>
    <x v="1"/>
    <x v="1"/>
    <n v="-0.54449999999999998"/>
    <n v="4.3725000000000023"/>
    <n v="0.27340522875817003"/>
    <n v="0"/>
    <n v="0"/>
    <x v="1"/>
    <x v="1"/>
    <n v="1.8249999999999999E-2"/>
  </r>
  <r>
    <x v="1"/>
    <x v="10"/>
    <x v="2"/>
    <n v="0"/>
    <x v="1"/>
    <x v="1"/>
    <x v="1"/>
    <x v="2"/>
    <n v="-0.52574999999999994"/>
    <n v="3.7680555555555579"/>
    <n v="0.23846323529411778"/>
    <n v="0"/>
    <n v="0"/>
    <x v="2"/>
    <x v="2"/>
    <n v="1.8249999999999999E-2"/>
  </r>
  <r>
    <x v="1"/>
    <x v="11"/>
    <x v="2"/>
    <n v="0"/>
    <x v="1"/>
    <x v="1"/>
    <x v="1"/>
    <x v="2"/>
    <n v="-0.52574999999999994"/>
    <n v="3.1636111111111136"/>
    <n v="0.20468545751633999"/>
    <n v="0"/>
    <n v="0"/>
    <x v="2"/>
    <x v="2"/>
    <n v="1.8249999999999999E-2"/>
  </r>
  <r>
    <x v="1"/>
    <x v="12"/>
    <x v="2"/>
    <n v="0"/>
    <x v="1"/>
    <x v="1"/>
    <x v="1"/>
    <x v="2"/>
    <n v="-0.52574999999999994"/>
    <n v="2.5591666666666693"/>
    <n v="0.17090767973856222"/>
    <n v="0"/>
    <n v="0"/>
    <x v="2"/>
    <x v="2"/>
    <n v="1.8249999999999999E-2"/>
  </r>
  <r>
    <x v="1"/>
    <x v="13"/>
    <x v="2"/>
    <n v="0"/>
    <x v="1"/>
    <x v="1"/>
    <x v="1"/>
    <x v="2"/>
    <n v="-0.52574999999999994"/>
    <n v="1.9547222222222249"/>
    <n v="0.13712990196078445"/>
    <n v="0"/>
    <n v="0"/>
    <x v="2"/>
    <x v="2"/>
    <n v="1.8249999999999999E-2"/>
  </r>
  <r>
    <x v="1"/>
    <x v="14"/>
    <x v="2"/>
    <n v="0"/>
    <x v="1"/>
    <x v="1"/>
    <x v="1"/>
    <x v="2"/>
    <n v="-0.52574999999999994"/>
    <n v="1.3502777777777806"/>
    <n v="0.10335212418300668"/>
    <n v="0"/>
    <n v="0"/>
    <x v="2"/>
    <x v="2"/>
    <n v="1.8249999999999999E-2"/>
  </r>
  <r>
    <x v="1"/>
    <x v="15"/>
    <x v="2"/>
    <n v="0"/>
    <x v="1"/>
    <x v="2"/>
    <x v="1"/>
    <x v="3"/>
    <n v="-0.52574999999999994"/>
    <n v="1"/>
    <n v="6.9574346405228915E-2"/>
    <n v="0"/>
    <n v="0"/>
    <x v="3"/>
    <x v="3"/>
    <n v="1.8249999999999999E-2"/>
  </r>
  <r>
    <x v="1"/>
    <x v="16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17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18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19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20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21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22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23"/>
    <x v="2"/>
    <n v="0"/>
    <x v="1"/>
    <x v="3"/>
    <x v="1"/>
    <x v="4"/>
    <n v="-0.52574999999999994"/>
    <n v="1"/>
    <n v="0.05"/>
    <n v="0"/>
    <n v="0"/>
    <x v="4"/>
    <x v="4"/>
    <n v="1.8249999999999999E-2"/>
  </r>
  <r>
    <x v="1"/>
    <x v="24"/>
    <x v="3"/>
    <n v="0"/>
    <x v="1"/>
    <x v="4"/>
    <x v="1"/>
    <x v="4"/>
    <n v="-0.53074999999999994"/>
    <n v="1"/>
    <n v="0.05"/>
    <n v="0"/>
    <n v="0"/>
    <x v="4"/>
    <x v="4"/>
    <n v="1.8249999999999999E-2"/>
  </r>
  <r>
    <x v="1"/>
    <x v="25"/>
    <x v="4"/>
    <n v="0"/>
    <x v="1"/>
    <x v="5"/>
    <x v="1"/>
    <x v="4"/>
    <n v="-0.53174999999999994"/>
    <n v="1"/>
    <n v="0.05"/>
    <n v="0"/>
    <n v="0"/>
    <x v="4"/>
    <x v="4"/>
    <n v="1.8249999999999999E-2"/>
  </r>
  <r>
    <x v="1"/>
    <x v="26"/>
    <x v="5"/>
    <n v="0"/>
    <x v="1"/>
    <x v="6"/>
    <x v="1"/>
    <x v="4"/>
    <n v="-0.54074999999999995"/>
    <n v="1"/>
    <n v="0.05"/>
    <n v="0"/>
    <n v="0"/>
    <x v="4"/>
    <x v="4"/>
    <n v="1.8249999999999999E-2"/>
  </r>
  <r>
    <x v="1"/>
    <x v="27"/>
    <x v="6"/>
    <n v="0"/>
    <x v="1"/>
    <x v="7"/>
    <x v="1"/>
    <x v="4"/>
    <n v="-0.73324999999999996"/>
    <n v="1"/>
    <n v="0.05"/>
    <n v="0"/>
    <n v="0"/>
    <x v="4"/>
    <x v="4"/>
    <n v="1.8249999999999999E-2"/>
  </r>
  <r>
    <x v="1"/>
    <x v="28"/>
    <x v="7"/>
    <n v="0"/>
    <x v="1"/>
    <x v="8"/>
    <x v="1"/>
    <x v="4"/>
    <n v="-2.9157500000000001"/>
    <n v="1"/>
    <n v="0.05"/>
    <n v="0"/>
    <n v="0"/>
    <x v="4"/>
    <x v="4"/>
    <n v="1.8249999999999999E-2"/>
  </r>
  <r>
    <x v="1"/>
    <x v="29"/>
    <x v="8"/>
    <n v="0"/>
    <x v="1"/>
    <x v="9"/>
    <x v="1"/>
    <x v="4"/>
    <n v="-2.5467500000000003"/>
    <n v="1"/>
    <n v="0.05"/>
    <n v="0"/>
    <n v="0"/>
    <x v="4"/>
    <x v="4"/>
    <n v="1.8249999999999999E-2"/>
  </r>
  <r>
    <x v="1"/>
    <x v="30"/>
    <x v="9"/>
    <n v="0"/>
    <x v="1"/>
    <x v="10"/>
    <x v="1"/>
    <x v="4"/>
    <n v="-0.54674999999999996"/>
    <n v="1"/>
    <n v="0.05"/>
    <n v="0"/>
    <n v="0"/>
    <x v="4"/>
    <x v="4"/>
    <n v="1.8249999999999999E-2"/>
  </r>
  <r>
    <x v="1"/>
    <x v="31"/>
    <x v="10"/>
    <n v="0"/>
    <x v="1"/>
    <x v="11"/>
    <x v="1"/>
    <x v="4"/>
    <n v="-0.59675"/>
    <n v="1"/>
    <n v="0.05"/>
    <n v="0"/>
    <n v="0"/>
    <x v="4"/>
    <x v="4"/>
    <n v="1.8249999999999999E-2"/>
  </r>
  <r>
    <x v="1"/>
    <x v="32"/>
    <x v="11"/>
    <n v="0"/>
    <x v="1"/>
    <x v="12"/>
    <x v="1"/>
    <x v="4"/>
    <n v="-0.53374999999999995"/>
    <n v="1"/>
    <n v="0.05"/>
    <n v="0"/>
    <n v="0"/>
    <x v="4"/>
    <x v="4"/>
    <n v="1.8249999999999999E-2"/>
  </r>
  <r>
    <x v="1"/>
    <x v="33"/>
    <x v="11"/>
    <n v="1E-3"/>
    <x v="2"/>
    <x v="13"/>
    <x v="1"/>
    <x v="4"/>
    <n v="-0.53274999999999995"/>
    <n v="1"/>
    <n v="0.05"/>
    <n v="0"/>
    <n v="0"/>
    <x v="4"/>
    <x v="4"/>
    <n v="1.8249999999999999E-2"/>
  </r>
  <r>
    <x v="1"/>
    <x v="34"/>
    <x v="12"/>
    <n v="2E-3"/>
    <x v="3"/>
    <x v="14"/>
    <x v="1"/>
    <x v="4"/>
    <n v="-2.375E-2"/>
    <n v="1"/>
    <n v="0.05"/>
    <n v="0"/>
    <n v="0"/>
    <x v="4"/>
    <x v="4"/>
    <n v="1.8249999999999999E-2"/>
  </r>
  <r>
    <x v="1"/>
    <x v="35"/>
    <x v="12"/>
    <n v="5.0000000000000001E-3"/>
    <x v="4"/>
    <x v="15"/>
    <x v="1"/>
    <x v="4"/>
    <n v="-2.0749999999999998E-2"/>
    <n v="1"/>
    <n v="0.05"/>
    <n v="0"/>
    <n v="0"/>
    <x v="4"/>
    <x v="4"/>
    <n v="1.8249999999999999E-2"/>
  </r>
  <r>
    <x v="1"/>
    <x v="36"/>
    <x v="12"/>
    <n v="1.0999999999999999E-2"/>
    <x v="5"/>
    <x v="16"/>
    <x v="1"/>
    <x v="4"/>
    <n v="-1.4749999999999999E-2"/>
    <n v="1"/>
    <n v="0.05"/>
    <n v="0"/>
    <n v="0"/>
    <x v="4"/>
    <x v="4"/>
    <n v="1.8249999999999999E-2"/>
  </r>
  <r>
    <x v="1"/>
    <x v="37"/>
    <x v="12"/>
    <n v="2.4E-2"/>
    <x v="6"/>
    <x v="17"/>
    <x v="1"/>
    <x v="4"/>
    <n v="-1.7499999999999981E-3"/>
    <n v="1"/>
    <n v="0.05"/>
    <n v="0"/>
    <n v="0"/>
    <x v="4"/>
    <x v="4"/>
    <n v="1.8249999999999999E-2"/>
  </r>
  <r>
    <x v="1"/>
    <x v="38"/>
    <x v="12"/>
    <n v="2.5749999999999999E-2"/>
    <x v="7"/>
    <x v="1"/>
    <x v="1"/>
    <x v="4"/>
    <n v="2.2250000000000002E-2"/>
    <n v="1.0222500000000001"/>
    <n v="0.05"/>
    <n v="2.0025000000000001E-2"/>
    <n v="2.2250000000000002E-2"/>
    <x v="4"/>
    <x v="4"/>
    <n v="1.8249999999999999E-2"/>
  </r>
  <r>
    <x v="1"/>
    <x v="39"/>
    <x v="12"/>
    <n v="2.5749999999999999E-2"/>
    <x v="8"/>
    <x v="1"/>
    <x v="1"/>
    <x v="4"/>
    <n v="6.7250000000000004E-2"/>
    <n v="1.0692222222222223"/>
    <n v="5.1243382352941187E-2"/>
    <n v="6.0525000000000002E-2"/>
    <n v="6.7250000000000004E-2"/>
    <x v="5"/>
    <x v="5"/>
    <n v="1.8249999999999999E-2"/>
  </r>
  <r>
    <x v="1"/>
    <x v="40"/>
    <x v="12"/>
    <n v="2.5749999999999999E-2"/>
    <x v="9"/>
    <x v="1"/>
    <x v="1"/>
    <x v="4"/>
    <n v="0.14325000000000002"/>
    <n v="1.1921944444444446"/>
    <n v="5.3868300653594776E-2"/>
    <n v="0.12892500000000001"/>
    <n v="0.14325000000000002"/>
    <x v="5"/>
    <x v="5"/>
    <n v="1.8249999999999999E-2"/>
  </r>
  <r>
    <x v="1"/>
    <x v="41"/>
    <x v="12"/>
    <n v="2.5749999999999999E-2"/>
    <x v="10"/>
    <x v="1"/>
    <x v="1"/>
    <x v="4"/>
    <n v="0.26224999999999998"/>
    <n v="1.4341666666666666"/>
    <n v="6.0740277777777782E-2"/>
    <n v="0.23602499999999998"/>
    <n v="0.26224999999999998"/>
    <x v="5"/>
    <x v="5"/>
    <n v="1.8249999999999999E-2"/>
  </r>
  <r>
    <x v="1"/>
    <x v="42"/>
    <x v="12"/>
    <n v="2.5749999999999999E-2"/>
    <x v="11"/>
    <x v="1"/>
    <x v="1"/>
    <x v="4"/>
    <n v="0.43425000000000002"/>
    <n v="1.8481388888888888"/>
    <n v="7.4262254901960784E-2"/>
    <n v="0.39082500000000003"/>
    <n v="0.43425000000000002"/>
    <x v="5"/>
    <x v="5"/>
    <n v="1.8249999999999999E-2"/>
  </r>
  <r>
    <x v="1"/>
    <x v="43"/>
    <x v="12"/>
    <n v="2.5749999999999999E-2"/>
    <x v="12"/>
    <x v="1"/>
    <x v="1"/>
    <x v="4"/>
    <n v="0.6642499999999999"/>
    <n v="2.4921111111111109"/>
    <n v="9.7395996732026147E-2"/>
    <n v="0.59782499999999994"/>
    <n v="0.6642499999999999"/>
    <x v="5"/>
    <x v="5"/>
    <n v="1.8249999999999999E-2"/>
  </r>
  <r>
    <x v="1"/>
    <x v="44"/>
    <x v="12"/>
    <n v="2.5749999999999999E-2"/>
    <x v="13"/>
    <x v="1"/>
    <x v="1"/>
    <x v="4"/>
    <n v="0.94724999999999993"/>
    <n v="3.419083333333333"/>
    <n v="0.13338267973856208"/>
    <n v="0.85252499999999998"/>
    <n v="0.94724999999999993"/>
    <x v="5"/>
    <x v="5"/>
    <n v="1.8249999999999999E-2"/>
  </r>
  <r>
    <x v="1"/>
    <x v="45"/>
    <x v="13"/>
    <n v="1.0257500000000002"/>
    <x v="14"/>
    <x v="1"/>
    <x v="1"/>
    <x v="4"/>
    <n v="0.26324999999999976"/>
    <n v="3.662055555555555"/>
    <n v="0.18518406862745096"/>
    <n v="0.2369249999999998"/>
    <n v="0.26324999999999976"/>
    <x v="5"/>
    <x v="5"/>
    <n v="1.8249999999999999E-2"/>
  </r>
  <r>
    <x v="1"/>
    <x v="46"/>
    <x v="12"/>
    <n v="2.5749999999999999E-2"/>
    <x v="15"/>
    <x v="1"/>
    <x v="1"/>
    <x v="4"/>
    <n v="1.5782500000000002"/>
    <n v="5.2200277777777773"/>
    <n v="0.19876192810457516"/>
    <n v="1.4204250000000003"/>
    <n v="1.5782500000000002"/>
    <x v="5"/>
    <x v="5"/>
    <n v="1.8249999999999999E-2"/>
  </r>
  <r>
    <x v="1"/>
    <x v="47"/>
    <x v="12"/>
    <n v="2.5749999999999999E-2"/>
    <x v="16"/>
    <x v="1"/>
    <x v="1"/>
    <x v="4"/>
    <n v="1.8492500000000001"/>
    <n v="7.0490000000000004"/>
    <n v="0.28582508169934634"/>
    <n v="1.6643250000000001"/>
    <n v="1.8492500000000001"/>
    <x v="5"/>
    <x v="5"/>
    <n v="1.8249999999999999E-2"/>
  </r>
  <r>
    <x v="1"/>
    <x v="48"/>
    <x v="12"/>
    <n v="2.5749999999999999E-2"/>
    <x v="17"/>
    <x v="1"/>
    <x v="1"/>
    <x v="4"/>
    <n v="2.0342500000000001"/>
    <n v="9.0629722222222213"/>
    <n v="0.38803235294117644"/>
    <n v="1.8308250000000001"/>
    <n v="2.0342500000000001"/>
    <x v="5"/>
    <x v="5"/>
    <n v="1.8249999999999999E-2"/>
  </r>
  <r>
    <x v="1"/>
    <x v="49"/>
    <x v="12"/>
    <n v="2.5749999999999999E-2"/>
    <x v="18"/>
    <x v="1"/>
    <x v="1"/>
    <x v="4"/>
    <n v="2.0992500000000001"/>
    <n v="11.141944444444443"/>
    <n v="0.50057785947712408"/>
    <n v="1.8893250000000001"/>
    <n v="2.0992500000000001"/>
    <x v="5"/>
    <x v="5"/>
    <n v="1.8249999999999999E-2"/>
  </r>
  <r>
    <x v="1"/>
    <x v="50"/>
    <x v="12"/>
    <n v="2.5749999999999999E-2"/>
    <x v="17"/>
    <x v="1"/>
    <x v="1"/>
    <x v="4"/>
    <n v="2.0342500000000001"/>
    <n v="13.155916666666664"/>
    <n v="0.6167557189542483"/>
    <n v="1.8308250000000001"/>
    <n v="2.0342500000000001"/>
    <x v="5"/>
    <x v="5"/>
    <n v="1.8249999999999999E-2"/>
  </r>
  <r>
    <x v="1"/>
    <x v="51"/>
    <x v="12"/>
    <n v="2.5749999999999999E-2"/>
    <x v="16"/>
    <x v="1"/>
    <x v="1"/>
    <x v="4"/>
    <n v="1.8492500000000001"/>
    <n v="14.984888888888886"/>
    <n v="0.72930122549019605"/>
    <n v="1.6643250000000001"/>
    <n v="1.8492500000000001"/>
    <x v="5"/>
    <x v="5"/>
    <n v="1.8249999999999999E-2"/>
  </r>
  <r>
    <x v="1"/>
    <x v="52"/>
    <x v="12"/>
    <n v="2.5749999999999999E-2"/>
    <x v="15"/>
    <x v="1"/>
    <x v="1"/>
    <x v="4"/>
    <n v="1.5782500000000002"/>
    <n v="16.542861111111108"/>
    <n v="0.83150849673202598"/>
    <n v="1.4204250000000003"/>
    <n v="1.5782500000000002"/>
    <x v="5"/>
    <x v="5"/>
    <n v="1.8249999999999999E-2"/>
  </r>
  <r>
    <x v="1"/>
    <x v="53"/>
    <x v="12"/>
    <n v="2.5749999999999999E-2"/>
    <x v="14"/>
    <x v="1"/>
    <x v="1"/>
    <x v="4"/>
    <n v="1.26325"/>
    <n v="17.785833333333329"/>
    <n v="0.91857165032679722"/>
    <n v="1.136925"/>
    <n v="1.26325"/>
    <x v="5"/>
    <x v="5"/>
    <n v="1.8249999999999999E-2"/>
  </r>
  <r>
    <x v="1"/>
    <x v="54"/>
    <x v="12"/>
    <n v="2.5749999999999999E-2"/>
    <x v="13"/>
    <x v="1"/>
    <x v="2"/>
    <x v="4"/>
    <n v="0.94724999999999993"/>
    <n v="18"/>
    <n v="0.9880318627450978"/>
    <n v="0.21416666666667084"/>
    <n v="0.23796296296296759"/>
    <x v="5"/>
    <x v="5"/>
    <n v="1.8249999999999999E-2"/>
  </r>
  <r>
    <x v="1"/>
    <x v="55"/>
    <x v="12"/>
    <n v="2.5749999999999999E-2"/>
    <x v="12"/>
    <x v="1"/>
    <x v="3"/>
    <x v="4"/>
    <n v="0.6642499999999999"/>
    <n v="17.979722222222222"/>
    <n v="1"/>
    <n v="0"/>
    <n v="0"/>
    <x v="5"/>
    <x v="5"/>
    <n v="1.8249999999999999E-2"/>
  </r>
  <r>
    <x v="1"/>
    <x v="56"/>
    <x v="12"/>
    <n v="2.5749999999999999E-2"/>
    <x v="11"/>
    <x v="1"/>
    <x v="4"/>
    <x v="4"/>
    <n v="0.43425000000000002"/>
    <n v="17.981975308641974"/>
    <n v="0.99886683006535937"/>
    <n v="2.0277777777778283E-2"/>
    <n v="2.2530864197531426E-2"/>
    <x v="5"/>
    <x v="5"/>
    <n v="1.8249999999999999E-2"/>
  </r>
  <r>
    <x v="1"/>
    <x v="57"/>
    <x v="13"/>
    <n v="0.28799999999999998"/>
    <x v="10"/>
    <x v="1"/>
    <x v="1"/>
    <x v="5"/>
    <n v="-0.73775000000000013"/>
    <n v="17.141975308641975"/>
    <n v="0.99899273783587506"/>
    <n v="0"/>
    <n v="0"/>
    <x v="6"/>
    <x v="6"/>
    <n v="1.8249999999999999E-2"/>
  </r>
  <r>
    <x v="1"/>
    <x v="58"/>
    <x v="12"/>
    <n v="2.5749999999999999E-2"/>
    <x v="9"/>
    <x v="1"/>
    <x v="1"/>
    <x v="4"/>
    <n v="0.14325000000000002"/>
    <n v="17.264947530864195"/>
    <n v="0.95205156136528679"/>
    <n v="0.12892500000000001"/>
    <n v="0.14325000000000002"/>
    <x v="5"/>
    <x v="5"/>
    <n v="1.8249999999999999E-2"/>
  </r>
  <r>
    <x v="1"/>
    <x v="59"/>
    <x v="12"/>
    <n v="2.5749999999999999E-2"/>
    <x v="8"/>
    <x v="1"/>
    <x v="1"/>
    <x v="4"/>
    <n v="6.7250000000000004E-2"/>
    <n v="17.311919753086418"/>
    <n v="0.95892353848946965"/>
    <n v="6.0525000000000002E-2"/>
    <n v="6.7250000000000004E-2"/>
    <x v="5"/>
    <x v="5"/>
    <n v="1.8249999999999999E-2"/>
  </r>
  <r>
    <x v="1"/>
    <x v="60"/>
    <x v="12"/>
    <n v="2.5749999999999999E-2"/>
    <x v="7"/>
    <x v="1"/>
    <x v="1"/>
    <x v="4"/>
    <n v="2.2250000000000002E-2"/>
    <n v="17.313891975308639"/>
    <n v="0.96154845679012335"/>
    <n v="2.0025000000000001E-2"/>
    <n v="2.2250000000000002E-2"/>
    <x v="5"/>
    <x v="5"/>
    <n v="1.8249999999999999E-2"/>
  </r>
  <r>
    <x v="1"/>
    <x v="61"/>
    <x v="12"/>
    <n v="2.4E-2"/>
    <x v="6"/>
    <x v="1"/>
    <x v="1"/>
    <x v="6"/>
    <n v="-1.7499999999999981E-3"/>
    <n v="17.291669753086417"/>
    <n v="0.96165866920842402"/>
    <n v="0"/>
    <n v="0"/>
    <x v="7"/>
    <x v="7"/>
    <n v="1.8249999999999999E-2"/>
  </r>
  <r>
    <x v="1"/>
    <x v="62"/>
    <x v="12"/>
    <n v="1.0999999999999999E-2"/>
    <x v="5"/>
    <x v="1"/>
    <x v="1"/>
    <x v="7"/>
    <n v="-1.4749999999999999E-2"/>
    <n v="17.255003086419752"/>
    <n v="0.96041683914306453"/>
    <n v="0"/>
    <n v="0"/>
    <x v="8"/>
    <x v="8"/>
    <n v="1.8249999999999999E-2"/>
  </r>
  <r>
    <x v="1"/>
    <x v="63"/>
    <x v="12"/>
    <n v="5.0000000000000001E-3"/>
    <x v="4"/>
    <x v="1"/>
    <x v="1"/>
    <x v="8"/>
    <n v="-2.0749999999999998E-2"/>
    <n v="17.211669753086419"/>
    <n v="0.95836781953522143"/>
    <n v="0"/>
    <n v="0"/>
    <x v="9"/>
    <x v="9"/>
    <n v="1.8249999999999999E-2"/>
  </r>
  <r>
    <x v="1"/>
    <x v="64"/>
    <x v="12"/>
    <n v="2E-3"/>
    <x v="3"/>
    <x v="1"/>
    <x v="1"/>
    <x v="9"/>
    <n v="-2.375E-2"/>
    <n v="17.165003086419752"/>
    <n v="0.95594625090777052"/>
    <n v="0"/>
    <n v="0"/>
    <x v="10"/>
    <x v="10"/>
    <n v="1.8249999999999999E-2"/>
  </r>
  <r>
    <x v="1"/>
    <x v="65"/>
    <x v="13"/>
    <n v="1E-3"/>
    <x v="2"/>
    <x v="1"/>
    <x v="1"/>
    <x v="10"/>
    <n v="-1.0247500000000003"/>
    <n v="16.006114197530863"/>
    <n v="0.95333840777051548"/>
    <n v="0"/>
    <n v="0"/>
    <x v="11"/>
    <x v="11"/>
    <n v="1.8249999999999999E-2"/>
  </r>
  <r>
    <x v="1"/>
    <x v="66"/>
    <x v="14"/>
    <n v="0"/>
    <x v="1"/>
    <x v="1"/>
    <x v="1"/>
    <x v="11"/>
    <n v="-1.0307500000000001"/>
    <n v="14.840558641975306"/>
    <n v="0.88857696986201884"/>
    <n v="0"/>
    <n v="0"/>
    <x v="12"/>
    <x v="12"/>
    <n v="1.8249999999999999E-2"/>
  </r>
  <r>
    <x v="1"/>
    <x v="67"/>
    <x v="15"/>
    <n v="0"/>
    <x v="1"/>
    <x v="1"/>
    <x v="1"/>
    <x v="12"/>
    <n v="-1.0807500000000001"/>
    <n v="13.619447530864194"/>
    <n v="0.82344298293391416"/>
    <n v="0"/>
    <n v="0"/>
    <x v="13"/>
    <x v="13"/>
    <n v="1.8249999999999999E-2"/>
  </r>
  <r>
    <x v="1"/>
    <x v="68"/>
    <x v="16"/>
    <n v="0"/>
    <x v="1"/>
    <x v="1"/>
    <x v="1"/>
    <x v="13"/>
    <n v="-1.06325"/>
    <n v="12.417780864197528"/>
    <n v="0.7552044208424108"/>
    <n v="0"/>
    <n v="0"/>
    <x v="14"/>
    <x v="14"/>
    <n v="1.8249999999999999E-2"/>
  </r>
  <r>
    <x v="1"/>
    <x v="69"/>
    <x v="17"/>
    <n v="0"/>
    <x v="1"/>
    <x v="1"/>
    <x v="1"/>
    <x v="14"/>
    <n v="-1.0707499999999999"/>
    <n v="11.207780864197527"/>
    <n v="0.68805246005809717"/>
    <n v="0"/>
    <n v="0"/>
    <x v="15"/>
    <x v="15"/>
    <n v="1.8249999999999999E-2"/>
  </r>
  <r>
    <x v="1"/>
    <x v="70"/>
    <x v="17"/>
    <n v="0"/>
    <x v="1"/>
    <x v="1"/>
    <x v="1"/>
    <x v="14"/>
    <n v="-1.0707499999999999"/>
    <n v="9.9977808641975265"/>
    <n v="0.62043481299927361"/>
    <n v="0"/>
    <n v="0"/>
    <x v="15"/>
    <x v="15"/>
    <n v="1.8249999999999999E-2"/>
  </r>
  <r>
    <x v="1"/>
    <x v="71"/>
    <x v="18"/>
    <n v="0"/>
    <x v="1"/>
    <x v="1"/>
    <x v="1"/>
    <x v="15"/>
    <n v="-2.5747499999999999"/>
    <n v="7.1166697530864154"/>
    <n v="0.55281716594045005"/>
    <n v="0"/>
    <n v="0"/>
    <x v="16"/>
    <x v="16"/>
    <n v="1.8249999999999999E-2"/>
  </r>
  <r>
    <x v="1"/>
    <x v="72"/>
    <x v="19"/>
    <n v="0"/>
    <x v="1"/>
    <x v="1"/>
    <x v="1"/>
    <x v="16"/>
    <n v="-3.3247499999999999"/>
    <n v="3.4022253086419711"/>
    <n v="0.39181389796659377"/>
    <n v="0"/>
    <n v="0"/>
    <x v="17"/>
    <x v="17"/>
    <n v="1.8249999999999999E-2"/>
  </r>
  <r>
    <x v="1"/>
    <x v="73"/>
    <x v="19"/>
    <n v="0"/>
    <x v="1"/>
    <x v="18"/>
    <x v="1"/>
    <x v="17"/>
    <n v="-3.3247499999999999"/>
    <n v="1"/>
    <n v="0.18424200254175721"/>
    <n v="0"/>
    <n v="0"/>
    <x v="18"/>
    <x v="18"/>
    <n v="1.8249999999999999E-2"/>
  </r>
  <r>
    <x v="1"/>
    <x v="74"/>
    <x v="20"/>
    <n v="0"/>
    <x v="1"/>
    <x v="19"/>
    <x v="1"/>
    <x v="4"/>
    <n v="-3.3097500000000002"/>
    <n v="1"/>
    <n v="0.05"/>
    <n v="0"/>
    <n v="0"/>
    <x v="4"/>
    <x v="4"/>
    <n v="1.8249999999999999E-2"/>
  </r>
  <r>
    <x v="1"/>
    <x v="75"/>
    <x v="21"/>
    <n v="0"/>
    <x v="1"/>
    <x v="20"/>
    <x v="1"/>
    <x v="4"/>
    <n v="-1.80975"/>
    <n v="1"/>
    <n v="0.05"/>
    <n v="0"/>
    <n v="0"/>
    <x v="4"/>
    <x v="4"/>
    <n v="1.8249999999999999E-2"/>
  </r>
  <r>
    <x v="1"/>
    <x v="76"/>
    <x v="22"/>
    <n v="0"/>
    <x v="1"/>
    <x v="21"/>
    <x v="1"/>
    <x v="4"/>
    <n v="-1.8127500000000001"/>
    <n v="1"/>
    <n v="0.05"/>
    <n v="0"/>
    <n v="0"/>
    <x v="4"/>
    <x v="4"/>
    <n v="1.8249999999999999E-2"/>
  </r>
  <r>
    <x v="1"/>
    <x v="77"/>
    <x v="23"/>
    <n v="0"/>
    <x v="1"/>
    <x v="22"/>
    <x v="1"/>
    <x v="4"/>
    <n v="-1.839"/>
    <n v="1"/>
    <n v="0.05"/>
    <n v="0"/>
    <n v="0"/>
    <x v="4"/>
    <x v="4"/>
    <n v="1.8249999999999999E-2"/>
  </r>
  <r>
    <x v="1"/>
    <x v="78"/>
    <x v="24"/>
    <n v="0"/>
    <x v="1"/>
    <x v="23"/>
    <x v="1"/>
    <x v="4"/>
    <n v="-0.56399999999999995"/>
    <n v="1"/>
    <n v="0.05"/>
    <n v="0"/>
    <n v="0"/>
    <x v="4"/>
    <x v="4"/>
    <n v="1.8249999999999999E-2"/>
  </r>
  <r>
    <x v="1"/>
    <x v="79"/>
    <x v="25"/>
    <n v="0"/>
    <x v="1"/>
    <x v="24"/>
    <x v="1"/>
    <x v="4"/>
    <n v="-0.62649999999999995"/>
    <n v="1"/>
    <n v="0.05"/>
    <n v="0"/>
    <n v="0"/>
    <x v="4"/>
    <x v="4"/>
    <n v="1.8249999999999999E-2"/>
  </r>
  <r>
    <x v="1"/>
    <x v="80"/>
    <x v="26"/>
    <n v="0"/>
    <x v="1"/>
    <x v="25"/>
    <x v="1"/>
    <x v="4"/>
    <n v="-0.63049999999999995"/>
    <n v="1"/>
    <n v="0.05"/>
    <n v="0"/>
    <n v="0"/>
    <x v="4"/>
    <x v="4"/>
    <n v="1.8249999999999999E-2"/>
  </r>
  <r>
    <x v="1"/>
    <x v="81"/>
    <x v="26"/>
    <n v="0"/>
    <x v="1"/>
    <x v="25"/>
    <x v="1"/>
    <x v="4"/>
    <n v="-0.63049999999999995"/>
    <n v="1"/>
    <n v="0.05"/>
    <n v="0"/>
    <n v="0"/>
    <x v="4"/>
    <x v="4"/>
    <n v="1.8249999999999999E-2"/>
  </r>
  <r>
    <x v="1"/>
    <x v="82"/>
    <x v="26"/>
    <n v="0"/>
    <x v="1"/>
    <x v="25"/>
    <x v="1"/>
    <x v="4"/>
    <n v="-0.63049999999999995"/>
    <n v="1"/>
    <n v="0.05"/>
    <n v="0"/>
    <n v="0"/>
    <x v="4"/>
    <x v="4"/>
    <n v="1.8249999999999999E-2"/>
  </r>
  <r>
    <x v="1"/>
    <x v="83"/>
    <x v="26"/>
    <n v="0"/>
    <x v="1"/>
    <x v="25"/>
    <x v="1"/>
    <x v="4"/>
    <n v="-0.63049999999999995"/>
    <n v="1"/>
    <n v="0.05"/>
    <n v="0"/>
    <n v="0"/>
    <x v="4"/>
    <x v="4"/>
    <n v="1.8249999999999999E-2"/>
  </r>
  <r>
    <x v="1"/>
    <x v="84"/>
    <x v="27"/>
    <n v="0"/>
    <x v="1"/>
    <x v="26"/>
    <x v="1"/>
    <x v="4"/>
    <n v="-1.1305000000000001"/>
    <n v="1"/>
    <n v="0.05"/>
    <n v="0"/>
    <n v="0"/>
    <x v="4"/>
    <x v="4"/>
    <n v="1.8249999999999999E-2"/>
  </r>
  <r>
    <x v="1"/>
    <x v="85"/>
    <x v="28"/>
    <n v="0"/>
    <x v="1"/>
    <x v="27"/>
    <x v="1"/>
    <x v="4"/>
    <n v="-1.6805000000000001"/>
    <n v="1"/>
    <n v="0.05"/>
    <n v="0"/>
    <n v="0"/>
    <x v="4"/>
    <x v="4"/>
    <n v="1.8249999999999999E-2"/>
  </r>
  <r>
    <x v="1"/>
    <x v="86"/>
    <x v="29"/>
    <n v="0"/>
    <x v="1"/>
    <x v="28"/>
    <x v="1"/>
    <x v="4"/>
    <n v="-1.6745000000000001"/>
    <n v="1"/>
    <n v="0.05"/>
    <n v="0"/>
    <n v="0"/>
    <x v="4"/>
    <x v="4"/>
    <n v="1.8249999999999999E-2"/>
  </r>
  <r>
    <x v="1"/>
    <x v="87"/>
    <x v="30"/>
    <n v="0"/>
    <x v="1"/>
    <x v="29"/>
    <x v="1"/>
    <x v="4"/>
    <n v="-1.6820000000000002"/>
    <n v="1"/>
    <n v="0.05"/>
    <n v="0"/>
    <n v="0"/>
    <x v="4"/>
    <x v="4"/>
    <n v="1.8249999999999999E-2"/>
  </r>
  <r>
    <x v="1"/>
    <x v="88"/>
    <x v="31"/>
    <n v="0"/>
    <x v="1"/>
    <x v="30"/>
    <x v="1"/>
    <x v="4"/>
    <n v="-1.1819999999999999"/>
    <n v="1"/>
    <n v="0.05"/>
    <n v="0"/>
    <n v="0"/>
    <x v="4"/>
    <x v="4"/>
    <n v="1.8249999999999999E-2"/>
  </r>
  <r>
    <x v="1"/>
    <x v="89"/>
    <x v="31"/>
    <n v="0"/>
    <x v="1"/>
    <x v="30"/>
    <x v="1"/>
    <x v="4"/>
    <n v="-1.1819999999999999"/>
    <n v="1"/>
    <n v="0.05"/>
    <n v="0"/>
    <n v="0"/>
    <x v="4"/>
    <x v="4"/>
    <n v="1.8249999999999999E-2"/>
  </r>
  <r>
    <x v="1"/>
    <x v="90"/>
    <x v="32"/>
    <n v="0"/>
    <x v="1"/>
    <x v="31"/>
    <x v="1"/>
    <x v="4"/>
    <n v="-1.1779999999999999"/>
    <n v="1"/>
    <n v="0.05"/>
    <n v="0"/>
    <n v="0"/>
    <x v="4"/>
    <x v="4"/>
    <n v="1.8249999999999999E-2"/>
  </r>
  <r>
    <x v="1"/>
    <x v="91"/>
    <x v="33"/>
    <n v="0"/>
    <x v="1"/>
    <x v="32"/>
    <x v="1"/>
    <x v="4"/>
    <n v="-1.1855"/>
    <n v="1"/>
    <n v="0.05"/>
    <n v="0"/>
    <n v="0"/>
    <x v="4"/>
    <x v="4"/>
    <n v="1.8249999999999999E-2"/>
  </r>
  <r>
    <x v="1"/>
    <x v="92"/>
    <x v="34"/>
    <n v="0"/>
    <x v="1"/>
    <x v="33"/>
    <x v="1"/>
    <x v="4"/>
    <n v="-0.57299999999999995"/>
    <n v="1"/>
    <n v="0.05"/>
    <n v="0"/>
    <n v="0"/>
    <x v="4"/>
    <x v="4"/>
    <n v="1.8249999999999999E-2"/>
  </r>
  <r>
    <x v="1"/>
    <x v="93"/>
    <x v="35"/>
    <n v="0"/>
    <x v="1"/>
    <x v="34"/>
    <x v="1"/>
    <x v="4"/>
    <n v="-1.073"/>
    <n v="1"/>
    <n v="0.05"/>
    <n v="0"/>
    <n v="0"/>
    <x v="4"/>
    <x v="4"/>
    <n v="1.8249999999999999E-2"/>
  </r>
  <r>
    <x v="1"/>
    <x v="94"/>
    <x v="36"/>
    <n v="0"/>
    <x v="1"/>
    <x v="35"/>
    <x v="1"/>
    <x v="4"/>
    <n v="-1.05175"/>
    <n v="1"/>
    <n v="0.05"/>
    <n v="0"/>
    <n v="0"/>
    <x v="4"/>
    <x v="4"/>
    <n v="1.8249999999999999E-2"/>
  </r>
  <r>
    <x v="1"/>
    <x v="95"/>
    <x v="37"/>
    <n v="0"/>
    <x v="1"/>
    <x v="36"/>
    <x v="1"/>
    <x v="4"/>
    <n v="-0.54574999999999996"/>
    <n v="1"/>
    <n v="0.05"/>
    <n v="0"/>
    <n v="0"/>
    <x v="4"/>
    <x v="4"/>
    <n v="1.8249999999999999E-2"/>
  </r>
  <r>
    <x v="1"/>
    <x v="96"/>
    <x v="5"/>
    <n v="0"/>
    <x v="1"/>
    <x v="6"/>
    <x v="1"/>
    <x v="4"/>
    <n v="-0.54074999999999995"/>
    <n v="1"/>
    <n v="0.05"/>
    <n v="0"/>
    <n v="0"/>
    <x v="4"/>
    <x v="4"/>
    <n v="1.824999999999999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s v="kWh"/>
    <s v="kwh"/>
    <s v="kWh"/>
    <s v="kWh"/>
    <s v="kWh"/>
    <s v="kWh"/>
    <s v="kWh"/>
    <n v="10"/>
    <s v="%"/>
    <s v="kWh"/>
    <s v="kWh"/>
    <s v="kWh"/>
    <s v="kWh"/>
    <s v="kWh"/>
  </r>
  <r>
    <x v="1"/>
    <x v="1"/>
    <n v="0.54449999999999998"/>
    <n v="0"/>
    <n v="0"/>
    <n v="0"/>
    <n v="0"/>
    <n v="0.54449999999999998"/>
    <n v="-0.54449999999999998"/>
    <n v="9.3747222222222231"/>
    <n v="0.55294117647058827"/>
    <n v="0"/>
    <n v="0"/>
    <n v="0.56274999999999997"/>
    <n v="0.62527777777777771"/>
    <n v="1.8249999999999999E-2"/>
  </r>
  <r>
    <x v="1"/>
    <x v="2"/>
    <n v="0.54449999999999998"/>
    <n v="0"/>
    <n v="0"/>
    <n v="0"/>
    <n v="0"/>
    <n v="0.54449999999999998"/>
    <n v="-0.54449999999999998"/>
    <n v="8.7494444444444461"/>
    <n v="0.51799918300653602"/>
    <n v="0"/>
    <n v="0"/>
    <n v="0.56274999999999997"/>
    <n v="0.62527777777777771"/>
    <n v="1.8249999999999999E-2"/>
  </r>
  <r>
    <x v="1"/>
    <x v="3"/>
    <n v="0.54449999999999998"/>
    <n v="0"/>
    <n v="0"/>
    <n v="0"/>
    <n v="0"/>
    <n v="0.54449999999999998"/>
    <n v="-0.54449999999999998"/>
    <n v="8.1241666666666692"/>
    <n v="0.48305718954248372"/>
    <n v="0"/>
    <n v="0"/>
    <n v="0.56274999999999997"/>
    <n v="0.62527777777777771"/>
    <n v="1.8249999999999999E-2"/>
  </r>
  <r>
    <x v="1"/>
    <x v="4"/>
    <n v="0.54449999999999998"/>
    <n v="0"/>
    <n v="0"/>
    <n v="0"/>
    <n v="0"/>
    <n v="0.54449999999999998"/>
    <n v="-0.54449999999999998"/>
    <n v="7.4988888888888914"/>
    <n v="0.44811519607843148"/>
    <n v="0"/>
    <n v="0"/>
    <n v="0.56274999999999997"/>
    <n v="0.62527777777777771"/>
    <n v="1.8249999999999999E-2"/>
  </r>
  <r>
    <x v="1"/>
    <x v="5"/>
    <n v="0.54449999999999998"/>
    <n v="0"/>
    <n v="0"/>
    <n v="0"/>
    <n v="0"/>
    <n v="0.54449999999999998"/>
    <n v="-0.54449999999999998"/>
    <n v="6.8736111111111136"/>
    <n v="0.41317320261437923"/>
    <n v="0"/>
    <n v="0"/>
    <n v="0.56274999999999997"/>
    <n v="0.62527777777777771"/>
    <n v="1.8249999999999999E-2"/>
  </r>
  <r>
    <x v="1"/>
    <x v="6"/>
    <n v="0.54449999999999998"/>
    <n v="0"/>
    <n v="0"/>
    <n v="0"/>
    <n v="0"/>
    <n v="0.54449999999999998"/>
    <n v="-0.54449999999999998"/>
    <n v="6.2483333333333357"/>
    <n v="0.37823120915032693"/>
    <n v="0"/>
    <n v="0"/>
    <n v="0.56274999999999997"/>
    <n v="0.62527777777777771"/>
    <n v="1.8249999999999999E-2"/>
  </r>
  <r>
    <x v="1"/>
    <x v="7"/>
    <n v="0.54449999999999998"/>
    <n v="0"/>
    <n v="0"/>
    <n v="0"/>
    <n v="0"/>
    <n v="0.54449999999999998"/>
    <n v="-0.54449999999999998"/>
    <n v="5.6230555555555579"/>
    <n v="0.34328921568627463"/>
    <n v="0"/>
    <n v="0"/>
    <n v="0.56274999999999997"/>
    <n v="0.62527777777777771"/>
    <n v="1.8249999999999999E-2"/>
  </r>
  <r>
    <x v="1"/>
    <x v="8"/>
    <n v="0.54449999999999998"/>
    <n v="0"/>
    <n v="0"/>
    <n v="0"/>
    <n v="0"/>
    <n v="0.54449999999999998"/>
    <n v="-0.54449999999999998"/>
    <n v="4.9977777777777801"/>
    <n v="0.30834722222222233"/>
    <n v="0"/>
    <n v="0"/>
    <n v="0.56274999999999997"/>
    <n v="0.62527777777777771"/>
    <n v="1.8249999999999999E-2"/>
  </r>
  <r>
    <x v="1"/>
    <x v="9"/>
    <n v="0.54449999999999998"/>
    <n v="0"/>
    <n v="0"/>
    <n v="0"/>
    <n v="0"/>
    <n v="0.54449999999999998"/>
    <n v="-0.54449999999999998"/>
    <n v="4.3725000000000023"/>
    <n v="0.27340522875817003"/>
    <n v="0"/>
    <n v="0"/>
    <n v="0.56274999999999997"/>
    <n v="0.62527777777777771"/>
    <n v="1.8249999999999999E-2"/>
  </r>
  <r>
    <x v="1"/>
    <x v="10"/>
    <n v="0.52574999999999994"/>
    <n v="0"/>
    <n v="0"/>
    <n v="0"/>
    <n v="0"/>
    <n v="0.52574999999999994"/>
    <n v="-0.52574999999999994"/>
    <n v="3.7680555555555579"/>
    <n v="0.23846323529411778"/>
    <n v="0"/>
    <n v="0"/>
    <n v="0.54399999999999993"/>
    <n v="0.60444444444444434"/>
    <n v="1.8249999999999999E-2"/>
  </r>
  <r>
    <x v="1"/>
    <x v="11"/>
    <n v="0.52574999999999994"/>
    <n v="0"/>
    <n v="0"/>
    <n v="0"/>
    <n v="0"/>
    <n v="0.52574999999999994"/>
    <n v="-0.52574999999999994"/>
    <n v="3.1636111111111136"/>
    <n v="0.20468545751633999"/>
    <n v="0"/>
    <n v="0"/>
    <n v="0.54399999999999993"/>
    <n v="0.60444444444444434"/>
    <n v="1.8249999999999999E-2"/>
  </r>
  <r>
    <x v="1"/>
    <x v="12"/>
    <n v="0.52574999999999994"/>
    <n v="0"/>
    <n v="0"/>
    <n v="0"/>
    <n v="0"/>
    <n v="0.52574999999999994"/>
    <n v="-0.52574999999999994"/>
    <n v="2.5591666666666693"/>
    <n v="0.17090767973856222"/>
    <n v="0"/>
    <n v="0"/>
    <n v="0.54399999999999993"/>
    <n v="0.60444444444444434"/>
    <n v="1.8249999999999999E-2"/>
  </r>
  <r>
    <x v="1"/>
    <x v="13"/>
    <n v="0.52574999999999994"/>
    <n v="0"/>
    <n v="0"/>
    <n v="0"/>
    <n v="0"/>
    <n v="0.52574999999999994"/>
    <n v="-0.52574999999999994"/>
    <n v="1.9547222222222249"/>
    <n v="0.13712990196078445"/>
    <n v="0"/>
    <n v="0"/>
    <n v="0.54399999999999993"/>
    <n v="0.60444444444444434"/>
    <n v="1.8249999999999999E-2"/>
  </r>
  <r>
    <x v="1"/>
    <x v="14"/>
    <n v="0.52574999999999994"/>
    <n v="0"/>
    <n v="0"/>
    <n v="0"/>
    <n v="0"/>
    <n v="0.52574999999999994"/>
    <n v="-0.52574999999999994"/>
    <n v="1.3502777777777806"/>
    <n v="0.10335212418300668"/>
    <n v="0"/>
    <n v="0"/>
    <n v="0.54399999999999993"/>
    <n v="0.60444444444444434"/>
    <n v="1.8249999999999999E-2"/>
  </r>
  <r>
    <x v="1"/>
    <x v="15"/>
    <n v="0.52574999999999994"/>
    <n v="0"/>
    <n v="0"/>
    <n v="0.17547222222221937"/>
    <n v="0"/>
    <n v="0.35027777777778057"/>
    <n v="-0.52574999999999994"/>
    <n v="1"/>
    <n v="6.9574346405228915E-2"/>
    <n v="0"/>
    <n v="0"/>
    <n v="0.35027777777778057"/>
    <n v="0.38919753086420061"/>
    <n v="1.8249999999999999E-2"/>
  </r>
  <r>
    <x v="1"/>
    <x v="16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17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18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19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20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21"/>
    <n v="0.52574999999999994"/>
    <n v="2E-3"/>
    <n v="2E-3"/>
    <n v="0.52374999999999994"/>
    <n v="0"/>
    <n v="0"/>
    <n v="-0.52374999999999994"/>
    <n v="1"/>
    <n v="0.05"/>
    <n v="0"/>
    <n v="0"/>
    <n v="0"/>
    <n v="0"/>
    <n v="1.8249999999999999E-2"/>
  </r>
  <r>
    <x v="1"/>
    <x v="22"/>
    <n v="0.52574999999999994"/>
    <n v="6.0000000000000001E-3"/>
    <n v="6.0000000000000001E-3"/>
    <n v="0.51974999999999993"/>
    <n v="0"/>
    <n v="0"/>
    <n v="-0.51974999999999993"/>
    <n v="1"/>
    <n v="0.05"/>
    <n v="0"/>
    <n v="0"/>
    <n v="0"/>
    <n v="0"/>
    <n v="1.8249999999999999E-2"/>
  </r>
  <r>
    <x v="1"/>
    <x v="23"/>
    <n v="0.52574999999999994"/>
    <n v="1.0999999999999999E-2"/>
    <n v="1.0999999999999999E-2"/>
    <n v="0.51474999999999993"/>
    <n v="0"/>
    <n v="0"/>
    <n v="-0.51474999999999993"/>
    <n v="1"/>
    <n v="0.05"/>
    <n v="0"/>
    <n v="0"/>
    <n v="0"/>
    <n v="0"/>
    <n v="1.8249999999999999E-2"/>
  </r>
  <r>
    <x v="1"/>
    <x v="24"/>
    <n v="0.53074999999999994"/>
    <n v="1.7999999999999999E-2"/>
    <n v="1.7999999999999999E-2"/>
    <n v="0.51274999999999993"/>
    <n v="0"/>
    <n v="0"/>
    <n v="-0.51274999999999993"/>
    <n v="1"/>
    <n v="0.05"/>
    <n v="0"/>
    <n v="0"/>
    <n v="0"/>
    <n v="0"/>
    <n v="1.8249999999999999E-2"/>
  </r>
  <r>
    <x v="1"/>
    <x v="25"/>
    <n v="0.53174999999999994"/>
    <n v="2.8000000000000001E-2"/>
    <n v="2.8000000000000001E-2"/>
    <n v="0.50374999999999992"/>
    <n v="0"/>
    <n v="0"/>
    <n v="-0.50374999999999992"/>
    <n v="1"/>
    <n v="0.05"/>
    <n v="0"/>
    <n v="0"/>
    <n v="0"/>
    <n v="0"/>
    <n v="1.8249999999999999E-2"/>
  </r>
  <r>
    <x v="1"/>
    <x v="26"/>
    <n v="0.54074999999999995"/>
    <n v="4.2000000000000003E-2"/>
    <n v="4.2000000000000003E-2"/>
    <n v="0.49874999999999997"/>
    <n v="0"/>
    <n v="0"/>
    <n v="-0.49874999999999997"/>
    <n v="1"/>
    <n v="0.05"/>
    <n v="0"/>
    <n v="0"/>
    <n v="0"/>
    <n v="0"/>
    <n v="1.8249999999999999E-2"/>
  </r>
  <r>
    <x v="1"/>
    <x v="27"/>
    <n v="0.73324999999999996"/>
    <n v="5.8999999999999997E-2"/>
    <n v="5.8999999999999997E-2"/>
    <n v="0.67425000000000002"/>
    <n v="0"/>
    <n v="0"/>
    <n v="-0.67425000000000002"/>
    <n v="1"/>
    <n v="0.05"/>
    <n v="0"/>
    <n v="0"/>
    <n v="0"/>
    <n v="0"/>
    <n v="1.8249999999999999E-2"/>
  </r>
  <r>
    <x v="1"/>
    <x v="28"/>
    <n v="2.9157500000000001"/>
    <n v="8.3000000000000004E-2"/>
    <n v="8.3000000000000004E-2"/>
    <n v="2.8327499999999999"/>
    <n v="0"/>
    <n v="0"/>
    <n v="-2.8327499999999999"/>
    <n v="1"/>
    <n v="0.05"/>
    <n v="0"/>
    <n v="0"/>
    <n v="0"/>
    <n v="0"/>
    <n v="1.8249999999999999E-2"/>
  </r>
  <r>
    <x v="1"/>
    <x v="29"/>
    <n v="2.5467500000000003"/>
    <n v="0.113"/>
    <n v="0.113"/>
    <n v="2.4337500000000003"/>
    <n v="0"/>
    <n v="0"/>
    <n v="-2.4337500000000003"/>
    <n v="1"/>
    <n v="0.05"/>
    <n v="0"/>
    <n v="0"/>
    <n v="0"/>
    <n v="0"/>
    <n v="1.8249999999999999E-2"/>
  </r>
  <r>
    <x v="1"/>
    <x v="30"/>
    <n v="0.54674999999999996"/>
    <n v="0.152"/>
    <n v="0.152"/>
    <n v="0.39474999999999993"/>
    <n v="0"/>
    <n v="0"/>
    <n v="-0.39474999999999993"/>
    <n v="1"/>
    <n v="0.05"/>
    <n v="0"/>
    <n v="0"/>
    <n v="0"/>
    <n v="0"/>
    <n v="1.8249999999999999E-2"/>
  </r>
  <r>
    <x v="1"/>
    <x v="31"/>
    <n v="0.59675"/>
    <n v="0.2"/>
    <n v="0.2"/>
    <n v="0.39674999999999999"/>
    <n v="0"/>
    <n v="0"/>
    <n v="-0.39674999999999999"/>
    <n v="1"/>
    <n v="0.05"/>
    <n v="0"/>
    <n v="0"/>
    <n v="0"/>
    <n v="0"/>
    <n v="1.8249999999999999E-2"/>
  </r>
  <r>
    <x v="1"/>
    <x v="32"/>
    <n v="0.53374999999999995"/>
    <n v="0.26100000000000001"/>
    <n v="0.26100000000000001"/>
    <n v="0.27274999999999994"/>
    <n v="0"/>
    <n v="0"/>
    <n v="-0.27274999999999994"/>
    <n v="1"/>
    <n v="0.05"/>
    <n v="0"/>
    <n v="0"/>
    <n v="0"/>
    <n v="0"/>
    <n v="1.8249999999999999E-2"/>
  </r>
  <r>
    <x v="1"/>
    <x v="33"/>
    <n v="0.53374999999999995"/>
    <n v="0.33400000000000002"/>
    <n v="0.33400000000000002"/>
    <n v="0.19974999999999993"/>
    <n v="0"/>
    <n v="0"/>
    <n v="-0.19974999999999993"/>
    <n v="1"/>
    <n v="0.05"/>
    <n v="0"/>
    <n v="0"/>
    <n v="0"/>
    <n v="0"/>
    <n v="1.8249999999999999E-2"/>
  </r>
  <r>
    <x v="1"/>
    <x v="34"/>
    <n v="2.5749999999999999E-2"/>
    <n v="2.5749999999999999E-2"/>
    <n v="0.42299999999999999"/>
    <n v="0"/>
    <n v="0"/>
    <n v="0"/>
    <n v="0.39724999999999999"/>
    <n v="1.3972500000000001"/>
    <n v="0.05"/>
    <n v="0.35752499999999998"/>
    <n v="0.39724999999999999"/>
    <n v="0"/>
    <n v="0"/>
    <n v="1.8249999999999999E-2"/>
  </r>
  <r>
    <x v="1"/>
    <x v="35"/>
    <n v="2.5749999999999999E-2"/>
    <n v="2.5749999999999999E-2"/>
    <n v="0.52800000000000002"/>
    <n v="0"/>
    <n v="0"/>
    <n v="0"/>
    <n v="0.50224999999999997"/>
    <n v="1.8792222222222223"/>
    <n v="7.2199264705882366E-2"/>
    <n v="0.45202500000000001"/>
    <n v="0.50224999999999997"/>
    <n v="1.8249999999999999E-2"/>
    <n v="2.0277777777777777E-2"/>
    <n v="1.8249999999999999E-2"/>
  </r>
  <r>
    <x v="1"/>
    <x v="36"/>
    <n v="2.5749999999999999E-2"/>
    <n v="2.5749999999999999E-2"/>
    <n v="0.65"/>
    <n v="0"/>
    <n v="0"/>
    <n v="0"/>
    <n v="0.62424999999999997"/>
    <n v="2.4831944444444445"/>
    <n v="9.9133006535947726E-2"/>
    <n v="0.56182500000000002"/>
    <n v="0.62424999999999997"/>
    <n v="1.8249999999999999E-2"/>
    <n v="2.0277777777777777E-2"/>
    <n v="1.8249999999999999E-2"/>
  </r>
  <r>
    <x v="1"/>
    <x v="37"/>
    <n v="2.5749999999999999E-2"/>
    <n v="2.5749999999999999E-2"/>
    <n v="0.79"/>
    <n v="0"/>
    <n v="0"/>
    <n v="0"/>
    <n v="0.76424999999999998"/>
    <n v="3.2271666666666667"/>
    <n v="0.1328843954248366"/>
    <n v="0.68782500000000002"/>
    <n v="0.76424999999999998"/>
    <n v="1.8249999999999999E-2"/>
    <n v="2.0277777777777777E-2"/>
    <n v="1.8249999999999999E-2"/>
  </r>
  <r>
    <x v="1"/>
    <x v="38"/>
    <n v="2.5749999999999999E-2"/>
    <n v="2.5749999999999999E-2"/>
    <n v="0.94899999999999995"/>
    <n v="0"/>
    <n v="0"/>
    <n v="0"/>
    <n v="0.9232499999999999"/>
    <n v="4.1301388888888892"/>
    <n v="0.1744593137254902"/>
    <n v="0.83092499999999991"/>
    <n v="0.9232499999999999"/>
    <n v="1.8249999999999999E-2"/>
    <n v="2.0277777777777777E-2"/>
    <n v="1.8249999999999999E-2"/>
  </r>
  <r>
    <x v="1"/>
    <x v="39"/>
    <n v="2.5749999999999999E-2"/>
    <n v="2.5749999999999999E-2"/>
    <n v="1.1240000000000001"/>
    <n v="0"/>
    <n v="0"/>
    <n v="0"/>
    <n v="1.0982500000000002"/>
    <n v="5.208111111111112"/>
    <n v="0.2249195261437909"/>
    <n v="0.98842500000000022"/>
    <n v="1.0982500000000002"/>
    <n v="1.8249999999999999E-2"/>
    <n v="2.0277777777777777E-2"/>
    <n v="1.8249999999999999E-2"/>
  </r>
  <r>
    <x v="1"/>
    <x v="40"/>
    <n v="2.5749999999999999E-2"/>
    <n v="2.5749999999999999E-2"/>
    <n v="1.3149999999999999"/>
    <n v="0"/>
    <n v="0"/>
    <n v="0"/>
    <n v="1.28925"/>
    <n v="6.4770833333333346"/>
    <n v="0.28515915032679745"/>
    <n v="1.1603250000000001"/>
    <n v="1.28925"/>
    <n v="1.8249999999999999E-2"/>
    <n v="2.0277777777777777E-2"/>
    <n v="1.8249999999999999E-2"/>
  </r>
  <r>
    <x v="1"/>
    <x v="41"/>
    <n v="2.5749999999999999E-2"/>
    <n v="2.5749999999999999E-2"/>
    <n v="1.52"/>
    <n v="0"/>
    <n v="0"/>
    <n v="0"/>
    <n v="1.4942500000000001"/>
    <n v="7.9510555555555573"/>
    <n v="0.35607230392156869"/>
    <n v="1.3448250000000002"/>
    <n v="1.4942500000000001"/>
    <n v="1.8249999999999999E-2"/>
    <n v="2.0277777777777777E-2"/>
    <n v="1.8249999999999999E-2"/>
  </r>
  <r>
    <x v="1"/>
    <x v="42"/>
    <n v="2.5749999999999999E-2"/>
    <n v="2.5749999999999999E-2"/>
    <n v="1.734"/>
    <n v="0"/>
    <n v="0"/>
    <n v="0"/>
    <n v="1.70825"/>
    <n v="9.6390277777777786"/>
    <n v="0.43844133986928113"/>
    <n v="1.537425"/>
    <n v="1.70825"/>
    <n v="1.8249999999999999E-2"/>
    <n v="2.0277777777777777E-2"/>
    <n v="1.8249999999999999E-2"/>
  </r>
  <r>
    <x v="1"/>
    <x v="43"/>
    <n v="2.5749999999999999E-2"/>
    <n v="2.5749999999999999E-2"/>
    <n v="1.9530000000000001"/>
    <n v="0"/>
    <n v="0"/>
    <n v="0"/>
    <n v="1.9272500000000001"/>
    <n v="11.546000000000001"/>
    <n v="0.53276919934640521"/>
    <n v="1.7345250000000001"/>
    <n v="1.9272500000000001"/>
    <n v="1.8249999999999999E-2"/>
    <n v="2.0277777777777777E-2"/>
    <n v="1.8249999999999999E-2"/>
  </r>
  <r>
    <x v="1"/>
    <x v="44"/>
    <n v="2.5749999999999999E-2"/>
    <n v="2.5749999999999999E-2"/>
    <n v="2.173"/>
    <n v="0"/>
    <n v="0"/>
    <n v="0"/>
    <n v="2.1472500000000001"/>
    <n v="13.672972222222223"/>
    <n v="0.63933529411764711"/>
    <n v="1.932525"/>
    <n v="2.1472500000000001"/>
    <n v="1.8249999999999999E-2"/>
    <n v="2.0277777777777777E-2"/>
    <n v="1.8249999999999999E-2"/>
  </r>
  <r>
    <x v="1"/>
    <x v="45"/>
    <n v="1.0257500000000002"/>
    <n v="1.0257500000000002"/>
    <n v="2.387"/>
    <n v="0"/>
    <n v="0"/>
    <n v="0"/>
    <n v="1.3612499999999998"/>
    <n v="15.013944444444444"/>
    <n v="0.75819550653594769"/>
    <n v="1.2251249999999998"/>
    <n v="1.3612499999999998"/>
    <n v="1.8249999999999999E-2"/>
    <n v="2.0277777777777777E-2"/>
    <n v="1.8249999999999999E-2"/>
  </r>
  <r>
    <x v="1"/>
    <x v="46"/>
    <n v="2.5749999999999999E-2"/>
    <n v="2.5749999999999999E-2"/>
    <n v="2.589"/>
    <n v="0"/>
    <n v="0"/>
    <n v="0"/>
    <n v="2.56325"/>
    <n v="17.556916666666666"/>
    <n v="0.83313218954248358"/>
    <n v="2.3069250000000001"/>
    <n v="2.56325"/>
    <n v="1.8249999999999999E-2"/>
    <n v="2.0277777777777777E-2"/>
    <n v="1.8249999999999999E-2"/>
  </r>
  <r>
    <x v="1"/>
    <x v="47"/>
    <n v="2.5749999999999999E-2"/>
    <n v="2.5749999999999999E-2"/>
    <n v="2.774"/>
    <n v="0"/>
    <n v="2.2559351851851845"/>
    <n v="0"/>
    <n v="2.7482500000000001"/>
    <n v="18"/>
    <n v="0.97523946078431367"/>
    <n v="0.44308333333333394"/>
    <n v="0.49231481481481548"/>
    <n v="1.8249999999999999E-2"/>
    <n v="2.0277777777777777E-2"/>
    <n v="1.8249999999999999E-2"/>
  </r>
  <r>
    <x v="1"/>
    <x v="48"/>
    <n v="2.5749999999999999E-2"/>
    <n v="2.5749999999999999E-2"/>
    <n v="2.9350000000000001"/>
    <n v="0"/>
    <n v="2.9092500000000001"/>
    <n v="0"/>
    <n v="2.9092500000000001"/>
    <n v="17.979722222222222"/>
    <n v="1"/>
    <n v="0"/>
    <n v="0"/>
    <n v="1.8249999999999999E-2"/>
    <n v="2.0277777777777777E-2"/>
    <n v="1.8249999999999999E-2"/>
  </r>
  <r>
    <x v="1"/>
    <x v="49"/>
    <n v="2.5749999999999999E-2"/>
    <n v="2.5749999999999999E-2"/>
    <n v="3.0659999999999998"/>
    <n v="0"/>
    <n v="3.0177191358024684"/>
    <n v="0"/>
    <n v="3.0402499999999999"/>
    <n v="17.981975308641974"/>
    <n v="0.99886683006535937"/>
    <n v="2.0277777777778283E-2"/>
    <n v="2.2530864197531426E-2"/>
    <n v="1.8249999999999999E-2"/>
    <n v="2.0277777777777777E-2"/>
    <n v="1.8249999999999999E-2"/>
  </r>
  <r>
    <x v="1"/>
    <x v="50"/>
    <n v="2.5749999999999999E-2"/>
    <n v="2.5749999999999999E-2"/>
    <n v="3.1640000000000001"/>
    <n v="0"/>
    <n v="3.1182225651577498"/>
    <n v="0"/>
    <n v="3.1382500000000002"/>
    <n v="17.981724965706448"/>
    <n v="0.99899273783587506"/>
    <n v="1.8024691358025535E-2"/>
    <n v="2.0027434842250596E-2"/>
    <n v="1.8249999999999999E-2"/>
    <n v="2.0277777777777777E-2"/>
    <n v="1.8249999999999999E-2"/>
  </r>
  <r>
    <x v="1"/>
    <x v="51"/>
    <n v="2.5749999999999999E-2"/>
    <n v="2.5749999999999999E-2"/>
    <n v="3.2240000000000002"/>
    <n v="0"/>
    <n v="3.1779444063404978"/>
    <n v="0"/>
    <n v="3.1982500000000003"/>
    <n v="17.98175278158817"/>
    <n v="0.99897874808359566"/>
    <n v="1.8275034293552039E-2"/>
    <n v="2.0305593659502266E-2"/>
    <n v="1.8249999999999999E-2"/>
    <n v="2.0277777777777777E-2"/>
    <n v="1.8249999999999999E-2"/>
  </r>
  <r>
    <x v="1"/>
    <x v="52"/>
    <n v="2.5749999999999999E-2"/>
    <n v="2.5749999999999999E-2"/>
    <n v="3.2440000000000002"/>
    <n v="0"/>
    <n v="3.1979753128757453"/>
    <n v="0"/>
    <n v="3.2182500000000003"/>
    <n v="17.981749690934649"/>
    <n v="0.99898030250051539"/>
    <n v="1.8247218411829635E-2"/>
    <n v="2.0274687124255151E-2"/>
    <n v="1.8249999999999999E-2"/>
    <n v="2.0277777777777777E-2"/>
    <n v="1.8249999999999999E-2"/>
  </r>
  <r>
    <x v="1"/>
    <x v="53"/>
    <n v="2.5749999999999999E-2"/>
    <n v="2.5749999999999999E-2"/>
    <n v="3.2240000000000002"/>
    <n v="0"/>
    <n v="3.1779718788162765"/>
    <n v="0"/>
    <n v="3.1982500000000003"/>
    <n v="17.981750034340592"/>
    <n v="0.99898012978752448"/>
    <n v="1.8250309065351189E-2"/>
    <n v="2.0278121183723543E-2"/>
    <n v="1.8249999999999999E-2"/>
    <n v="2.0277777777777777E-2"/>
    <n v="1.8249999999999999E-2"/>
  </r>
  <r>
    <x v="1"/>
    <x v="54"/>
    <n v="2.5749999999999999E-2"/>
    <n v="2.5749999999999999E-2"/>
    <n v="3.1640000000000001"/>
    <n v="0"/>
    <n v="3.1179722603784361"/>
    <n v="0"/>
    <n v="3.1382500000000002"/>
    <n v="17.981749996184377"/>
    <n v="0.9989801489778567"/>
    <n v="1.8249965659407508E-2"/>
    <n v="2.0277739621563897E-2"/>
    <n v="1.8249999999999999E-2"/>
    <n v="2.0277777777777777E-2"/>
    <n v="1.8249999999999999E-2"/>
  </r>
  <r>
    <x v="1"/>
    <x v="55"/>
    <n v="2.5749999999999999E-2"/>
    <n v="2.5749999999999999E-2"/>
    <n v="3.0659999999999998"/>
    <n v="0"/>
    <n v="3.0199722179826405"/>
    <n v="0"/>
    <n v="3.0402499999999999"/>
    <n v="17.981750000423958"/>
    <n v="0.99898014684559755"/>
    <n v="1.8250003815623472E-2"/>
    <n v="2.0277782017359414E-2"/>
    <n v="1.8249999999999999E-2"/>
    <n v="2.0277777777777777E-2"/>
    <n v="1.8249999999999999E-2"/>
  </r>
  <r>
    <x v="1"/>
    <x v="56"/>
    <n v="2.5749999999999999E-2"/>
    <n v="2.5749999999999999E-2"/>
    <n v="2.9350000000000001"/>
    <n v="0"/>
    <n v="2.8889722226932864"/>
    <n v="0"/>
    <n v="2.9092500000000001"/>
    <n v="17.981749999952893"/>
    <n v="0.99898014708251526"/>
    <n v="1.8249999576042342E-2"/>
    <n v="2.0277777306713714E-2"/>
    <n v="1.8249999999999999E-2"/>
    <n v="2.0277777777777777E-2"/>
    <n v="1.8249999999999999E-2"/>
  </r>
  <r>
    <x v="1"/>
    <x v="57"/>
    <n v="1.0257500000000002"/>
    <n v="1.0257500000000002"/>
    <n v="2.774"/>
    <n v="0"/>
    <n v="1.7279722221698806"/>
    <n v="0"/>
    <n v="1.7482499999999999"/>
    <n v="17.981750000005235"/>
    <n v="0.99898014705619098"/>
    <n v="1.8250000047107307E-2"/>
    <n v="2.0277777830119231E-2"/>
    <n v="1.8249999999999999E-2"/>
    <n v="2.0277777777777777E-2"/>
    <n v="1.8249999999999999E-2"/>
  </r>
  <r>
    <x v="1"/>
    <x v="58"/>
    <n v="2.5749999999999999E-2"/>
    <n v="2.5749999999999999E-2"/>
    <n v="2.589"/>
    <n v="0"/>
    <n v="2.5429722222280389"/>
    <n v="0"/>
    <n v="2.56325"/>
    <n v="17.981749999999419"/>
    <n v="0.99898014705911609"/>
    <n v="1.8249999994765176E-2"/>
    <n v="2.0277777771961308E-2"/>
    <n v="1.8249999999999999E-2"/>
    <n v="2.0277777777777777E-2"/>
    <n v="1.8249999999999999E-2"/>
  </r>
  <r>
    <x v="1"/>
    <x v="59"/>
    <n v="2.5749999999999999E-2"/>
    <n v="2.5749999999999999E-2"/>
    <n v="2.387"/>
    <n v="0"/>
    <n v="2.340972222221577"/>
    <n v="0"/>
    <n v="2.3612500000000001"/>
    <n v="17.981750000000066"/>
    <n v="0.99898014705879112"/>
    <n v="1.8250000000580968E-2"/>
    <n v="2.0277777778423298E-2"/>
    <n v="1.8249999999999999E-2"/>
    <n v="2.0277777777777777E-2"/>
    <n v="1.8249999999999999E-2"/>
  </r>
  <r>
    <x v="1"/>
    <x v="60"/>
    <n v="2.5749999999999999E-2"/>
    <n v="2.5749999999999999E-2"/>
    <n v="2.173"/>
    <n v="0"/>
    <n v="2.1269722222222951"/>
    <n v="0"/>
    <n v="2.1472500000000001"/>
    <n v="17.981749999999991"/>
    <n v="0.99898014705882721"/>
    <n v="1.8249999999934374E-2"/>
    <n v="2.0277777777704859E-2"/>
    <n v="1.8249999999999999E-2"/>
    <n v="2.0277777777777777E-2"/>
    <n v="1.8249999999999999E-2"/>
  </r>
  <r>
    <x v="1"/>
    <x v="61"/>
    <n v="2.5749999999999999E-2"/>
    <n v="2.5749999999999999E-2"/>
    <n v="1.9530000000000001"/>
    <n v="0"/>
    <n v="1.9069722222222123"/>
    <n v="0"/>
    <n v="1.9272500000000001"/>
    <n v="17.981750000000002"/>
    <n v="0.9989801470588231"/>
    <n v="1.8250000000008981E-2"/>
    <n v="2.0277777777787758E-2"/>
    <n v="1.8249999999999999E-2"/>
    <n v="2.0277777777777777E-2"/>
    <n v="1.8249999999999999E-2"/>
  </r>
  <r>
    <x v="1"/>
    <x v="62"/>
    <n v="2.5749999999999999E-2"/>
    <n v="2.5749999999999999E-2"/>
    <n v="1.734"/>
    <n v="0"/>
    <n v="1.6879722222222242"/>
    <n v="0"/>
    <n v="1.70825"/>
    <n v="17.981749999999998"/>
    <n v="0.99898014705882354"/>
    <n v="1.8249999999998323E-2"/>
    <n v="2.0277777777775913E-2"/>
    <n v="1.8249999999999999E-2"/>
    <n v="2.0277777777777777E-2"/>
    <n v="1.8249999999999999E-2"/>
  </r>
  <r>
    <x v="1"/>
    <x v="63"/>
    <n v="2.5749999999999999E-2"/>
    <n v="2.5749999999999999E-2"/>
    <n v="1.52"/>
    <n v="0"/>
    <n v="1.4739722222222202"/>
    <n v="0"/>
    <n v="1.4942500000000001"/>
    <n v="17.981749999999998"/>
    <n v="0.99898014705882343"/>
    <n v="1.8250000000001876E-2"/>
    <n v="2.0277777777779862E-2"/>
    <n v="1.8249999999999999E-2"/>
    <n v="2.0277777777777777E-2"/>
    <n v="1.8249999999999999E-2"/>
  </r>
  <r>
    <x v="1"/>
    <x v="64"/>
    <n v="2.5749999999999999E-2"/>
    <n v="2.5749999999999999E-2"/>
    <n v="1.3149999999999999"/>
    <n v="0"/>
    <n v="1.2689722222222202"/>
    <n v="0"/>
    <n v="1.28925"/>
    <n v="17.981749999999998"/>
    <n v="0.99898014705882343"/>
    <n v="1.8250000000001876E-2"/>
    <n v="2.0277777777779862E-2"/>
    <n v="1.8249999999999999E-2"/>
    <n v="2.0277777777777777E-2"/>
    <n v="1.8249999999999999E-2"/>
  </r>
  <r>
    <x v="1"/>
    <x v="65"/>
    <n v="1.0257500000000002"/>
    <n v="1.0257500000000002"/>
    <n v="1.1240000000000001"/>
    <n v="0"/>
    <n v="7.7972222222220083E-2"/>
    <n v="0"/>
    <n v="9.8249999999999948E-2"/>
    <n v="17.981749999999998"/>
    <n v="0.99898014705882343"/>
    <n v="1.8250000000001876E-2"/>
    <n v="2.0277777777779862E-2"/>
    <n v="1.8249999999999999E-2"/>
    <n v="2.0277777777777777E-2"/>
    <n v="1.8249999999999999E-2"/>
  </r>
  <r>
    <x v="1"/>
    <x v="66"/>
    <n v="1.0307500000000001"/>
    <n v="0.94899999999999995"/>
    <n v="0.94899999999999995"/>
    <n v="0"/>
    <n v="0"/>
    <n v="8.17500000000001E-2"/>
    <n v="-8.17500000000001E-2"/>
    <n v="17.870638888888887"/>
    <n v="0.99898014705882343"/>
    <n v="0"/>
    <n v="0"/>
    <n v="0.1000000000000001"/>
    <n v="0.11111111111111122"/>
    <n v="1.8249999999999999E-2"/>
  </r>
  <r>
    <x v="1"/>
    <x v="67"/>
    <n v="1.0807500000000001"/>
    <n v="0.79"/>
    <n v="0.79"/>
    <n v="0"/>
    <n v="0"/>
    <n v="0.29075000000000006"/>
    <n v="-0.29075000000000006"/>
    <n v="17.527305555555554"/>
    <n v="0.99277099673202607"/>
    <n v="0"/>
    <n v="0"/>
    <n v="0.30900000000000005"/>
    <n v="0.34333333333333338"/>
    <n v="1.8249999999999999E-2"/>
  </r>
  <r>
    <x v="1"/>
    <x v="68"/>
    <n v="1.06325"/>
    <n v="0.65"/>
    <n v="0.65"/>
    <n v="0"/>
    <n v="0"/>
    <n v="0.41325000000000001"/>
    <n v="-0.41325000000000001"/>
    <n v="17.047861111111111"/>
    <n v="0.97358472222222214"/>
    <n v="0"/>
    <n v="0"/>
    <n v="0.43149999999999999"/>
    <n v="0.47944444444444445"/>
    <n v="1.8249999999999999E-2"/>
  </r>
  <r>
    <x v="1"/>
    <x v="69"/>
    <n v="1.0707499999999999"/>
    <n v="0.52800000000000002"/>
    <n v="0.52800000000000002"/>
    <n v="0"/>
    <n v="0"/>
    <n v="0.54274999999999984"/>
    <n v="-0.54274999999999984"/>
    <n v="16.424527777777776"/>
    <n v="0.94679223856209149"/>
    <n v="0"/>
    <n v="0"/>
    <n v="0.56099999999999983"/>
    <n v="0.62333333333333318"/>
    <n v="1.8249999999999999E-2"/>
  </r>
  <r>
    <x v="1"/>
    <x v="70"/>
    <n v="1.0707499999999999"/>
    <n v="0.42299999999999999"/>
    <n v="0.42299999999999999"/>
    <n v="0"/>
    <n v="0"/>
    <n v="0.64774999999999983"/>
    <n v="-0.64774999999999983"/>
    <n v="15.684527777777776"/>
    <n v="0.91195890522875811"/>
    <n v="0"/>
    <n v="0"/>
    <n v="0.66599999999999981"/>
    <n v="0.73999999999999977"/>
    <n v="1.8249999999999999E-2"/>
  </r>
  <r>
    <x v="1"/>
    <x v="71"/>
    <n v="2.5747499999999999"/>
    <n v="0.33400000000000002"/>
    <n v="0.33400000000000002"/>
    <n v="0"/>
    <n v="0"/>
    <n v="2.2407499999999998"/>
    <n v="-2.2407499999999998"/>
    <n v="13.174527777777776"/>
    <n v="0.87060596405228752"/>
    <n v="0"/>
    <n v="0"/>
    <n v="2.2589999999999999"/>
    <n v="2.5099999999999998"/>
    <n v="1.8249999999999999E-2"/>
  </r>
  <r>
    <x v="1"/>
    <x v="72"/>
    <n v="3.3247499999999999"/>
    <n v="0.26100000000000001"/>
    <n v="0.26100000000000001"/>
    <n v="0"/>
    <n v="0"/>
    <n v="3.0637499999999998"/>
    <n v="-3.0637499999999998"/>
    <n v="9.7500833333333325"/>
    <n v="0.73034125816993456"/>
    <n v="0"/>
    <n v="0"/>
    <n v="3.0819999999999999"/>
    <n v="3.4244444444444442"/>
    <n v="1.8249999999999999E-2"/>
  </r>
  <r>
    <x v="1"/>
    <x v="73"/>
    <n v="3.3247499999999999"/>
    <n v="0.2"/>
    <n v="0.2"/>
    <n v="0"/>
    <n v="0"/>
    <n v="3.1247499999999997"/>
    <n v="-3.1247499999999997"/>
    <n v="6.2578611111111107"/>
    <n v="0.53897524509803918"/>
    <n v="0"/>
    <n v="0"/>
    <n v="3.1429999999999998"/>
    <n v="3.4922222222222219"/>
    <n v="1.8249999999999999E-2"/>
  </r>
  <r>
    <x v="1"/>
    <x v="74"/>
    <n v="3.3097500000000002"/>
    <n v="0.152"/>
    <n v="0.152"/>
    <n v="0"/>
    <n v="0"/>
    <n v="3.1577500000000001"/>
    <n v="-3.1577500000000001"/>
    <n v="2.7289722222222217"/>
    <n v="0.34382165032679735"/>
    <n v="0"/>
    <n v="0"/>
    <n v="3.1760000000000002"/>
    <n v="3.528888888888889"/>
    <n v="1.8249999999999999E-2"/>
  </r>
  <r>
    <x v="1"/>
    <x v="75"/>
    <n v="1.80975"/>
    <n v="0.113"/>
    <n v="0.113"/>
    <n v="0"/>
    <n v="0"/>
    <n v="1.69675"/>
    <n v="-1.69675"/>
    <n v="1"/>
    <n v="0.14661903594771239"/>
    <n v="0"/>
    <n v="0"/>
    <n v="1.7150000000000001"/>
    <n v="1.9055555555555557"/>
    <n v="1.8249999999999999E-2"/>
  </r>
  <r>
    <x v="1"/>
    <x v="76"/>
    <n v="1.8127500000000001"/>
    <n v="8.3000000000000004E-2"/>
    <n v="8.3000000000000004E-2"/>
    <n v="1.7297500000000001"/>
    <n v="0"/>
    <n v="0"/>
    <n v="-1.7297500000000001"/>
    <n v="1"/>
    <n v="0.05"/>
    <n v="0"/>
    <n v="0"/>
    <n v="0"/>
    <n v="0"/>
    <n v="1.8249999999999999E-2"/>
  </r>
  <r>
    <x v="1"/>
    <x v="77"/>
    <n v="1.839"/>
    <n v="5.8999999999999997E-2"/>
    <n v="5.8999999999999997E-2"/>
    <n v="1.78"/>
    <n v="0"/>
    <n v="0"/>
    <n v="-1.78"/>
    <n v="1"/>
    <n v="0.05"/>
    <n v="0"/>
    <n v="0"/>
    <n v="0"/>
    <n v="0"/>
    <n v="1.8249999999999999E-2"/>
  </r>
  <r>
    <x v="1"/>
    <x v="78"/>
    <n v="0.56399999999999995"/>
    <n v="4.2000000000000003E-2"/>
    <n v="4.2000000000000003E-2"/>
    <n v="0.52199999999999991"/>
    <n v="0"/>
    <n v="0"/>
    <n v="-0.52199999999999991"/>
    <n v="1"/>
    <n v="0.05"/>
    <n v="0"/>
    <n v="0"/>
    <n v="0"/>
    <n v="0"/>
    <n v="1.8249999999999999E-2"/>
  </r>
  <r>
    <x v="1"/>
    <x v="79"/>
    <n v="0.62649999999999995"/>
    <n v="2.8000000000000001E-2"/>
    <n v="2.8000000000000001E-2"/>
    <n v="0.59849999999999992"/>
    <n v="0"/>
    <n v="0"/>
    <n v="-0.59849999999999992"/>
    <n v="1"/>
    <n v="0.05"/>
    <n v="0"/>
    <n v="0"/>
    <n v="0"/>
    <n v="0"/>
    <n v="1.8249999999999999E-2"/>
  </r>
  <r>
    <x v="1"/>
    <x v="80"/>
    <n v="0.63049999999999995"/>
    <n v="1.7999999999999999E-2"/>
    <n v="1.7999999999999999E-2"/>
    <n v="0.61249999999999993"/>
    <n v="0"/>
    <n v="0"/>
    <n v="-0.61249999999999993"/>
    <n v="1"/>
    <n v="0.05"/>
    <n v="0"/>
    <n v="0"/>
    <n v="0"/>
    <n v="0"/>
    <n v="1.8249999999999999E-2"/>
  </r>
  <r>
    <x v="1"/>
    <x v="81"/>
    <n v="0.63049999999999995"/>
    <n v="1.0999999999999999E-2"/>
    <n v="1.0999999999999999E-2"/>
    <n v="0.61949999999999994"/>
    <n v="0"/>
    <n v="0"/>
    <n v="-0.61949999999999994"/>
    <n v="1"/>
    <n v="0.05"/>
    <n v="0"/>
    <n v="0"/>
    <n v="0"/>
    <n v="0"/>
    <n v="1.8249999999999999E-2"/>
  </r>
  <r>
    <x v="1"/>
    <x v="82"/>
    <n v="0.63049999999999995"/>
    <n v="6.0000000000000001E-3"/>
    <n v="6.0000000000000001E-3"/>
    <n v="0.62449999999999994"/>
    <n v="0"/>
    <n v="0"/>
    <n v="-0.62449999999999994"/>
    <n v="1"/>
    <n v="0.05"/>
    <n v="0"/>
    <n v="0"/>
    <n v="0"/>
    <n v="0"/>
    <n v="1.8249999999999999E-2"/>
  </r>
  <r>
    <x v="1"/>
    <x v="83"/>
    <n v="0.63049999999999995"/>
    <n v="2E-3"/>
    <n v="2E-3"/>
    <n v="0.62849999999999995"/>
    <n v="0"/>
    <n v="0"/>
    <n v="-0.62849999999999995"/>
    <n v="1"/>
    <n v="0.05"/>
    <n v="0"/>
    <n v="0"/>
    <n v="0"/>
    <n v="0"/>
    <n v="1.8249999999999999E-2"/>
  </r>
  <r>
    <x v="1"/>
    <x v="84"/>
    <n v="1.1305000000000001"/>
    <n v="0"/>
    <n v="0"/>
    <n v="1.1305000000000001"/>
    <n v="0"/>
    <n v="0"/>
    <n v="-1.1305000000000001"/>
    <n v="1"/>
    <n v="0.05"/>
    <n v="0"/>
    <n v="0"/>
    <n v="0"/>
    <n v="0"/>
    <n v="1.8249999999999999E-2"/>
  </r>
  <r>
    <x v="1"/>
    <x v="85"/>
    <n v="1.6805000000000001"/>
    <n v="0"/>
    <n v="0"/>
    <n v="1.6805000000000001"/>
    <n v="0"/>
    <n v="0"/>
    <n v="-1.6805000000000001"/>
    <n v="1"/>
    <n v="0.05"/>
    <n v="0"/>
    <n v="0"/>
    <n v="0"/>
    <n v="0"/>
    <n v="1.8249999999999999E-2"/>
  </r>
  <r>
    <x v="1"/>
    <x v="86"/>
    <n v="1.6745000000000001"/>
    <n v="0"/>
    <n v="0"/>
    <n v="1.6745000000000001"/>
    <n v="0"/>
    <n v="0"/>
    <n v="-1.6745000000000001"/>
    <n v="1"/>
    <n v="0.05"/>
    <n v="0"/>
    <n v="0"/>
    <n v="0"/>
    <n v="0"/>
    <n v="1.8249999999999999E-2"/>
  </r>
  <r>
    <x v="1"/>
    <x v="87"/>
    <n v="1.6820000000000002"/>
    <n v="0"/>
    <n v="0"/>
    <n v="1.6820000000000002"/>
    <n v="0"/>
    <n v="0"/>
    <n v="-1.6820000000000002"/>
    <n v="1"/>
    <n v="0.05"/>
    <n v="0"/>
    <n v="0"/>
    <n v="0"/>
    <n v="0"/>
    <n v="1.8249999999999999E-2"/>
  </r>
  <r>
    <x v="1"/>
    <x v="88"/>
    <n v="1.1819999999999999"/>
    <n v="0"/>
    <n v="0"/>
    <n v="1.1819999999999999"/>
    <n v="0"/>
    <n v="0"/>
    <n v="-1.1819999999999999"/>
    <n v="1"/>
    <n v="0.05"/>
    <n v="0"/>
    <n v="0"/>
    <n v="0"/>
    <n v="0"/>
    <n v="1.8249999999999999E-2"/>
  </r>
  <r>
    <x v="1"/>
    <x v="89"/>
    <n v="1.1819999999999999"/>
    <n v="0"/>
    <n v="0"/>
    <n v="1.1819999999999999"/>
    <n v="0"/>
    <n v="0"/>
    <n v="-1.1819999999999999"/>
    <n v="1"/>
    <n v="0.05"/>
    <n v="0"/>
    <n v="0"/>
    <n v="0"/>
    <n v="0"/>
    <n v="1.8249999999999999E-2"/>
  </r>
  <r>
    <x v="1"/>
    <x v="90"/>
    <n v="1.1779999999999999"/>
    <n v="0"/>
    <n v="0"/>
    <n v="1.1779999999999999"/>
    <n v="0"/>
    <n v="0"/>
    <n v="-1.1779999999999999"/>
    <n v="1"/>
    <n v="0.05"/>
    <n v="0"/>
    <n v="0"/>
    <n v="0"/>
    <n v="0"/>
    <n v="1.8249999999999999E-2"/>
  </r>
  <r>
    <x v="1"/>
    <x v="91"/>
    <n v="1.1855"/>
    <n v="0"/>
    <n v="0"/>
    <n v="1.1855"/>
    <n v="0"/>
    <n v="0"/>
    <n v="-1.1855"/>
    <n v="1"/>
    <n v="0.05"/>
    <n v="0"/>
    <n v="0"/>
    <n v="0"/>
    <n v="0"/>
    <n v="1.8249999999999999E-2"/>
  </r>
  <r>
    <x v="1"/>
    <x v="92"/>
    <n v="0.57299999999999995"/>
    <n v="0"/>
    <n v="0"/>
    <n v="0.57299999999999995"/>
    <n v="0"/>
    <n v="0"/>
    <n v="-0.57299999999999995"/>
    <n v="1"/>
    <n v="0.05"/>
    <n v="0"/>
    <n v="0"/>
    <n v="0"/>
    <n v="0"/>
    <n v="1.8249999999999999E-2"/>
  </r>
  <r>
    <x v="1"/>
    <x v="93"/>
    <n v="1.073"/>
    <n v="0"/>
    <n v="0"/>
    <n v="1.073"/>
    <n v="0"/>
    <n v="0"/>
    <n v="-1.073"/>
    <n v="1"/>
    <n v="0.05"/>
    <n v="0"/>
    <n v="0"/>
    <n v="0"/>
    <n v="0"/>
    <n v="1.8249999999999999E-2"/>
  </r>
  <r>
    <x v="1"/>
    <x v="94"/>
    <n v="1.05175"/>
    <n v="0"/>
    <n v="0"/>
    <n v="1.05175"/>
    <n v="0"/>
    <n v="0"/>
    <n v="-1.05175"/>
    <n v="1"/>
    <n v="0.05"/>
    <n v="0"/>
    <n v="0"/>
    <n v="0"/>
    <n v="0"/>
    <n v="1.8249999999999999E-2"/>
  </r>
  <r>
    <x v="1"/>
    <x v="95"/>
    <n v="0.54574999999999996"/>
    <n v="0"/>
    <n v="0"/>
    <n v="0.54574999999999996"/>
    <n v="0"/>
    <n v="0"/>
    <n v="-0.54574999999999996"/>
    <n v="1"/>
    <n v="0.05"/>
    <n v="0"/>
    <n v="0"/>
    <n v="0"/>
    <n v="0"/>
    <n v="1.8249999999999999E-2"/>
  </r>
  <r>
    <x v="1"/>
    <x v="96"/>
    <n v="0.54074999999999995"/>
    <n v="0"/>
    <n v="0"/>
    <n v="0.54074999999999995"/>
    <n v="0"/>
    <n v="0"/>
    <n v="-0.54074999999999995"/>
    <n v="1"/>
    <n v="0.05"/>
    <n v="0"/>
    <n v="0"/>
    <n v="0"/>
    <n v="0"/>
    <n v="1.8249999999999999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s v="kWh"/>
    <s v="kwh"/>
    <s v="kWh"/>
    <s v="kWh"/>
    <s v="kWh"/>
    <s v="kWh"/>
    <s v="kWh"/>
    <n v="10"/>
    <s v="%"/>
    <s v="kWh"/>
    <s v="kWh"/>
    <s v="kWh"/>
    <s v="kWh"/>
    <s v="kWh"/>
  </r>
  <r>
    <x v="1"/>
    <x v="1"/>
    <n v="0.54449999999999998"/>
    <n v="0"/>
    <n v="0"/>
    <n v="0"/>
    <n v="0"/>
    <n v="0.54449999999999998"/>
    <n v="-0.54449999999999998"/>
    <n v="9.3747222222222231"/>
    <n v="0.55313291139815268"/>
    <n v="0"/>
    <n v="0"/>
    <n v="0.56274999999999997"/>
    <n v="0.62527777777777771"/>
    <n v="1.8249999999999999E-2"/>
  </r>
  <r>
    <x v="1"/>
    <x v="2"/>
    <n v="0.54449999999999998"/>
    <n v="0"/>
    <n v="0"/>
    <n v="0"/>
    <n v="0"/>
    <n v="0.54449999999999998"/>
    <n v="-0.54449999999999998"/>
    <n v="8.7494444444444461"/>
    <n v="0.51817759709083033"/>
    <n v="0"/>
    <n v="0"/>
    <n v="0.56274999999999997"/>
    <n v="0.62527777777777771"/>
    <n v="1.8249999999999999E-2"/>
  </r>
  <r>
    <x v="1"/>
    <x v="3"/>
    <n v="0.54449999999999998"/>
    <n v="0"/>
    <n v="0"/>
    <n v="0"/>
    <n v="0"/>
    <n v="0.54449999999999998"/>
    <n v="-0.54449999999999998"/>
    <n v="8.1241666666666692"/>
    <n v="0.48322228278350809"/>
    <n v="0"/>
    <n v="0"/>
    <n v="0.56274999999999997"/>
    <n v="0.62527777777777771"/>
    <n v="1.8249999999999999E-2"/>
  </r>
  <r>
    <x v="1"/>
    <x v="4"/>
    <n v="0.54449999999999998"/>
    <n v="0"/>
    <n v="0"/>
    <n v="0"/>
    <n v="0"/>
    <n v="0.54449999999999998"/>
    <n v="-0.54449999999999998"/>
    <n v="7.4988888888888914"/>
    <n v="0.44826696847618586"/>
    <n v="0"/>
    <n v="0"/>
    <n v="0.56274999999999997"/>
    <n v="0.62527777777777771"/>
    <n v="1.8249999999999999E-2"/>
  </r>
  <r>
    <x v="1"/>
    <x v="5"/>
    <n v="0.54449999999999998"/>
    <n v="0"/>
    <n v="0"/>
    <n v="0"/>
    <n v="0"/>
    <n v="0.54449999999999998"/>
    <n v="-0.54449999999999998"/>
    <n v="6.8736111111111136"/>
    <n v="0.41331165416886362"/>
    <n v="0"/>
    <n v="0"/>
    <n v="0.56274999999999997"/>
    <n v="0.62527777777777771"/>
    <n v="1.8249999999999999E-2"/>
  </r>
  <r>
    <x v="1"/>
    <x v="6"/>
    <n v="0.54449999999999998"/>
    <n v="0"/>
    <n v="0"/>
    <n v="0"/>
    <n v="0"/>
    <n v="0.54449999999999998"/>
    <n v="-0.54449999999999998"/>
    <n v="6.2483333333333357"/>
    <n v="0.37835633986154132"/>
    <n v="0"/>
    <n v="0"/>
    <n v="0.56274999999999997"/>
    <n v="0.62527777777777771"/>
    <n v="1.8249999999999999E-2"/>
  </r>
  <r>
    <x v="1"/>
    <x v="7"/>
    <n v="0.54449999999999998"/>
    <n v="0"/>
    <n v="0"/>
    <n v="0"/>
    <n v="0"/>
    <n v="0.54449999999999998"/>
    <n v="-0.54449999999999998"/>
    <n v="5.6230555555555579"/>
    <n v="0.34340102555421909"/>
    <n v="0"/>
    <n v="0"/>
    <n v="0.56274999999999997"/>
    <n v="0.62527777777777771"/>
    <n v="1.8249999999999999E-2"/>
  </r>
  <r>
    <x v="1"/>
    <x v="8"/>
    <n v="0.54449999999999998"/>
    <n v="0"/>
    <n v="0"/>
    <n v="0"/>
    <n v="0"/>
    <n v="0.54449999999999998"/>
    <n v="-0.54449999999999998"/>
    <n v="4.9977777777777801"/>
    <n v="0.30844571124689679"/>
    <n v="0"/>
    <n v="0"/>
    <n v="0.56274999999999997"/>
    <n v="0.62527777777777771"/>
    <n v="1.8249999999999999E-2"/>
  </r>
  <r>
    <x v="1"/>
    <x v="9"/>
    <n v="0.54449999999999998"/>
    <n v="0"/>
    <n v="0"/>
    <n v="0"/>
    <n v="0"/>
    <n v="0.54449999999999998"/>
    <n v="-0.54449999999999998"/>
    <n v="4.3725000000000023"/>
    <n v="0.27349039693957455"/>
    <n v="0"/>
    <n v="0"/>
    <n v="0.56274999999999997"/>
    <n v="0.62527777777777771"/>
    <n v="1.8249999999999999E-2"/>
  </r>
  <r>
    <x v="1"/>
    <x v="10"/>
    <n v="0.52574999999999994"/>
    <n v="0"/>
    <n v="0"/>
    <n v="0"/>
    <n v="0"/>
    <n v="0.52574999999999994"/>
    <n v="-0.52574999999999994"/>
    <n v="3.7680555555555579"/>
    <n v="0.23853508263225232"/>
    <n v="0"/>
    <n v="0"/>
    <n v="0.54399999999999993"/>
    <n v="0.60444444444444434"/>
    <n v="1.8249999999999999E-2"/>
  </r>
  <r>
    <x v="1"/>
    <x v="11"/>
    <n v="0.52574999999999994"/>
    <n v="0"/>
    <n v="0"/>
    <n v="0"/>
    <n v="0"/>
    <n v="0.52574999999999994"/>
    <n v="-0.52574999999999994"/>
    <n v="3.1636111111111136"/>
    <n v="0.20474442784205538"/>
    <n v="0"/>
    <n v="0"/>
    <n v="0.54399999999999993"/>
    <n v="0.60444444444444434"/>
    <n v="1.8249999999999999E-2"/>
  </r>
  <r>
    <x v="1"/>
    <x v="12"/>
    <n v="0.52574999999999994"/>
    <n v="0"/>
    <n v="0"/>
    <n v="0"/>
    <n v="0"/>
    <n v="0.52574999999999994"/>
    <n v="-0.52574999999999994"/>
    <n v="2.5591666666666693"/>
    <n v="0.17095377305185849"/>
    <n v="0"/>
    <n v="0"/>
    <n v="0.54399999999999993"/>
    <n v="0.60444444444444434"/>
    <n v="1.8249999999999999E-2"/>
  </r>
  <r>
    <x v="1"/>
    <x v="13"/>
    <n v="0.52574999999999994"/>
    <n v="0"/>
    <n v="0"/>
    <n v="0"/>
    <n v="0"/>
    <n v="0.52574999999999994"/>
    <n v="-0.52574999999999994"/>
    <n v="1.9547222222222249"/>
    <n v="0.13716311826166158"/>
    <n v="0"/>
    <n v="0"/>
    <n v="0.54399999999999993"/>
    <n v="0.60444444444444434"/>
    <n v="1.8249999999999999E-2"/>
  </r>
  <r>
    <x v="1"/>
    <x v="14"/>
    <n v="0.52574999999999994"/>
    <n v="0"/>
    <n v="0"/>
    <n v="0"/>
    <n v="0"/>
    <n v="0.52574999999999994"/>
    <n v="-0.52574999999999994"/>
    <n v="1.3502777777777806"/>
    <n v="0.10337246347146467"/>
    <n v="0"/>
    <n v="0"/>
    <n v="0.54399999999999993"/>
    <n v="0.60444444444444434"/>
    <n v="1.8249999999999999E-2"/>
  </r>
  <r>
    <x v="1"/>
    <x v="15"/>
    <n v="0.52574999999999994"/>
    <n v="0"/>
    <n v="0"/>
    <n v="0.17547222222221937"/>
    <n v="0"/>
    <n v="0.35027777777778057"/>
    <n v="-0.52574999999999994"/>
    <n v="1"/>
    <n v="6.9581808681267759E-2"/>
    <n v="0"/>
    <n v="0"/>
    <n v="0.35027777777778057"/>
    <n v="0.38919753086420061"/>
    <n v="1.8249999999999999E-2"/>
  </r>
  <r>
    <x v="1"/>
    <x v="16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17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18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19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20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21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22"/>
    <n v="0.52574999999999994"/>
    <n v="0"/>
    <n v="0"/>
    <n v="0.52574999999999994"/>
    <n v="0"/>
    <n v="0"/>
    <n v="-0.52574999999999994"/>
    <n v="1"/>
    <n v="0.05"/>
    <n v="0"/>
    <n v="0"/>
    <n v="0"/>
    <n v="0"/>
    <n v="1.8249999999999999E-2"/>
  </r>
  <r>
    <x v="1"/>
    <x v="23"/>
    <n v="0.52574999999999994"/>
    <n v="1E-3"/>
    <n v="1E-3"/>
    <n v="0.52474999999999994"/>
    <n v="0"/>
    <n v="0"/>
    <n v="-0.52474999999999994"/>
    <n v="1"/>
    <n v="0.05"/>
    <n v="0"/>
    <n v="0"/>
    <n v="0"/>
    <n v="0"/>
    <n v="1.8249999999999999E-2"/>
  </r>
  <r>
    <x v="1"/>
    <x v="24"/>
    <n v="0.53074999999999994"/>
    <n v="1E-3"/>
    <n v="1E-3"/>
    <n v="0.52974999999999994"/>
    <n v="0"/>
    <n v="0"/>
    <n v="-0.52974999999999994"/>
    <n v="1"/>
    <n v="0.05"/>
    <n v="0"/>
    <n v="0"/>
    <n v="0"/>
    <n v="0"/>
    <n v="1.8249999999999999E-2"/>
  </r>
  <r>
    <x v="1"/>
    <x v="25"/>
    <n v="0.53174999999999994"/>
    <n v="2E-3"/>
    <n v="2E-3"/>
    <n v="0.52974999999999994"/>
    <n v="0"/>
    <n v="0"/>
    <n v="-0.52974999999999994"/>
    <n v="1"/>
    <n v="0.05"/>
    <n v="0"/>
    <n v="0"/>
    <n v="0"/>
    <n v="0"/>
    <n v="1.8249999999999999E-2"/>
  </r>
  <r>
    <x v="1"/>
    <x v="26"/>
    <n v="0.54074999999999995"/>
    <n v="4.0000000000000001E-3"/>
    <n v="4.0000000000000001E-3"/>
    <n v="0.53674999999999995"/>
    <n v="0"/>
    <n v="0"/>
    <n v="-0.53674999999999995"/>
    <n v="1"/>
    <n v="0.05"/>
    <n v="0"/>
    <n v="0"/>
    <n v="0"/>
    <n v="0"/>
    <n v="1.8249999999999999E-2"/>
  </r>
  <r>
    <x v="1"/>
    <x v="27"/>
    <n v="0.73324999999999996"/>
    <n v="6.0000000000000001E-3"/>
    <n v="6.0000000000000001E-3"/>
    <n v="0.72724999999999995"/>
    <n v="0"/>
    <n v="0"/>
    <n v="-0.72724999999999995"/>
    <n v="1"/>
    <n v="0.05"/>
    <n v="0"/>
    <n v="0"/>
    <n v="0"/>
    <n v="0"/>
    <n v="1.8249999999999999E-2"/>
  </r>
  <r>
    <x v="1"/>
    <x v="28"/>
    <n v="2.9157500000000001"/>
    <n v="0.01"/>
    <n v="0.01"/>
    <n v="2.9057500000000003"/>
    <n v="0"/>
    <n v="0"/>
    <n v="-2.9057500000000003"/>
    <n v="1"/>
    <n v="0.05"/>
    <n v="0"/>
    <n v="0"/>
    <n v="0"/>
    <n v="0"/>
    <n v="1.8249999999999999E-2"/>
  </r>
  <r>
    <x v="1"/>
    <x v="29"/>
    <n v="2.5467500000000003"/>
    <n v="1.4999999999999999E-2"/>
    <n v="1.4999999999999999E-2"/>
    <n v="2.5317500000000002"/>
    <n v="0"/>
    <n v="0"/>
    <n v="-2.5317500000000002"/>
    <n v="1"/>
    <n v="0.05"/>
    <n v="0"/>
    <n v="0"/>
    <n v="0"/>
    <n v="0"/>
    <n v="1.8249999999999999E-2"/>
  </r>
  <r>
    <x v="1"/>
    <x v="30"/>
    <n v="0.54674999999999996"/>
    <n v="2.4E-2"/>
    <n v="2.4E-2"/>
    <n v="0.52274999999999994"/>
    <n v="0"/>
    <n v="0"/>
    <n v="-0.52274999999999994"/>
    <n v="1"/>
    <n v="0.05"/>
    <n v="0"/>
    <n v="0"/>
    <n v="0"/>
    <n v="0"/>
    <n v="1.8249999999999999E-2"/>
  </r>
  <r>
    <x v="1"/>
    <x v="31"/>
    <n v="0.59675"/>
    <n v="3.5999999999999997E-2"/>
    <n v="3.5999999999999997E-2"/>
    <n v="0.56074999999999997"/>
    <n v="0"/>
    <n v="0"/>
    <n v="-0.56074999999999997"/>
    <n v="1"/>
    <n v="0.05"/>
    <n v="0"/>
    <n v="0"/>
    <n v="0"/>
    <n v="0"/>
    <n v="1.8249999999999999E-2"/>
  </r>
  <r>
    <x v="1"/>
    <x v="32"/>
    <n v="0.53374999999999995"/>
    <n v="5.2999999999999999E-2"/>
    <n v="5.2999999999999999E-2"/>
    <n v="0.48074999999999996"/>
    <n v="0"/>
    <n v="0"/>
    <n v="-0.48074999999999996"/>
    <n v="1"/>
    <n v="0.05"/>
    <n v="0"/>
    <n v="0"/>
    <n v="0"/>
    <n v="0"/>
    <n v="1.8249999999999999E-2"/>
  </r>
  <r>
    <x v="1"/>
    <x v="33"/>
    <n v="0.53374999999999995"/>
    <n v="7.8E-2"/>
    <n v="7.8E-2"/>
    <n v="0.45574999999999993"/>
    <n v="0"/>
    <n v="0"/>
    <n v="-0.45574999999999993"/>
    <n v="1"/>
    <n v="0.05"/>
    <n v="0"/>
    <n v="0"/>
    <n v="0"/>
    <n v="0"/>
    <n v="1.8249999999999999E-2"/>
  </r>
  <r>
    <x v="1"/>
    <x v="34"/>
    <n v="2.5749999999999999E-2"/>
    <n v="2.5749999999999999E-2"/>
    <n v="0.111"/>
    <n v="0"/>
    <n v="0"/>
    <n v="0"/>
    <n v="8.5250000000000006E-2"/>
    <n v="1.08525"/>
    <n v="0.05"/>
    <n v="7.6725000000000002E-2"/>
    <n v="8.5250000000000006E-2"/>
    <n v="0"/>
    <n v="0"/>
    <n v="1.8249999999999999E-2"/>
  </r>
  <r>
    <x v="1"/>
    <x v="35"/>
    <n v="2.5749999999999999E-2"/>
    <n v="2.5749999999999999E-2"/>
    <n v="0.155"/>
    <n v="0"/>
    <n v="0"/>
    <n v="0"/>
    <n v="0.12925"/>
    <n v="1.1942222222222223"/>
    <n v="5.476578674407695E-2"/>
    <n v="0.11632500000000001"/>
    <n v="0.12925"/>
    <n v="1.8249999999999999E-2"/>
    <n v="2.0277777777777777E-2"/>
    <n v="1.8249999999999999E-2"/>
  </r>
  <r>
    <x v="1"/>
    <x v="36"/>
    <n v="2.5749999999999999E-2"/>
    <n v="2.5749999999999999E-2"/>
    <n v="0.21299999999999999"/>
    <n v="0"/>
    <n v="0"/>
    <n v="0"/>
    <n v="0.18725"/>
    <n v="1.3611944444444444"/>
    <n v="6.0857732458320629E-2"/>
    <n v="0.16852500000000001"/>
    <n v="0.18725"/>
    <n v="1.8249999999999999E-2"/>
    <n v="2.0277777777777777E-2"/>
    <n v="1.8249999999999999E-2"/>
  </r>
  <r>
    <x v="1"/>
    <x v="37"/>
    <n v="2.5749999999999999E-2"/>
    <n v="2.5749999999999999E-2"/>
    <n v="0.28699999999999998"/>
    <n v="0"/>
    <n v="0"/>
    <n v="0"/>
    <n v="0.26124999999999998"/>
    <n v="1.6021666666666665"/>
    <n v="7.0192090268241289E-2"/>
    <n v="0.235125"/>
    <n v="0.26124999999999998"/>
    <n v="1.8249999999999999E-2"/>
    <n v="2.0277777777777777E-2"/>
    <n v="1.8249999999999999E-2"/>
  </r>
  <r>
    <x v="1"/>
    <x v="38"/>
    <n v="2.5749999999999999E-2"/>
    <n v="2.5749999999999999E-2"/>
    <n v="0.38"/>
    <n v="0"/>
    <n v="0"/>
    <n v="0"/>
    <n v="0.35425000000000001"/>
    <n v="1.9361388888888886"/>
    <n v="8.3663318682991206E-2"/>
    <n v="0.31882500000000003"/>
    <n v="0.35425000000000001"/>
    <n v="1.8249999999999999E-2"/>
    <n v="2.0277777777777777E-2"/>
    <n v="1.8249999999999999E-2"/>
  </r>
  <r>
    <x v="1"/>
    <x v="39"/>
    <n v="2.5749999999999999E-2"/>
    <n v="2.5749999999999999E-2"/>
    <n v="0.49199999999999999"/>
    <n v="0"/>
    <n v="0"/>
    <n v="0"/>
    <n v="0.46625"/>
    <n v="2.3821111111111106"/>
    <n v="0.10233358718218868"/>
    <n v="0.41962500000000003"/>
    <n v="0.46625"/>
    <n v="1.8249999999999999E-2"/>
    <n v="2.0277777777777777E-2"/>
    <n v="1.8249999999999999E-2"/>
  </r>
  <r>
    <x v="1"/>
    <x v="40"/>
    <n v="2.5749999999999999E-2"/>
    <n v="2.5749999999999999E-2"/>
    <n v="0.626"/>
    <n v="0"/>
    <n v="0"/>
    <n v="0"/>
    <n v="0.60024999999999995"/>
    <n v="2.9620833333333327"/>
    <n v="0.12726506524545206"/>
    <n v="0.54022499999999996"/>
    <n v="0.60024999999999995"/>
    <n v="1.8249999999999999E-2"/>
    <n v="2.0277777777777777E-2"/>
    <n v="1.8249999999999999E-2"/>
  </r>
  <r>
    <x v="1"/>
    <x v="41"/>
    <n v="2.5749999999999999E-2"/>
    <n v="2.5749999999999999E-2"/>
    <n v="0.78100000000000003"/>
    <n v="0"/>
    <n v="0"/>
    <n v="0"/>
    <n v="0.75524999999999998"/>
    <n v="3.6970555555555547"/>
    <n v="0.15968763332286573"/>
    <n v="0.67972500000000002"/>
    <n v="0.75524999999999998"/>
    <n v="1.8249999999999999E-2"/>
    <n v="2.0277777777777777E-2"/>
    <n v="1.8249999999999999E-2"/>
  </r>
  <r>
    <x v="1"/>
    <x v="42"/>
    <n v="2.5749999999999999E-2"/>
    <n v="2.5749999999999999E-2"/>
    <n v="0.95599999999999996"/>
    <n v="0"/>
    <n v="0"/>
    <n v="0"/>
    <n v="0.93024999999999991"/>
    <n v="4.6070277777777768"/>
    <n v="0.20077526820769198"/>
    <n v="0.83722499999999989"/>
    <n v="0.93024999999999991"/>
    <n v="1.8249999999999999E-2"/>
    <n v="2.0277777777777777E-2"/>
    <n v="1.8249999999999999E-2"/>
  </r>
  <r>
    <x v="1"/>
    <x v="43"/>
    <n v="2.5749999999999999E-2"/>
    <n v="2.5749999999999999E-2"/>
    <n v="1.147"/>
    <n v="0"/>
    <n v="0"/>
    <n v="0"/>
    <n v="1.1212500000000001"/>
    <n v="5.7079999999999993"/>
    <n v="0.25164604303637128"/>
    <n v="1.009125"/>
    <n v="1.1212500000000001"/>
    <n v="1.8249999999999999E-2"/>
    <n v="2.0277777777777777E-2"/>
    <n v="1.8249999999999999E-2"/>
  </r>
  <r>
    <x v="1"/>
    <x v="44"/>
    <n v="2.5749999999999999E-2"/>
    <n v="2.5749999999999999E-2"/>
    <n v="1.351"/>
    <n v="0"/>
    <n v="0"/>
    <n v="0"/>
    <n v="1.32525"/>
    <n v="7.0129722222222215"/>
    <n v="0.31319441631805578"/>
    <n v="1.192725"/>
    <n v="1.32525"/>
    <n v="1.8249999999999999E-2"/>
    <n v="2.0277777777777777E-2"/>
    <n v="1.8249999999999999E-2"/>
  </r>
  <r>
    <x v="1"/>
    <x v="45"/>
    <n v="1.0257500000000002"/>
    <n v="1.0257500000000002"/>
    <n v="1.5609999999999999"/>
    <n v="0"/>
    <n v="0"/>
    <n v="0"/>
    <n v="0.53524999999999978"/>
    <n v="7.5279444444444437"/>
    <n v="0.38614713559143171"/>
    <n v="0.48172499999999979"/>
    <n v="0.53524999999999978"/>
    <n v="1.8249999999999999E-2"/>
    <n v="2.0277777777777777E-2"/>
    <n v="1.8249999999999999E-2"/>
  </r>
  <r>
    <x v="1"/>
    <x v="46"/>
    <n v="2.5749999999999999E-2"/>
    <n v="2.5749999999999999E-2"/>
    <n v="1.7689999999999999"/>
    <n v="0"/>
    <n v="0"/>
    <n v="0"/>
    <n v="1.74325"/>
    <n v="9.2509166666666651"/>
    <n v="0.41493596597541427"/>
    <n v="1.5689249999999999"/>
    <n v="1.74325"/>
    <n v="1.8249999999999999E-2"/>
    <n v="2.0277777777777777E-2"/>
    <n v="1.8249999999999999E-2"/>
  </r>
  <r>
    <x v="1"/>
    <x v="47"/>
    <n v="2.5749999999999999E-2"/>
    <n v="2.5749999999999999E-2"/>
    <n v="1.966"/>
    <n v="0"/>
    <n v="0"/>
    <n v="0"/>
    <n v="1.94025"/>
    <n v="11.170888888888888"/>
    <n v="0.51125641380039333"/>
    <n v="1.7462250000000001"/>
    <n v="1.94025"/>
    <n v="1.8249999999999999E-2"/>
    <n v="2.0277777777777777E-2"/>
    <n v="1.8249999999999999E-2"/>
  </r>
  <r>
    <x v="1"/>
    <x v="48"/>
    <n v="2.5749999999999999E-2"/>
    <n v="2.5749999999999999E-2"/>
    <n v="2.1440000000000001"/>
    <n v="0"/>
    <n v="0"/>
    <n v="0"/>
    <n v="2.1182500000000002"/>
    <n v="13.268861111111109"/>
    <n v="0.61858988201930976"/>
    <n v="1.9064250000000003"/>
    <n v="2.1182500000000002"/>
    <n v="1.8249999999999999E-2"/>
    <n v="2.0277777777777777E-2"/>
    <n v="1.8249999999999999E-2"/>
  </r>
  <r>
    <x v="1"/>
    <x v="49"/>
    <n v="2.5749999999999999E-2"/>
    <n v="2.5749999999999999E-2"/>
    <n v="2.2930000000000001"/>
    <n v="0"/>
    <n v="0"/>
    <n v="0"/>
    <n v="2.2672500000000002"/>
    <n v="15.515833333333331"/>
    <n v="0.73587420115254509"/>
    <n v="2.0405250000000001"/>
    <n v="2.2672500000000002"/>
    <n v="1.8249999999999999E-2"/>
    <n v="2.0277777777777777E-2"/>
    <n v="1.8249999999999999E-2"/>
  </r>
  <r>
    <x v="1"/>
    <x v="50"/>
    <n v="2.5749999999999999E-2"/>
    <n v="2.5749999999999999E-2"/>
    <n v="2.4060000000000001"/>
    <n v="0"/>
    <n v="0"/>
    <n v="0"/>
    <n v="2.3802500000000002"/>
    <n v="17.875805555555552"/>
    <n v="0.86148816515226101"/>
    <n v="2.1422250000000003"/>
    <n v="2.3802500000000002"/>
    <n v="1.8249999999999999E-2"/>
    <n v="2.0277777777777777E-2"/>
    <n v="1.8249999999999999E-2"/>
  </r>
  <r>
    <x v="1"/>
    <x v="51"/>
    <n v="2.5749999999999999E-2"/>
    <n v="2.5749999999999999E-2"/>
    <n v="2.476"/>
    <n v="0"/>
    <n v="2.3122561728395019"/>
    <n v="0"/>
    <n v="2.45025"/>
    <n v="17.993521604938273"/>
    <n v="0.99341924237286472"/>
    <n v="0.12419444444444849"/>
    <n v="0.13799382716049832"/>
    <n v="1.8249999999999999E-2"/>
    <n v="2.0277777777777777E-2"/>
    <n v="1.8249999999999999E-2"/>
  </r>
  <r>
    <x v="1"/>
    <x v="52"/>
    <n v="2.5749999999999999E-2"/>
    <n v="2.5749999999999999E-2"/>
    <n v="2.5"/>
    <n v="0"/>
    <n v="2.4670517832647478"/>
    <n v="0"/>
    <n v="2.4742500000000001"/>
    <n v="17.980442043895746"/>
    <n v="1"/>
    <n v="6.4783950617268715E-3"/>
    <n v="7.1982167352520792E-3"/>
    <n v="1.8249999999999999E-2"/>
    <n v="2.0277777777777777E-2"/>
    <n v="1.8249999999999999E-2"/>
  </r>
  <r>
    <x v="1"/>
    <x v="53"/>
    <n v="2.5749999999999999E-2"/>
    <n v="2.5749999999999999E-2"/>
    <n v="2.476"/>
    <n v="0"/>
    <n v="2.4285189376619396"/>
    <n v="0"/>
    <n v="2.45025"/>
    <n v="17.981895328456027"/>
    <n v="0.99926880470809587"/>
    <n v="1.9557956104254259E-2"/>
    <n v="2.1731062338060287E-2"/>
    <n v="1.8249999999999999E-2"/>
    <n v="2.0277777777777777E-2"/>
    <n v="1.8249999999999999E-2"/>
  </r>
  <r>
    <x v="1"/>
    <x v="54"/>
    <n v="2.5749999999999999E-2"/>
    <n v="2.5749999999999999E-2"/>
    <n v="2.4060000000000001"/>
    <n v="0"/>
    <n v="2.3601336982844741"/>
    <n v="0"/>
    <n v="2.3802500000000002"/>
    <n v="17.981733852393774"/>
    <n v="0.99935004862941856"/>
    <n v="1.8104671543973438E-2"/>
    <n v="2.0116301715526041E-2"/>
    <n v="1.8249999999999999E-2"/>
    <n v="2.0277777777777777E-2"/>
    <n v="1.8249999999999999E-2"/>
  </r>
  <r>
    <x v="1"/>
    <x v="55"/>
    <n v="2.5749999999999999E-2"/>
    <n v="2.5749999999999999E-2"/>
    <n v="2.2930000000000001"/>
    <n v="0"/>
    <n v="2.2469542804375262"/>
    <n v="0"/>
    <n v="2.2672500000000002"/>
    <n v="17.981751794178468"/>
    <n v="0.99934102152704951"/>
    <n v="1.8266147606226468E-2"/>
    <n v="2.0295719562473852E-2"/>
    <n v="1.8249999999999999E-2"/>
    <n v="2.0277777777777777E-2"/>
    <n v="1.8249999999999999E-2"/>
  </r>
  <r>
    <x v="1"/>
    <x v="56"/>
    <n v="2.5749999999999999E-2"/>
    <n v="2.5749999999999999E-2"/>
    <n v="2.1440000000000001"/>
    <n v="0"/>
    <n v="2.0979742157538532"/>
    <n v="0"/>
    <n v="2.1182500000000002"/>
    <n v="17.981749800646835"/>
    <n v="0.9993420245384238"/>
    <n v="1.8248205821532082E-2"/>
    <n v="2.0275784246146757E-2"/>
    <n v="1.8249999999999999E-2"/>
    <n v="2.0277777777777777E-2"/>
    <n v="1.8249999999999999E-2"/>
  </r>
  <r>
    <x v="1"/>
    <x v="57"/>
    <n v="1.0257500000000002"/>
    <n v="1.0257500000000002"/>
    <n v="1.966"/>
    <n v="0"/>
    <n v="0.91997200071870511"/>
    <n v="0"/>
    <n v="0.94024999999999981"/>
    <n v="17.981750022150351"/>
    <n v="0.99934191309271558"/>
    <n v="1.8250199353165186E-2"/>
    <n v="2.0277999281294652E-2"/>
    <n v="1.8249999999999999E-2"/>
    <n v="2.0277777777777777E-2"/>
    <n v="1.8249999999999999E-2"/>
  </r>
  <r>
    <x v="1"/>
    <x v="58"/>
    <n v="2.5749999999999999E-2"/>
    <n v="2.5749999999999999E-2"/>
    <n v="1.7689999999999999"/>
    <n v="0"/>
    <n v="1.722972246833723"/>
    <n v="0"/>
    <n v="1.74325"/>
    <n v="17.981749997538849"/>
    <n v="0.99934192547557199"/>
    <n v="1.8249977849649213E-2"/>
    <n v="2.0277753166276901E-2"/>
    <n v="1.8249999999999999E-2"/>
    <n v="2.0277777777777777E-2"/>
    <n v="1.8249999999999999E-2"/>
  </r>
  <r>
    <x v="1"/>
    <x v="59"/>
    <n v="2.5749999999999999E-2"/>
    <n v="2.5749999999999999E-2"/>
    <n v="1.5609999999999999"/>
    <n v="0"/>
    <n v="1.5149722194876096"/>
    <n v="0"/>
    <n v="1.53525"/>
    <n v="17.981750000273461"/>
    <n v="0.99934192409969913"/>
    <n v="1.8250002461151382E-2"/>
    <n v="2.0277780512390424E-2"/>
    <n v="1.8249999999999999E-2"/>
    <n v="2.0277777777777777E-2"/>
    <n v="1.8249999999999999E-2"/>
  </r>
  <r>
    <x v="1"/>
    <x v="60"/>
    <n v="2.5749999999999999E-2"/>
    <n v="2.5749999999999999E-2"/>
    <n v="1.351"/>
    <n v="0"/>
    <n v="1.304972222526068"/>
    <n v="0"/>
    <n v="1.32525"/>
    <n v="17.981749999969615"/>
    <n v="0.99934192425257384"/>
    <n v="1.8249999726538846E-2"/>
    <n v="2.027777747393205E-2"/>
    <n v="1.8249999999999999E-2"/>
    <n v="2.0277777777777777E-2"/>
    <n v="1.8249999999999999E-2"/>
  </r>
  <r>
    <x v="1"/>
    <x v="61"/>
    <n v="2.5749999999999999E-2"/>
    <n v="2.5749999999999999E-2"/>
    <n v="1.147"/>
    <n v="0"/>
    <n v="1.1009722221884615"/>
    <n v="0"/>
    <n v="1.1212500000000001"/>
    <n v="17.981750000003377"/>
    <n v="0.99934192423558788"/>
    <n v="1.8250000030384683E-2"/>
    <n v="2.0277777811538538E-2"/>
    <n v="1.8249999999999999E-2"/>
    <n v="2.0277777777777777E-2"/>
    <n v="1.8249999999999999E-2"/>
  </r>
  <r>
    <x v="1"/>
    <x v="62"/>
    <n v="2.5749999999999999E-2"/>
    <n v="2.5749999999999999E-2"/>
    <n v="0.95599999999999996"/>
    <n v="0"/>
    <n v="0.90997222222597407"/>
    <n v="0"/>
    <n v="0.93024999999999991"/>
    <n v="17.981749999999625"/>
    <n v="0.99934192423747514"/>
    <n v="1.8249999996623245E-2"/>
    <n v="2.0277777774025826E-2"/>
    <n v="1.8249999999999999E-2"/>
    <n v="2.0277777777777777E-2"/>
    <n v="1.8249999999999999E-2"/>
  </r>
  <r>
    <x v="1"/>
    <x v="63"/>
    <n v="2.5749999999999999E-2"/>
    <n v="2.5749999999999999E-2"/>
    <n v="0.78100000000000003"/>
    <n v="0"/>
    <n v="0.73497222222180558"/>
    <n v="0"/>
    <n v="0.75524999999999998"/>
    <n v="17.981750000000041"/>
    <n v="0.99934192423726542"/>
    <n v="1.8250000000374911E-2"/>
    <n v="2.0277777778194346E-2"/>
    <n v="1.8249999999999999E-2"/>
    <n v="2.0277777777777777E-2"/>
    <n v="1.8249999999999999E-2"/>
  </r>
  <r>
    <x v="1"/>
    <x v="64"/>
    <n v="2.5749999999999999E-2"/>
    <n v="2.5749999999999999E-2"/>
    <n v="0.626"/>
    <n v="0"/>
    <n v="0.57997222222226741"/>
    <n v="0"/>
    <n v="0.60024999999999995"/>
    <n v="17.981749999999995"/>
    <n v="0.99934192423728863"/>
    <n v="1.8249999999959243E-2"/>
    <n v="2.0277777777732493E-2"/>
    <n v="1.8249999999999999E-2"/>
    <n v="2.0277777777777777E-2"/>
    <n v="1.8249999999999999E-2"/>
  </r>
  <r>
    <x v="1"/>
    <x v="65"/>
    <n v="1.0257500000000002"/>
    <n v="0.49199999999999999"/>
    <n v="0.49199999999999999"/>
    <n v="0"/>
    <n v="0"/>
    <n v="0.53375000000000017"/>
    <n v="-0.53375000000000017"/>
    <n v="17.368416666666661"/>
    <n v="0.99934192423728618"/>
    <n v="0"/>
    <n v="0"/>
    <n v="0.55200000000000016"/>
    <n v="0.61333333333333351"/>
    <n v="1.8249999999999999E-2"/>
  </r>
  <r>
    <x v="1"/>
    <x v="66"/>
    <n v="1.0307500000000001"/>
    <n v="0.38"/>
    <n v="0.38"/>
    <n v="0"/>
    <n v="0"/>
    <n v="0.65075000000000005"/>
    <n v="-0.65075000000000005"/>
    <n v="16.625083333333329"/>
    <n v="0.96505434805311574"/>
    <n v="0"/>
    <n v="0"/>
    <n v="0.66900000000000004"/>
    <n v="0.7433333333333334"/>
    <n v="1.8249999999999999E-2"/>
  </r>
  <r>
    <x v="1"/>
    <x v="67"/>
    <n v="1.0807500000000001"/>
    <n v="0.28699999999999998"/>
    <n v="0.28699999999999998"/>
    <n v="0"/>
    <n v="0"/>
    <n v="0.79375000000000018"/>
    <n v="-0.79375000000000018"/>
    <n v="15.722861111111106"/>
    <n v="0.92349929648208318"/>
    <n v="0"/>
    <n v="0"/>
    <n v="0.81200000000000017"/>
    <n v="0.90222222222222237"/>
    <n v="1.8249999999999999E-2"/>
  </r>
  <r>
    <x v="1"/>
    <x v="68"/>
    <n v="1.06325"/>
    <n v="0.21299999999999999"/>
    <n v="0.21299999999999999"/>
    <n v="0"/>
    <n v="0"/>
    <n v="0.85025000000000006"/>
    <n v="-0.85025000000000006"/>
    <n v="14.757861111111106"/>
    <n v="0.87306177499377446"/>
    <n v="0"/>
    <n v="0"/>
    <n v="0.86850000000000005"/>
    <n v="0.96500000000000008"/>
    <n v="1.8249999999999999E-2"/>
  </r>
  <r>
    <x v="1"/>
    <x v="69"/>
    <n v="1.0707499999999999"/>
    <n v="0.155"/>
    <n v="0.155"/>
    <n v="0"/>
    <n v="0"/>
    <n v="0.91574999999999984"/>
    <n v="-0.91574999999999984"/>
    <n v="13.720083333333328"/>
    <n v="0.81911474616052815"/>
    <n v="0"/>
    <n v="0"/>
    <n v="0.93399999999999983"/>
    <n v="1.0377777777777775"/>
    <n v="1.8249999999999999E-2"/>
  </r>
  <r>
    <x v="1"/>
    <x v="70"/>
    <n v="1.0707499999999999"/>
    <n v="0.111"/>
    <n v="0.111"/>
    <n v="0"/>
    <n v="0"/>
    <n v="0.95974999999999988"/>
    <n v="-0.95974999999999988"/>
    <n v="12.633416666666662"/>
    <n v="0.76109917341412392"/>
    <n v="0"/>
    <n v="0"/>
    <n v="0.97799999999999987"/>
    <n v="1.0866666666666664"/>
    <n v="1.8249999999999999E-2"/>
  </r>
  <r>
    <x v="1"/>
    <x v="71"/>
    <n v="2.5747499999999999"/>
    <n v="7.8E-2"/>
    <n v="7.8E-2"/>
    <n v="0"/>
    <n v="0"/>
    <n v="2.49675"/>
    <n v="-2.49675"/>
    <n v="9.8389722222222176"/>
    <n v="0.70035053300086547"/>
    <n v="0"/>
    <n v="0"/>
    <n v="2.5150000000000001"/>
    <n v="2.7944444444444447"/>
    <n v="1.8249999999999999E-2"/>
  </r>
  <r>
    <x v="1"/>
    <x v="72"/>
    <n v="3.3247499999999999"/>
    <n v="5.2999999999999999E-2"/>
    <n v="5.2999999999999999E-2"/>
    <n v="0"/>
    <n v="0"/>
    <n v="3.2717499999999999"/>
    <n v="-3.2717499999999999"/>
    <n v="6.1834166666666626"/>
    <n v="0.54413086977045144"/>
    <n v="0"/>
    <n v="0"/>
    <n v="3.29"/>
    <n v="3.6555555555555554"/>
    <n v="1.8249999999999999E-2"/>
  </r>
  <r>
    <x v="1"/>
    <x v="73"/>
    <n v="3.3247499999999999"/>
    <n v="3.5999999999999997E-2"/>
    <n v="3.5999999999999997E-2"/>
    <n v="0"/>
    <n v="0"/>
    <n v="3.2887499999999998"/>
    <n v="-3.2887499999999998"/>
    <n v="2.5089722222222184"/>
    <n v="0.33977194649885611"/>
    <n v="0"/>
    <n v="0"/>
    <n v="3.3069999999999999"/>
    <n v="3.6744444444444442"/>
    <n v="1.8249999999999999E-2"/>
  </r>
  <r>
    <x v="1"/>
    <x v="74"/>
    <n v="3.3097500000000002"/>
    <n v="2.4E-2"/>
    <n v="2.4E-2"/>
    <n v="1.7767777777777818"/>
    <n v="0"/>
    <n v="1.5089722222222184"/>
    <n v="-3.2857500000000002"/>
    <n v="1"/>
    <n v="0.13435706526506719"/>
    <n v="0"/>
    <n v="0"/>
    <n v="1.5089722222222184"/>
    <n v="1.6766358024691315"/>
    <n v="1.8249999999999999E-2"/>
  </r>
  <r>
    <x v="1"/>
    <x v="75"/>
    <n v="1.80975"/>
    <n v="1.4999999999999999E-2"/>
    <n v="1.4999999999999999E-2"/>
    <n v="1.7947500000000001"/>
    <n v="0"/>
    <n v="0"/>
    <n v="-1.7947500000000001"/>
    <n v="1"/>
    <n v="0.05"/>
    <n v="0"/>
    <n v="0"/>
    <n v="0"/>
    <n v="0"/>
    <n v="1.8249999999999999E-2"/>
  </r>
  <r>
    <x v="1"/>
    <x v="76"/>
    <n v="1.8127500000000001"/>
    <n v="0.01"/>
    <n v="0.01"/>
    <n v="1.8027500000000001"/>
    <n v="0"/>
    <n v="0"/>
    <n v="-1.8027500000000001"/>
    <n v="1"/>
    <n v="0.05"/>
    <n v="0"/>
    <n v="0"/>
    <n v="0"/>
    <n v="0"/>
    <n v="1.8249999999999999E-2"/>
  </r>
  <r>
    <x v="1"/>
    <x v="77"/>
    <n v="1.839"/>
    <n v="6.0000000000000001E-3"/>
    <n v="6.0000000000000001E-3"/>
    <n v="1.833"/>
    <n v="0"/>
    <n v="0"/>
    <n v="-1.833"/>
    <n v="1"/>
    <n v="0.05"/>
    <n v="0"/>
    <n v="0"/>
    <n v="0"/>
    <n v="0"/>
    <n v="1.8249999999999999E-2"/>
  </r>
  <r>
    <x v="1"/>
    <x v="78"/>
    <n v="0.56399999999999995"/>
    <n v="4.0000000000000001E-3"/>
    <n v="4.0000000000000001E-3"/>
    <n v="0.55999999999999994"/>
    <n v="0"/>
    <n v="0"/>
    <n v="-0.55999999999999994"/>
    <n v="1"/>
    <n v="0.05"/>
    <n v="0"/>
    <n v="0"/>
    <n v="0"/>
    <n v="0"/>
    <n v="1.8249999999999999E-2"/>
  </r>
  <r>
    <x v="1"/>
    <x v="79"/>
    <n v="0.62649999999999995"/>
    <n v="2E-3"/>
    <n v="2E-3"/>
    <n v="0.62449999999999994"/>
    <n v="0"/>
    <n v="0"/>
    <n v="-0.62449999999999994"/>
    <n v="1"/>
    <n v="0.05"/>
    <n v="0"/>
    <n v="0"/>
    <n v="0"/>
    <n v="0"/>
    <n v="1.8249999999999999E-2"/>
  </r>
  <r>
    <x v="1"/>
    <x v="80"/>
    <n v="0.63049999999999995"/>
    <n v="1E-3"/>
    <n v="1E-3"/>
    <n v="0.62949999999999995"/>
    <n v="0"/>
    <n v="0"/>
    <n v="-0.62949999999999995"/>
    <n v="1"/>
    <n v="0.05"/>
    <n v="0"/>
    <n v="0"/>
    <n v="0"/>
    <n v="0"/>
    <n v="1.8249999999999999E-2"/>
  </r>
  <r>
    <x v="1"/>
    <x v="81"/>
    <n v="0.63049999999999995"/>
    <n v="1E-3"/>
    <n v="1E-3"/>
    <n v="0.62949999999999995"/>
    <n v="0"/>
    <n v="0"/>
    <n v="-0.62949999999999995"/>
    <n v="1"/>
    <n v="0.05"/>
    <n v="0"/>
    <n v="0"/>
    <n v="0"/>
    <n v="0"/>
    <n v="1.8249999999999999E-2"/>
  </r>
  <r>
    <x v="1"/>
    <x v="82"/>
    <n v="0.63049999999999995"/>
    <n v="0"/>
    <n v="0"/>
    <n v="0.63049999999999995"/>
    <n v="0"/>
    <n v="0"/>
    <n v="-0.63049999999999995"/>
    <n v="1"/>
    <n v="0.05"/>
    <n v="0"/>
    <n v="0"/>
    <n v="0"/>
    <n v="0"/>
    <n v="1.8249999999999999E-2"/>
  </r>
  <r>
    <x v="1"/>
    <x v="83"/>
    <n v="0.63049999999999995"/>
    <n v="0"/>
    <n v="0"/>
    <n v="0.63049999999999995"/>
    <n v="0"/>
    <n v="0"/>
    <n v="-0.63049999999999995"/>
    <n v="1"/>
    <n v="0.05"/>
    <n v="0"/>
    <n v="0"/>
    <n v="0"/>
    <n v="0"/>
    <n v="1.8249999999999999E-2"/>
  </r>
  <r>
    <x v="1"/>
    <x v="84"/>
    <n v="1.1305000000000001"/>
    <n v="0"/>
    <n v="0"/>
    <n v="1.1305000000000001"/>
    <n v="0"/>
    <n v="0"/>
    <n v="-1.1305000000000001"/>
    <n v="1"/>
    <n v="0.05"/>
    <n v="0"/>
    <n v="0"/>
    <n v="0"/>
    <n v="0"/>
    <n v="1.8249999999999999E-2"/>
  </r>
  <r>
    <x v="1"/>
    <x v="85"/>
    <n v="1.6805000000000001"/>
    <n v="0"/>
    <n v="0"/>
    <n v="1.6805000000000001"/>
    <n v="0"/>
    <n v="0"/>
    <n v="-1.6805000000000001"/>
    <n v="1"/>
    <n v="0.05"/>
    <n v="0"/>
    <n v="0"/>
    <n v="0"/>
    <n v="0"/>
    <n v="1.8249999999999999E-2"/>
  </r>
  <r>
    <x v="1"/>
    <x v="86"/>
    <n v="1.6745000000000001"/>
    <n v="0"/>
    <n v="0"/>
    <n v="1.6745000000000001"/>
    <n v="0"/>
    <n v="0"/>
    <n v="-1.6745000000000001"/>
    <n v="1"/>
    <n v="0.05"/>
    <n v="0"/>
    <n v="0"/>
    <n v="0"/>
    <n v="0"/>
    <n v="1.8249999999999999E-2"/>
  </r>
  <r>
    <x v="1"/>
    <x v="87"/>
    <n v="1.6820000000000002"/>
    <n v="0"/>
    <n v="0"/>
    <n v="1.6820000000000002"/>
    <n v="0"/>
    <n v="0"/>
    <n v="-1.6820000000000002"/>
    <n v="1"/>
    <n v="0.05"/>
    <n v="0"/>
    <n v="0"/>
    <n v="0"/>
    <n v="0"/>
    <n v="1.8249999999999999E-2"/>
  </r>
  <r>
    <x v="1"/>
    <x v="88"/>
    <n v="1.1819999999999999"/>
    <n v="0"/>
    <n v="0"/>
    <n v="1.1819999999999999"/>
    <n v="0"/>
    <n v="0"/>
    <n v="-1.1819999999999999"/>
    <n v="1"/>
    <n v="0.05"/>
    <n v="0"/>
    <n v="0"/>
    <n v="0"/>
    <n v="0"/>
    <n v="1.8249999999999999E-2"/>
  </r>
  <r>
    <x v="1"/>
    <x v="89"/>
    <n v="1.1819999999999999"/>
    <n v="0"/>
    <n v="0"/>
    <n v="1.1819999999999999"/>
    <n v="0"/>
    <n v="0"/>
    <n v="-1.1819999999999999"/>
    <n v="1"/>
    <n v="0.05"/>
    <n v="0"/>
    <n v="0"/>
    <n v="0"/>
    <n v="0"/>
    <n v="1.8249999999999999E-2"/>
  </r>
  <r>
    <x v="1"/>
    <x v="90"/>
    <n v="1.1779999999999999"/>
    <n v="0"/>
    <n v="0"/>
    <n v="1.1779999999999999"/>
    <n v="0"/>
    <n v="0"/>
    <n v="-1.1779999999999999"/>
    <n v="1"/>
    <n v="0.05"/>
    <n v="0"/>
    <n v="0"/>
    <n v="0"/>
    <n v="0"/>
    <n v="1.8249999999999999E-2"/>
  </r>
  <r>
    <x v="1"/>
    <x v="91"/>
    <n v="1.1855"/>
    <n v="0"/>
    <n v="0"/>
    <n v="1.1855"/>
    <n v="0"/>
    <n v="0"/>
    <n v="-1.1855"/>
    <n v="1"/>
    <n v="0.05"/>
    <n v="0"/>
    <n v="0"/>
    <n v="0"/>
    <n v="0"/>
    <n v="1.8249999999999999E-2"/>
  </r>
  <r>
    <x v="1"/>
    <x v="92"/>
    <n v="0.57299999999999995"/>
    <n v="0"/>
    <n v="0"/>
    <n v="0.57299999999999995"/>
    <n v="0"/>
    <n v="0"/>
    <n v="-0.57299999999999995"/>
    <n v="1"/>
    <n v="0.05"/>
    <n v="0"/>
    <n v="0"/>
    <n v="0"/>
    <n v="0"/>
    <n v="1.8249999999999999E-2"/>
  </r>
  <r>
    <x v="1"/>
    <x v="93"/>
    <n v="1.073"/>
    <n v="0"/>
    <n v="0"/>
    <n v="1.073"/>
    <n v="0"/>
    <n v="0"/>
    <n v="-1.073"/>
    <n v="1"/>
    <n v="0.05"/>
    <n v="0"/>
    <n v="0"/>
    <n v="0"/>
    <n v="0"/>
    <n v="1.8249999999999999E-2"/>
  </r>
  <r>
    <x v="1"/>
    <x v="94"/>
    <n v="1.05175"/>
    <n v="0"/>
    <n v="0"/>
    <n v="1.05175"/>
    <n v="0"/>
    <n v="0"/>
    <n v="-1.05175"/>
    <n v="1"/>
    <n v="0.05"/>
    <n v="0"/>
    <n v="0"/>
    <n v="0"/>
    <n v="0"/>
    <n v="1.8249999999999999E-2"/>
  </r>
  <r>
    <x v="1"/>
    <x v="95"/>
    <n v="0.54574999999999996"/>
    <n v="0"/>
    <n v="0"/>
    <n v="0.54574999999999996"/>
    <n v="0"/>
    <n v="0"/>
    <n v="-0.54574999999999996"/>
    <n v="1"/>
    <n v="0.05"/>
    <n v="0"/>
    <n v="0"/>
    <n v="0"/>
    <n v="0"/>
    <n v="1.8249999999999999E-2"/>
  </r>
  <r>
    <x v="1"/>
    <x v="96"/>
    <n v="0.54074999999999995"/>
    <n v="0"/>
    <n v="0"/>
    <n v="0.54074999999999995"/>
    <n v="0"/>
    <n v="0"/>
    <n v="-0.54074999999999995"/>
    <n v="1"/>
    <n v="0.05"/>
    <n v="0"/>
    <n v="0"/>
    <n v="0"/>
    <n v="0"/>
    <n v="1.82499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3E246-2C57-4368-904C-F626CED1EA16}" name="Kontingenční tabulka2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1">
  <location ref="A1:O30" firstHeaderRow="0" firstDataRow="1" firstDataCol="1"/>
  <pivotFields count="18">
    <pivotField axis="axisRow" showAll="0">
      <items count="3">
        <item x="1"/>
        <item x="0"/>
        <item t="default"/>
      </items>
    </pivotField>
    <pivotField showAll="0">
      <items count="9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0"/>
        <item t="default"/>
      </items>
    </pivotField>
    <pivotField dataField="1" showAll="0">
      <items count="39">
        <item x="12"/>
        <item x="2"/>
        <item x="3"/>
        <item x="4"/>
        <item x="11"/>
        <item x="5"/>
        <item x="1"/>
        <item x="37"/>
        <item x="9"/>
        <item x="24"/>
        <item x="34"/>
        <item x="10"/>
        <item x="25"/>
        <item x="26"/>
        <item x="6"/>
        <item x="13"/>
        <item x="14"/>
        <item x="36"/>
        <item x="16"/>
        <item x="17"/>
        <item x="35"/>
        <item x="15"/>
        <item x="27"/>
        <item x="32"/>
        <item x="31"/>
        <item x="33"/>
        <item x="29"/>
        <item x="28"/>
        <item x="30"/>
        <item x="21"/>
        <item x="22"/>
        <item x="23"/>
        <item x="8"/>
        <item x="18"/>
        <item x="7"/>
        <item x="20"/>
        <item x="19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20">
        <item x="4"/>
        <item x="5"/>
        <item x="7"/>
        <item x="8"/>
        <item x="9"/>
        <item x="10"/>
        <item x="3"/>
        <item x="2"/>
        <item x="1"/>
        <item x="6"/>
        <item x="11"/>
        <item x="12"/>
        <item x="14"/>
        <item x="15"/>
        <item x="13"/>
        <item x="18"/>
        <item x="16"/>
        <item x="17"/>
        <item x="0"/>
        <item t="default"/>
      </items>
    </pivotField>
    <pivotField dataField="1" showAll="0">
      <items count="20">
        <item x="4"/>
        <item x="5"/>
        <item x="7"/>
        <item x="8"/>
        <item x="9"/>
        <item x="10"/>
        <item x="3"/>
        <item x="2"/>
        <item x="1"/>
        <item x="6"/>
        <item x="11"/>
        <item x="12"/>
        <item x="14"/>
        <item x="15"/>
        <item x="13"/>
        <item x="18"/>
        <item x="16"/>
        <item x="17"/>
        <item x="0"/>
        <item t="default"/>
      </items>
    </pivotField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0"/>
    <field x="17"/>
    <field x="16"/>
  </rowFields>
  <rowItems count="29">
    <i>
      <x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>
      <x v="1"/>
    </i>
    <i r="1">
      <x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oučet z Přímá vlastní spotřeba z FVE" fld="3" baseField="0" baseItem="0"/>
    <dataField name="Součet z Výroba FVE" fld="4" baseField="0" baseItem="0"/>
    <dataField name="Součet z Vybíjení (Netto)" fld="13" baseField="0" baseItem="0"/>
    <dataField name="Součet z Odběr z DS" fld="5" baseField="0" baseItem="0"/>
    <dataField name="Součet z Vybíjení (Brutto)" fld="14" baseField="0" baseItem="0"/>
    <dataField name="Součet z Přetok do DS" fld="6" baseField="0" baseItem="0"/>
    <dataField name="Součet z Spotřeba" fld="2" baseField="0" baseItem="0"/>
    <dataField name="Součet z Spotřeba z baterie" fld="7" baseField="0" baseItem="0"/>
    <dataField name="Součet z Bilance" fld="8" baseField="0" baseItem="0"/>
    <dataField name="Počet z Stav baterie" fld="9" subtotal="count" baseField="0" baseItem="0"/>
    <dataField name="Součet z Soc " fld="10" baseField="0" baseItem="0"/>
    <dataField name="Součet z Nabíjení (Netto)" fld="11" baseField="0" baseItem="0"/>
    <dataField name="Součet z Nabíjení (Brutto)" fld="12" baseField="0" baseItem="0"/>
    <dataField name="Součet z Vlastní spotřeba" fld="15" baseField="0" baseItem="0"/>
  </dataFields>
  <formats count="10">
    <format dxfId="6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2">
          <reference field="0" count="1" selected="0">
            <x v="0"/>
          </reference>
          <reference field="17" count="1">
            <x v="1"/>
          </reference>
        </references>
      </pivotArea>
    </format>
    <format dxfId="62">
      <pivotArea dataOnly="0" labelOnly="1" fieldPosition="0">
        <references count="2">
          <reference field="0" count="1" selected="0">
            <x v="1"/>
          </reference>
          <reference field="17" count="1">
            <x v="0"/>
          </reference>
        </references>
      </pivotArea>
    </format>
    <format dxfId="61">
      <pivotArea dataOnly="0" labelOnly="1" fieldPosition="0">
        <references count="3">
          <reference field="0" count="1" selected="0">
            <x v="0"/>
          </reference>
          <reference field="16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  <reference field="17" count="1" selected="0">
            <x v="1"/>
          </reference>
        </references>
      </pivotArea>
    </format>
    <format dxfId="60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chartFormats count="5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3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34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37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38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2" format="41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2" format="4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36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37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3" format="39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3" format="42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34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35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4" format="36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4" format="37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4" format="38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4" format="39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4" format="42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4" format="4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4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4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5319E-B6A7-4C8C-9F03-D53FD80A113E}" name="Kontingenční tabulka1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4">
  <location ref="A1:M31" firstHeaderRow="0" firstDataRow="1" firstDataCol="1"/>
  <pivotFields count="18">
    <pivotField axis="axisRow" showAll="0">
      <items count="3">
        <item x="1"/>
        <item x="0"/>
        <item t="default"/>
      </items>
    </pivotField>
    <pivotField showAll="0">
      <items count="9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0"/>
    <field x="17"/>
    <field x="16"/>
  </rowFields>
  <rowItems count="30">
    <i>
      <x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>
      <x v="1"/>
    </i>
    <i r="1">
      <x/>
    </i>
    <i r="2"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oučet z Spotřeba" fld="2" baseField="0" baseItem="0"/>
    <dataField name="Součet z Přímá vlastní spotřeba z FVE" fld="3" baseField="0" baseItem="0"/>
    <dataField name="Součet z Výroba FVE" fld="4" baseField="0" baseItem="0"/>
    <dataField name="Součet z Odběr z DS" fld="5" baseField="0" baseItem="0"/>
    <dataField name="Součet z Přetok do DS" fld="6" baseField="0" baseItem="0"/>
    <dataField name="Součet z Spotřeba z baterie" fld="7" baseField="0" baseItem="0"/>
    <dataField name="Součet z Bilance" fld="8" baseField="0" baseItem="0"/>
    <dataField name="Součet z Stav baterie" fld="9" baseField="0" baseItem="0"/>
    <dataField name="Součet z Soc " fld="10" baseField="0" baseItem="0"/>
    <dataField name="Součet z Nabíjení (Netto)" fld="11" baseField="0" baseItem="0"/>
    <dataField name="Součet z Nabíjení (Brutto)" fld="12" baseField="0" baseItem="0"/>
    <dataField name="Součet z Vybíjení (Netto)" fld="13" baseField="0" baseItem="0"/>
  </dataFields>
  <formats count="10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2">
          <reference field="0" count="1" selected="0">
            <x v="0"/>
          </reference>
          <reference field="17" count="1">
            <x v="1"/>
          </reference>
        </references>
      </pivotArea>
    </format>
    <format dxfId="53">
      <pivotArea dataOnly="0" labelOnly="1" fieldPosition="0">
        <references count="2">
          <reference field="0" count="1" selected="0">
            <x v="1"/>
          </reference>
          <reference field="17" count="1">
            <x v="0"/>
          </reference>
        </references>
      </pivotArea>
    </format>
    <format dxfId="52">
      <pivotArea dataOnly="0" labelOnly="1" fieldPosition="0">
        <references count="3">
          <reference field="0" count="1" selected="0">
            <x v="0"/>
          </reference>
          <reference field="16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  <reference field="17" count="1" selected="0">
            <x v="1"/>
          </reference>
        </references>
      </pivotArea>
    </format>
    <format dxfId="51">
      <pivotArea dataOnly="0" labelOnly="1" fieldPosition="0">
        <references count="3">
          <reference field="0" count="1" selected="0">
            <x v="1"/>
          </reference>
          <reference field="16" count="1">
            <x v="0"/>
          </reference>
          <reference field="17" count="1" selected="0">
            <x v="0"/>
          </reference>
        </references>
      </pivotArea>
    </format>
    <format dxfId="5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7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3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3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3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3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7" format="3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7" format="3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7" format="3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7" format="35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3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2" format="3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2" format="3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2" format="3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2" format="3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2" format="35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4A33A-6110-4DD5-A78D-829BF40B4D4F}" name="Kontingenční tabulka2" cacheId="2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9">
  <location ref="A1:O29" firstHeaderRow="0" firstDataRow="1" firstDataCol="1"/>
  <pivotFields count="17">
    <pivotField axis="axisRow" showAll="0">
      <items count="3">
        <item x="1"/>
        <item x="0"/>
        <item t="default"/>
      </items>
    </pivotField>
    <pivotField showAll="0">
      <items count="9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0"/>
    <field x="16"/>
  </rowFields>
  <rowItems count="2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"/>
    </i>
    <i r="1">
      <x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oučet z Spotřeba" fld="2" baseField="0" baseItem="0"/>
    <dataField name="Součet z Přímá vlastní spotřeba z FVE" fld="3" baseField="0" baseItem="0"/>
    <dataField name="Součet z Výroba FVE" fld="4" baseField="0" baseItem="0"/>
    <dataField name="Součet z Odběr z DS" fld="5" baseField="0" baseItem="0"/>
    <dataField name="Součet z Přetok do DS" fld="6" baseField="0" baseItem="0"/>
    <dataField name="Součet z Spotřeba z baterie" fld="7" baseField="0" baseItem="0"/>
    <dataField name="Součet z Bilance" fld="8" baseField="0" baseItem="0"/>
    <dataField name="Součet z Stav baterie" fld="9" baseField="0" baseItem="0"/>
    <dataField name="Součet z Soc " fld="10" baseField="0" baseItem="0"/>
    <dataField name="Součet z Nabíjení (Netto)" fld="11" baseField="0" baseItem="0"/>
    <dataField name="Součet z Nabíjení (Brutto)" fld="12" baseField="0" baseItem="0"/>
    <dataField name="Součet z Vybíjení (Netto)" fld="13" baseField="0" baseItem="0"/>
    <dataField name="Součet z Vybíjení (Brutto)" fld="14" baseField="0" baseItem="0"/>
    <dataField name="Součet z Vlastní spotřeba" fld="15" baseField="0" baseItem="0"/>
  </dataFields>
  <formats count="8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2">
          <reference field="0" count="1" selected="0">
            <x v="0"/>
          </reference>
          <reference field="16" count="2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3">
      <pivotArea dataOnly="0" labelOnly="1" fieldPosition="0">
        <references count="2">
          <reference field="0" count="1" selected="0">
            <x v="1"/>
          </reference>
          <reference field="16" count="1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chartFormats count="7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3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3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3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38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39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40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2" format="41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3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3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3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7" format="36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7" format="3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7" format="38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7" format="39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7" format="40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7" format="41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8" format="2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E2A0-5D37-49AC-ABE6-24D28CE91AE0}">
  <sheetPr>
    <tabColor theme="9"/>
  </sheetPr>
  <dimension ref="A1:AA99"/>
  <sheetViews>
    <sheetView zoomScale="55" zoomScaleNormal="55" workbookViewId="0">
      <selection activeCell="E9" sqref="E9"/>
    </sheetView>
  </sheetViews>
  <sheetFormatPr defaultRowHeight="14.4" x14ac:dyDescent="0.3"/>
  <cols>
    <col min="1" max="1" width="18.5546875" customWidth="1"/>
    <col min="3" max="3" width="20.88671875" customWidth="1"/>
    <col min="4" max="4" width="12" customWidth="1"/>
    <col min="5" max="5" width="25.109375" bestFit="1" customWidth="1"/>
    <col min="6" max="6" width="12.6640625" bestFit="1" customWidth="1"/>
    <col min="7" max="7" width="13" customWidth="1"/>
    <col min="8" max="8" width="15.44140625" bestFit="1" customWidth="1"/>
    <col min="9" max="9" width="16.5546875" bestFit="1" customWidth="1"/>
    <col min="10" max="10" width="11.33203125" customWidth="1"/>
    <col min="11" max="11" width="10.5546875" bestFit="1" customWidth="1"/>
    <col min="14" max="14" width="36.33203125" customWidth="1"/>
    <col min="15" max="15" width="11.6640625" customWidth="1"/>
  </cols>
  <sheetData>
    <row r="1" spans="1:27" ht="18" x14ac:dyDescent="0.35">
      <c r="A1" s="5" t="s">
        <v>8</v>
      </c>
      <c r="B1" s="6">
        <v>20</v>
      </c>
      <c r="C1" s="5" t="s">
        <v>14</v>
      </c>
      <c r="D1" s="5">
        <v>400000</v>
      </c>
      <c r="E1" s="5" t="s">
        <v>23</v>
      </c>
      <c r="F1" s="5">
        <f>200000/(Kapacita_baterie*6000)</f>
        <v>1.6666666666666667</v>
      </c>
      <c r="G1" s="9" t="s">
        <v>21</v>
      </c>
      <c r="H1" s="22" t="s">
        <v>186</v>
      </c>
      <c r="I1" s="4" t="s">
        <v>188</v>
      </c>
      <c r="J1" s="4" t="s">
        <v>187</v>
      </c>
      <c r="K1" s="4" t="s">
        <v>189</v>
      </c>
      <c r="N1" s="11" t="s">
        <v>267</v>
      </c>
    </row>
    <row r="2" spans="1:27" ht="18" x14ac:dyDescent="0.35">
      <c r="A2" s="5" t="s">
        <v>9</v>
      </c>
      <c r="B2" s="7">
        <f>B3-B4</f>
        <v>0.8</v>
      </c>
      <c r="C2" s="5" t="s">
        <v>15</v>
      </c>
      <c r="D2" s="5">
        <v>3000</v>
      </c>
      <c r="E2" s="5" t="s">
        <v>187</v>
      </c>
      <c r="F2" s="5">
        <v>5</v>
      </c>
      <c r="G2" s="22" t="s">
        <v>71</v>
      </c>
      <c r="H2" s="2" t="s">
        <v>4</v>
      </c>
      <c r="I2" s="24">
        <f>BMS/4000 + IF(OR(H3/Kapacita_baterie &gt; 0.95, H3/Kapacita_baterie &lt; 0.15), BMS/4000, 0)</f>
        <v>7.4999999999999997E-3</v>
      </c>
      <c r="J2" s="24">
        <f t="shared" ref="J2:J33" si="0">Smart_meter/4000</f>
        <v>1.25E-3</v>
      </c>
      <c r="K2" s="24">
        <f t="shared" ref="K2:K33" si="1">Datalogger/4000</f>
        <v>7.5000000000000002E-4</v>
      </c>
      <c r="N2" s="57" t="s">
        <v>208</v>
      </c>
      <c r="O2" s="4" t="s">
        <v>209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8" x14ac:dyDescent="0.35">
      <c r="A3" s="5" t="s">
        <v>10</v>
      </c>
      <c r="B3" s="7">
        <v>0.9</v>
      </c>
      <c r="C3" s="5" t="s">
        <v>16</v>
      </c>
      <c r="D3" s="5">
        <v>15</v>
      </c>
      <c r="E3" s="5" t="s">
        <v>189</v>
      </c>
      <c r="F3" s="5">
        <v>3</v>
      </c>
      <c r="G3" s="22" t="s">
        <v>71</v>
      </c>
      <c r="H3">
        <f t="shared" ref="H3:H34" si="2">Hybridní_střídač/4000</f>
        <v>1.2500000000000001E-2</v>
      </c>
      <c r="I3">
        <f>BMS/4000 + IF(OR(H3/Kapacita_baterie &gt; 0.95, H3/Kapacita_baterie &lt; 0.15), BMS/4000, 0)</f>
        <v>7.4999999999999997E-3</v>
      </c>
      <c r="J3">
        <f t="shared" si="0"/>
        <v>1.25E-3</v>
      </c>
      <c r="K3">
        <f t="shared" si="1"/>
        <v>7.5000000000000002E-4</v>
      </c>
      <c r="N3" s="58" t="s">
        <v>210</v>
      </c>
      <c r="O3" s="59"/>
      <c r="P3" s="59"/>
      <c r="Q3" s="59"/>
      <c r="R3" s="59"/>
      <c r="S3" s="4"/>
      <c r="T3" s="4"/>
      <c r="U3" s="4"/>
      <c r="V3" s="4"/>
      <c r="W3" s="4"/>
      <c r="X3" s="4"/>
      <c r="Y3" s="4"/>
      <c r="Z3" s="4"/>
      <c r="AA3" s="4"/>
    </row>
    <row r="4" spans="1:27" ht="18" x14ac:dyDescent="0.35">
      <c r="A4" s="5" t="s">
        <v>11</v>
      </c>
      <c r="B4" s="7">
        <v>0.1</v>
      </c>
      <c r="C4" s="5" t="s">
        <v>17</v>
      </c>
      <c r="D4" s="5">
        <v>0.05</v>
      </c>
      <c r="E4" s="5" t="s">
        <v>186</v>
      </c>
      <c r="F4" s="5">
        <v>50</v>
      </c>
      <c r="G4" s="22" t="s">
        <v>71</v>
      </c>
      <c r="H4">
        <f t="shared" si="2"/>
        <v>1.2500000000000001E-2</v>
      </c>
      <c r="I4">
        <f t="shared" ref="I4:I35" si="3">BMS/4000 + IF(OR(H5/Kapacita_baterie &gt; 0.95, H5/Kapacita_baterie &lt; 0.15), BMS/4000, 0)</f>
        <v>7.4999999999999997E-3</v>
      </c>
      <c r="J4">
        <f t="shared" si="0"/>
        <v>1.25E-3</v>
      </c>
      <c r="K4">
        <f t="shared" si="1"/>
        <v>7.5000000000000002E-4</v>
      </c>
      <c r="N4" s="96" t="s">
        <v>214</v>
      </c>
      <c r="O4" s="96"/>
      <c r="P4" s="90" t="s">
        <v>218</v>
      </c>
      <c r="Q4" s="90"/>
      <c r="R4" s="89" t="s">
        <v>221</v>
      </c>
      <c r="S4" s="89"/>
      <c r="T4" s="89"/>
      <c r="U4" s="90" t="s">
        <v>222</v>
      </c>
      <c r="V4" s="90"/>
      <c r="W4" s="90" t="s">
        <v>223</v>
      </c>
      <c r="X4" s="90"/>
      <c r="Y4" s="90"/>
      <c r="Z4" s="90" t="s">
        <v>224</v>
      </c>
      <c r="AA4" s="90"/>
    </row>
    <row r="5" spans="1:27" ht="18" x14ac:dyDescent="0.35">
      <c r="A5" s="5" t="s">
        <v>12</v>
      </c>
      <c r="B5" s="7">
        <v>3.75</v>
      </c>
      <c r="C5" s="5" t="s">
        <v>19</v>
      </c>
      <c r="D5" s="5">
        <v>15000</v>
      </c>
      <c r="E5" s="5" t="s">
        <v>188</v>
      </c>
      <c r="F5" s="5">
        <v>15</v>
      </c>
      <c r="G5" s="22" t="s">
        <v>71</v>
      </c>
      <c r="H5">
        <f t="shared" si="2"/>
        <v>1.2500000000000001E-2</v>
      </c>
      <c r="I5">
        <f t="shared" si="3"/>
        <v>7.4999999999999997E-3</v>
      </c>
      <c r="J5">
        <f t="shared" si="0"/>
        <v>1.25E-3</v>
      </c>
      <c r="K5">
        <f t="shared" si="1"/>
        <v>7.5000000000000002E-4</v>
      </c>
      <c r="N5" s="96"/>
      <c r="O5" s="96"/>
      <c r="P5" s="60" t="s">
        <v>219</v>
      </c>
      <c r="Q5" s="60" t="s">
        <v>220</v>
      </c>
      <c r="R5" s="60" t="s">
        <v>225</v>
      </c>
      <c r="S5" s="60" t="s">
        <v>226</v>
      </c>
      <c r="T5" s="60" t="s">
        <v>227</v>
      </c>
      <c r="U5" s="93" t="s">
        <v>228</v>
      </c>
      <c r="V5" s="93"/>
      <c r="W5" s="60" t="s">
        <v>229</v>
      </c>
      <c r="X5" s="60" t="s">
        <v>230</v>
      </c>
      <c r="Y5" s="60" t="s">
        <v>231</v>
      </c>
      <c r="Z5" s="93" t="s">
        <v>232</v>
      </c>
      <c r="AA5" s="93"/>
    </row>
    <row r="6" spans="1:27" ht="18" x14ac:dyDescent="0.35">
      <c r="A6" s="5" t="s">
        <v>13</v>
      </c>
      <c r="B6" s="7">
        <v>0.9</v>
      </c>
      <c r="C6" s="5" t="s">
        <v>18</v>
      </c>
      <c r="D6" s="5">
        <v>5.0000000000000001E-3</v>
      </c>
      <c r="E6" s="5" t="s">
        <v>190</v>
      </c>
      <c r="F6" s="5">
        <f>(Smart_meter+Datalogger+Hybridní_střídač+BMS)/4000</f>
        <v>1.8249999999999999E-2</v>
      </c>
      <c r="G6" s="22" t="s">
        <v>4</v>
      </c>
      <c r="H6">
        <f t="shared" si="2"/>
        <v>1.2500000000000001E-2</v>
      </c>
      <c r="I6">
        <f t="shared" si="3"/>
        <v>7.4999999999999997E-3</v>
      </c>
      <c r="J6">
        <f t="shared" si="0"/>
        <v>1.25E-3</v>
      </c>
      <c r="K6">
        <f t="shared" si="1"/>
        <v>7.5000000000000002E-4</v>
      </c>
      <c r="N6" s="88" t="s">
        <v>215</v>
      </c>
      <c r="O6" s="81" t="s">
        <v>211</v>
      </c>
      <c r="P6" s="94">
        <v>4792.8100000000004</v>
      </c>
      <c r="Q6" s="82"/>
      <c r="R6" s="82">
        <v>5009.3999999999996</v>
      </c>
      <c r="S6" s="82"/>
      <c r="T6" s="82"/>
      <c r="U6" s="82">
        <v>5043.28</v>
      </c>
      <c r="V6" s="82"/>
      <c r="W6" s="82">
        <v>5034.8100000000004</v>
      </c>
      <c r="X6" s="82"/>
      <c r="Y6" s="82"/>
      <c r="Z6" s="82">
        <v>5026.34</v>
      </c>
      <c r="AA6" s="82"/>
    </row>
    <row r="7" spans="1:27" ht="18" x14ac:dyDescent="0.35">
      <c r="A7" s="20" t="s">
        <v>185</v>
      </c>
      <c r="B7" s="21">
        <v>0.05</v>
      </c>
      <c r="F7">
        <f>4*Vlastní_Spotřeba_kWh</f>
        <v>7.2999999999999995E-2</v>
      </c>
      <c r="H7">
        <f t="shared" si="2"/>
        <v>1.2500000000000001E-2</v>
      </c>
      <c r="I7">
        <f t="shared" si="3"/>
        <v>7.4999999999999997E-3</v>
      </c>
      <c r="J7">
        <f t="shared" si="0"/>
        <v>1.25E-3</v>
      </c>
      <c r="K7">
        <f t="shared" si="1"/>
        <v>7.5000000000000002E-4</v>
      </c>
      <c r="N7" s="88"/>
      <c r="O7" s="81"/>
      <c r="P7" s="82">
        <v>3961</v>
      </c>
      <c r="Q7" s="82"/>
      <c r="R7" s="82">
        <v>4140</v>
      </c>
      <c r="S7" s="82"/>
      <c r="T7" s="82"/>
      <c r="U7" s="82">
        <v>4168</v>
      </c>
      <c r="V7" s="82"/>
      <c r="W7" s="82">
        <v>4161</v>
      </c>
      <c r="X7" s="82"/>
      <c r="Y7" s="82"/>
      <c r="Z7" s="82">
        <v>4154</v>
      </c>
      <c r="AA7" s="82"/>
    </row>
    <row r="8" spans="1:27" x14ac:dyDescent="0.3">
      <c r="H8">
        <f t="shared" si="2"/>
        <v>1.2500000000000001E-2</v>
      </c>
      <c r="I8">
        <f t="shared" si="3"/>
        <v>7.4999999999999997E-3</v>
      </c>
      <c r="J8">
        <f t="shared" si="0"/>
        <v>1.25E-3</v>
      </c>
      <c r="K8">
        <f t="shared" si="1"/>
        <v>7.5000000000000002E-4</v>
      </c>
      <c r="N8" s="88" t="s">
        <v>216</v>
      </c>
      <c r="O8" s="88" t="s">
        <v>211</v>
      </c>
      <c r="P8" s="4"/>
      <c r="Q8" s="4"/>
      <c r="R8" s="82">
        <v>4508.46</v>
      </c>
      <c r="S8" s="82"/>
      <c r="T8" s="82"/>
      <c r="U8" s="82">
        <v>4675.4399999999996</v>
      </c>
      <c r="V8" s="82"/>
      <c r="W8" s="82">
        <v>4769.82</v>
      </c>
      <c r="X8" s="82"/>
      <c r="Y8" s="82"/>
      <c r="Z8" s="82">
        <v>4507.25</v>
      </c>
      <c r="AA8" s="82"/>
    </row>
    <row r="9" spans="1:27" ht="18" x14ac:dyDescent="0.35">
      <c r="A9" s="91" t="s">
        <v>26</v>
      </c>
      <c r="B9" s="92"/>
      <c r="C9" s="6"/>
      <c r="H9">
        <f t="shared" si="2"/>
        <v>1.2500000000000001E-2</v>
      </c>
      <c r="I9">
        <f t="shared" si="3"/>
        <v>7.4999999999999997E-3</v>
      </c>
      <c r="J9">
        <f t="shared" si="0"/>
        <v>1.25E-3</v>
      </c>
      <c r="K9">
        <f t="shared" si="1"/>
        <v>7.5000000000000002E-4</v>
      </c>
      <c r="N9" s="88"/>
      <c r="O9" s="88"/>
      <c r="P9" s="4"/>
      <c r="Q9" s="4"/>
      <c r="R9" s="82">
        <v>3726</v>
      </c>
      <c r="S9" s="82"/>
      <c r="T9" s="82"/>
      <c r="U9" s="82">
        <v>3864</v>
      </c>
      <c r="V9" s="82"/>
      <c r="W9" s="82">
        <v>3942</v>
      </c>
      <c r="X9" s="82"/>
      <c r="Y9" s="82"/>
      <c r="Z9" s="82">
        <v>3725</v>
      </c>
      <c r="AA9" s="82"/>
    </row>
    <row r="10" spans="1:27" ht="18" x14ac:dyDescent="0.35">
      <c r="A10" s="91" t="s">
        <v>20</v>
      </c>
      <c r="B10" s="92"/>
      <c r="C10" s="6">
        <v>14000</v>
      </c>
      <c r="H10">
        <f t="shared" si="2"/>
        <v>1.2500000000000001E-2</v>
      </c>
      <c r="I10">
        <f t="shared" si="3"/>
        <v>7.4999999999999997E-3</v>
      </c>
      <c r="J10">
        <f t="shared" si="0"/>
        <v>1.25E-3</v>
      </c>
      <c r="K10">
        <f t="shared" si="1"/>
        <v>7.5000000000000002E-4</v>
      </c>
      <c r="N10" s="88" t="s">
        <v>217</v>
      </c>
      <c r="O10" s="88" t="s">
        <v>211</v>
      </c>
      <c r="P10" s="82">
        <v>145.19999999999999</v>
      </c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spans="1:27" ht="18" x14ac:dyDescent="0.35">
      <c r="A11" s="91" t="s">
        <v>22</v>
      </c>
      <c r="B11" s="92"/>
      <c r="C11" s="8">
        <f>(CAPEX + PV(Diskontní_sazba, Životnost, -OPEX)) / PV(Diskontní_sazba, Životnost, -Roční_výroba)</f>
        <v>2.769127669579849</v>
      </c>
      <c r="D11" s="9" t="s">
        <v>21</v>
      </c>
      <c r="H11">
        <f t="shared" si="2"/>
        <v>1.2500000000000001E-2</v>
      </c>
      <c r="I11">
        <f t="shared" si="3"/>
        <v>7.4999999999999997E-3</v>
      </c>
      <c r="J11">
        <f t="shared" si="0"/>
        <v>1.25E-3</v>
      </c>
      <c r="K11">
        <f t="shared" si="1"/>
        <v>7.5000000000000002E-4</v>
      </c>
      <c r="N11" s="88"/>
      <c r="O11" s="88"/>
      <c r="P11" s="82">
        <v>120</v>
      </c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spans="1:27" ht="18" x14ac:dyDescent="0.35">
      <c r="A12" s="95" t="s">
        <v>24</v>
      </c>
      <c r="B12" s="95"/>
      <c r="C12" s="12">
        <f>(LCOE / Účinnost_cyklu)</f>
        <v>3.0768085217553875</v>
      </c>
      <c r="D12" s="9" t="s">
        <v>21</v>
      </c>
      <c r="H12">
        <f t="shared" si="2"/>
        <v>1.2500000000000001E-2</v>
      </c>
      <c r="I12">
        <f t="shared" si="3"/>
        <v>7.4999999999999997E-3</v>
      </c>
      <c r="J12">
        <f t="shared" si="0"/>
        <v>1.25E-3</v>
      </c>
      <c r="K12">
        <f t="shared" si="1"/>
        <v>7.5000000000000002E-4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27" ht="15" customHeight="1" x14ac:dyDescent="0.35">
      <c r="A13" s="10"/>
      <c r="B13" s="10"/>
      <c r="C13" t="s">
        <v>25</v>
      </c>
      <c r="H13">
        <f t="shared" si="2"/>
        <v>1.2500000000000001E-2</v>
      </c>
      <c r="I13">
        <f t="shared" si="3"/>
        <v>7.4999999999999997E-3</v>
      </c>
      <c r="J13">
        <f t="shared" si="0"/>
        <v>1.25E-3</v>
      </c>
      <c r="K13">
        <f t="shared" si="1"/>
        <v>7.5000000000000002E-4</v>
      </c>
      <c r="N13" s="4" t="s">
        <v>233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H14">
        <f t="shared" si="2"/>
        <v>1.2500000000000001E-2</v>
      </c>
      <c r="I14">
        <f t="shared" si="3"/>
        <v>7.4999999999999997E-3</v>
      </c>
      <c r="J14">
        <f t="shared" si="0"/>
        <v>1.25E-3</v>
      </c>
      <c r="K14">
        <f t="shared" si="1"/>
        <v>7.5000000000000002E-4</v>
      </c>
      <c r="N14" s="4" t="s">
        <v>234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">
      <c r="H15">
        <f t="shared" si="2"/>
        <v>1.2500000000000001E-2</v>
      </c>
      <c r="I15">
        <f t="shared" si="3"/>
        <v>7.4999999999999997E-3</v>
      </c>
      <c r="J15">
        <f t="shared" si="0"/>
        <v>1.25E-3</v>
      </c>
      <c r="K15">
        <f t="shared" si="1"/>
        <v>7.5000000000000002E-4</v>
      </c>
      <c r="N15" s="88" t="s">
        <v>215</v>
      </c>
      <c r="O15" s="81" t="s">
        <v>211</v>
      </c>
      <c r="P15" s="4">
        <v>3148.06</v>
      </c>
      <c r="Q15" s="4">
        <v>2438.9499999999998</v>
      </c>
      <c r="R15" s="4">
        <v>2607.7600000000002</v>
      </c>
      <c r="S15" s="4">
        <v>1376.99</v>
      </c>
      <c r="T15" s="4">
        <v>2607.7600000000002</v>
      </c>
      <c r="U15" s="4">
        <v>784.83</v>
      </c>
      <c r="V15" s="4">
        <v>784.83</v>
      </c>
      <c r="W15" s="4">
        <v>784.83</v>
      </c>
      <c r="X15" s="4">
        <v>784.83</v>
      </c>
      <c r="Y15" s="54">
        <v>3631.27</v>
      </c>
      <c r="Z15" s="4"/>
      <c r="AA15" s="54"/>
    </row>
    <row r="16" spans="1:27" x14ac:dyDescent="0.3">
      <c r="H16">
        <f t="shared" si="2"/>
        <v>1.2500000000000001E-2</v>
      </c>
      <c r="I16">
        <f t="shared" si="3"/>
        <v>7.4999999999999997E-3</v>
      </c>
      <c r="J16">
        <f t="shared" si="0"/>
        <v>1.25E-3</v>
      </c>
      <c r="K16">
        <f t="shared" si="1"/>
        <v>7.5000000000000002E-4</v>
      </c>
      <c r="N16" s="88"/>
      <c r="O16" s="81"/>
      <c r="P16" s="4">
        <v>2601.6999999999998</v>
      </c>
      <c r="Q16" s="4">
        <v>2015.66</v>
      </c>
      <c r="R16" s="4">
        <v>2155.17</v>
      </c>
      <c r="S16" s="4">
        <v>1138.01</v>
      </c>
      <c r="T16" s="4">
        <v>2155.17</v>
      </c>
      <c r="U16" s="4">
        <v>648.82000000000005</v>
      </c>
      <c r="V16" s="4">
        <v>648.82000000000005</v>
      </c>
      <c r="W16" s="4">
        <v>648.82000000000005</v>
      </c>
      <c r="X16" s="4">
        <v>648.82000000000005</v>
      </c>
      <c r="Y16" s="4">
        <v>3001.05</v>
      </c>
      <c r="Z16" s="4"/>
      <c r="AA16" s="4"/>
    </row>
    <row r="17" spans="8:27" x14ac:dyDescent="0.3">
      <c r="H17">
        <f t="shared" si="2"/>
        <v>1.2500000000000001E-2</v>
      </c>
      <c r="I17">
        <f t="shared" si="3"/>
        <v>7.4999999999999997E-3</v>
      </c>
      <c r="J17">
        <f t="shared" si="0"/>
        <v>1.25E-3</v>
      </c>
      <c r="K17">
        <f t="shared" si="1"/>
        <v>7.5000000000000002E-4</v>
      </c>
      <c r="N17" s="88" t="s">
        <v>216</v>
      </c>
      <c r="O17" s="88" t="s">
        <v>211</v>
      </c>
      <c r="P17" s="4">
        <v>0</v>
      </c>
      <c r="Q17" s="4">
        <v>0</v>
      </c>
      <c r="R17" s="4">
        <v>530.09</v>
      </c>
      <c r="S17" s="4">
        <v>530.09</v>
      </c>
      <c r="T17" s="4">
        <v>530.09</v>
      </c>
      <c r="U17" s="4">
        <v>530.09</v>
      </c>
      <c r="V17" s="4">
        <v>530.09</v>
      </c>
      <c r="W17" s="4">
        <v>530.09</v>
      </c>
      <c r="X17" s="4">
        <v>530.09</v>
      </c>
      <c r="Y17" s="4">
        <v>530.09</v>
      </c>
      <c r="Z17" s="4"/>
      <c r="AA17" s="4"/>
    </row>
    <row r="18" spans="8:27" x14ac:dyDescent="0.3">
      <c r="H18">
        <f t="shared" si="2"/>
        <v>1.2500000000000001E-2</v>
      </c>
      <c r="I18">
        <f t="shared" si="3"/>
        <v>7.4999999999999997E-3</v>
      </c>
      <c r="J18">
        <f t="shared" si="0"/>
        <v>1.25E-3</v>
      </c>
      <c r="K18">
        <f t="shared" si="1"/>
        <v>7.5000000000000002E-4</v>
      </c>
      <c r="N18" s="88"/>
      <c r="O18" s="88"/>
      <c r="P18" s="4">
        <v>0</v>
      </c>
      <c r="Q18" s="4">
        <v>0</v>
      </c>
      <c r="R18" s="4">
        <v>438.09</v>
      </c>
      <c r="S18" s="4">
        <v>438.09</v>
      </c>
      <c r="T18" s="4">
        <v>438.09</v>
      </c>
      <c r="U18" s="4">
        <v>438.09</v>
      </c>
      <c r="V18" s="4">
        <v>438.09</v>
      </c>
      <c r="W18" s="4">
        <v>438.09</v>
      </c>
      <c r="X18" s="4">
        <v>438.09</v>
      </c>
      <c r="Y18" s="4">
        <v>438.09</v>
      </c>
      <c r="Z18" s="4"/>
      <c r="AA18" s="4"/>
    </row>
    <row r="19" spans="8:27" x14ac:dyDescent="0.3">
      <c r="H19">
        <f t="shared" si="2"/>
        <v>1.2500000000000001E-2</v>
      </c>
      <c r="I19">
        <f t="shared" si="3"/>
        <v>7.4999999999999997E-3</v>
      </c>
      <c r="J19">
        <f t="shared" si="0"/>
        <v>1.25E-3</v>
      </c>
      <c r="K19">
        <f t="shared" si="1"/>
        <v>7.5000000000000002E-4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spans="8:27" x14ac:dyDescent="0.3">
      <c r="H20">
        <f t="shared" si="2"/>
        <v>1.2500000000000001E-2</v>
      </c>
      <c r="I20">
        <f t="shared" si="3"/>
        <v>7.4999999999999997E-3</v>
      </c>
      <c r="J20">
        <f t="shared" si="0"/>
        <v>1.25E-3</v>
      </c>
      <c r="K20">
        <f t="shared" si="1"/>
        <v>7.5000000000000002E-4</v>
      </c>
      <c r="N20" s="57" t="s">
        <v>235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8:27" x14ac:dyDescent="0.3">
      <c r="H21">
        <f t="shared" si="2"/>
        <v>1.2500000000000001E-2</v>
      </c>
      <c r="I21">
        <f t="shared" si="3"/>
        <v>7.4999999999999997E-3</v>
      </c>
      <c r="J21">
        <f t="shared" si="0"/>
        <v>1.25E-3</v>
      </c>
      <c r="K21">
        <f t="shared" si="1"/>
        <v>7.5000000000000002E-4</v>
      </c>
      <c r="N21" s="86" t="s">
        <v>236</v>
      </c>
      <c r="O21" s="83" t="s">
        <v>212</v>
      </c>
      <c r="P21" s="4">
        <v>44</v>
      </c>
      <c r="Q21" s="4">
        <v>99</v>
      </c>
      <c r="R21" s="4">
        <v>96</v>
      </c>
      <c r="S21" s="4">
        <v>140</v>
      </c>
      <c r="T21" s="4">
        <v>91</v>
      </c>
      <c r="U21" s="4">
        <v>166</v>
      </c>
      <c r="V21" s="4">
        <v>189</v>
      </c>
      <c r="W21" s="4">
        <v>189</v>
      </c>
      <c r="X21" s="4">
        <v>189</v>
      </c>
      <c r="Y21" s="4">
        <v>80</v>
      </c>
      <c r="Z21" s="4"/>
      <c r="AA21" s="4"/>
    </row>
    <row r="22" spans="8:27" x14ac:dyDescent="0.3">
      <c r="H22">
        <f t="shared" si="2"/>
        <v>1.2500000000000001E-2</v>
      </c>
      <c r="I22">
        <f t="shared" si="3"/>
        <v>7.4999999999999997E-3</v>
      </c>
      <c r="J22">
        <f t="shared" si="0"/>
        <v>1.25E-3</v>
      </c>
      <c r="K22">
        <f t="shared" si="1"/>
        <v>7.5000000000000002E-4</v>
      </c>
      <c r="N22" s="86"/>
      <c r="O22" s="83"/>
      <c r="P22" s="4">
        <v>36</v>
      </c>
      <c r="Q22" s="4">
        <v>82</v>
      </c>
      <c r="R22" s="4">
        <v>79</v>
      </c>
      <c r="S22" s="4">
        <v>116</v>
      </c>
      <c r="T22" s="4">
        <v>75</v>
      </c>
      <c r="U22" s="4">
        <v>137</v>
      </c>
      <c r="V22" s="4">
        <v>156</v>
      </c>
      <c r="W22" s="4">
        <v>156</v>
      </c>
      <c r="X22" s="4">
        <v>156</v>
      </c>
      <c r="Y22" s="4">
        <v>66</v>
      </c>
      <c r="Z22" s="4"/>
      <c r="AA22" s="4"/>
    </row>
    <row r="23" spans="8:27" x14ac:dyDescent="0.3">
      <c r="H23">
        <f t="shared" si="2"/>
        <v>1.2500000000000001E-2</v>
      </c>
      <c r="I23">
        <f t="shared" si="3"/>
        <v>7.4999999999999997E-3</v>
      </c>
      <c r="J23">
        <f t="shared" si="0"/>
        <v>1.25E-3</v>
      </c>
      <c r="K23">
        <f t="shared" si="1"/>
        <v>7.5000000000000002E-4</v>
      </c>
      <c r="N23" s="87" t="s">
        <v>237</v>
      </c>
      <c r="O23" s="83" t="s">
        <v>212</v>
      </c>
      <c r="P23" s="4">
        <v>70</v>
      </c>
      <c r="Q23" s="4">
        <v>159</v>
      </c>
      <c r="R23" s="4">
        <v>152</v>
      </c>
      <c r="S23" s="55">
        <v>225</v>
      </c>
      <c r="T23" s="55">
        <v>145</v>
      </c>
      <c r="U23" s="55">
        <v>265</v>
      </c>
      <c r="V23" s="55">
        <v>303</v>
      </c>
      <c r="W23" s="55">
        <v>303</v>
      </c>
      <c r="X23" s="55">
        <v>303</v>
      </c>
      <c r="Y23" s="55">
        <v>127</v>
      </c>
      <c r="Z23" s="4"/>
      <c r="AA23" s="4"/>
    </row>
    <row r="24" spans="8:27" x14ac:dyDescent="0.3">
      <c r="H24">
        <f t="shared" si="2"/>
        <v>1.2500000000000001E-2</v>
      </c>
      <c r="I24">
        <f t="shared" si="3"/>
        <v>7.4999999999999997E-3</v>
      </c>
      <c r="J24">
        <f t="shared" si="0"/>
        <v>1.25E-3</v>
      </c>
      <c r="K24">
        <f t="shared" si="1"/>
        <v>7.5000000000000002E-4</v>
      </c>
      <c r="N24" s="87"/>
      <c r="O24" s="83"/>
      <c r="P24" s="4">
        <v>58</v>
      </c>
      <c r="Q24" s="55">
        <v>131</v>
      </c>
      <c r="R24" s="55">
        <v>126</v>
      </c>
      <c r="S24" s="55">
        <v>186</v>
      </c>
      <c r="T24" s="55">
        <v>120</v>
      </c>
      <c r="U24" s="55">
        <v>219</v>
      </c>
      <c r="V24" s="55">
        <v>250</v>
      </c>
      <c r="W24" s="55">
        <v>250</v>
      </c>
      <c r="X24" s="55">
        <v>250</v>
      </c>
      <c r="Y24" s="55">
        <v>105</v>
      </c>
      <c r="Z24" s="4"/>
      <c r="AA24" s="4"/>
    </row>
    <row r="25" spans="8:27" x14ac:dyDescent="0.3">
      <c r="H25">
        <f t="shared" si="2"/>
        <v>1.2500000000000001E-2</v>
      </c>
      <c r="I25">
        <f t="shared" si="3"/>
        <v>7.4999999999999997E-3</v>
      </c>
      <c r="J25">
        <f t="shared" si="0"/>
        <v>1.25E-3</v>
      </c>
      <c r="K25">
        <f t="shared" si="1"/>
        <v>7.5000000000000002E-4</v>
      </c>
      <c r="N25" s="86" t="s">
        <v>238</v>
      </c>
      <c r="O25" s="83" t="s">
        <v>212</v>
      </c>
      <c r="P25" s="4">
        <v>88</v>
      </c>
      <c r="Q25" s="4">
        <v>198</v>
      </c>
      <c r="R25" s="55">
        <v>191</v>
      </c>
      <c r="S25" s="4">
        <v>281</v>
      </c>
      <c r="T25" s="4">
        <v>182</v>
      </c>
      <c r="U25" s="4">
        <v>332</v>
      </c>
      <c r="V25" s="4" t="s">
        <v>270</v>
      </c>
      <c r="W25" s="4">
        <v>379</v>
      </c>
      <c r="X25" s="4">
        <v>378</v>
      </c>
      <c r="Y25" s="4">
        <v>159</v>
      </c>
      <c r="Z25" s="4"/>
      <c r="AA25" s="4"/>
    </row>
    <row r="26" spans="8:27" x14ac:dyDescent="0.3">
      <c r="H26">
        <f t="shared" si="2"/>
        <v>1.2500000000000001E-2</v>
      </c>
      <c r="I26">
        <f t="shared" si="3"/>
        <v>7.4999999999999997E-3</v>
      </c>
      <c r="J26">
        <f t="shared" si="0"/>
        <v>1.25E-3</v>
      </c>
      <c r="K26">
        <f t="shared" si="1"/>
        <v>7.5000000000000002E-4</v>
      </c>
      <c r="N26" s="86"/>
      <c r="O26" s="83"/>
      <c r="P26" s="4">
        <v>73</v>
      </c>
      <c r="Q26" s="4">
        <v>164</v>
      </c>
      <c r="R26" s="55">
        <v>158</v>
      </c>
      <c r="S26" s="4">
        <v>232</v>
      </c>
      <c r="T26" s="4">
        <v>150</v>
      </c>
      <c r="U26" s="4">
        <v>274</v>
      </c>
      <c r="V26" s="4">
        <v>313</v>
      </c>
      <c r="W26" s="4">
        <v>313</v>
      </c>
      <c r="X26" s="4">
        <v>312</v>
      </c>
      <c r="Y26" s="4">
        <v>131</v>
      </c>
      <c r="Z26" s="4"/>
      <c r="AA26" s="4"/>
    </row>
    <row r="27" spans="8:27" x14ac:dyDescent="0.3">
      <c r="H27">
        <f t="shared" si="2"/>
        <v>1.2500000000000001E-2</v>
      </c>
      <c r="I27">
        <f t="shared" si="3"/>
        <v>7.4999999999999997E-3</v>
      </c>
      <c r="J27">
        <f t="shared" si="0"/>
        <v>1.25E-3</v>
      </c>
      <c r="K27">
        <f t="shared" si="1"/>
        <v>7.5000000000000002E-4</v>
      </c>
      <c r="N27" s="86" t="s">
        <v>239</v>
      </c>
      <c r="O27" s="83" t="s">
        <v>212</v>
      </c>
      <c r="P27" s="4">
        <v>110</v>
      </c>
      <c r="Q27" s="4">
        <v>248</v>
      </c>
      <c r="R27" s="55">
        <v>238</v>
      </c>
      <c r="S27" s="4">
        <v>351</v>
      </c>
      <c r="T27" s="4">
        <v>227</v>
      </c>
      <c r="U27" s="4">
        <v>414</v>
      </c>
      <c r="V27" s="4">
        <v>473</v>
      </c>
      <c r="W27" s="4">
        <v>473</v>
      </c>
      <c r="X27" s="4">
        <v>473</v>
      </c>
      <c r="Y27" s="4">
        <v>198</v>
      </c>
      <c r="Z27" s="4"/>
      <c r="AA27" s="4"/>
    </row>
    <row r="28" spans="8:27" x14ac:dyDescent="0.3">
      <c r="H28">
        <f t="shared" si="2"/>
        <v>1.2500000000000001E-2</v>
      </c>
      <c r="I28">
        <f t="shared" si="3"/>
        <v>7.4999999999999997E-3</v>
      </c>
      <c r="J28">
        <f t="shared" si="0"/>
        <v>1.25E-3</v>
      </c>
      <c r="K28">
        <f t="shared" si="1"/>
        <v>7.5000000000000002E-4</v>
      </c>
      <c r="N28" s="86"/>
      <c r="O28" s="83"/>
      <c r="P28" s="4">
        <v>91</v>
      </c>
      <c r="Q28" s="4">
        <v>205</v>
      </c>
      <c r="R28" s="55">
        <v>197</v>
      </c>
      <c r="S28" s="4">
        <v>290</v>
      </c>
      <c r="T28" s="4">
        <v>188</v>
      </c>
      <c r="U28" s="4">
        <v>342</v>
      </c>
      <c r="V28" s="4">
        <v>391</v>
      </c>
      <c r="W28" s="4">
        <v>391</v>
      </c>
      <c r="X28" s="4">
        <v>391</v>
      </c>
      <c r="Y28" s="4">
        <v>164</v>
      </c>
      <c r="Z28" s="4"/>
      <c r="AA28" s="4"/>
    </row>
    <row r="29" spans="8:27" x14ac:dyDescent="0.3">
      <c r="H29">
        <f t="shared" si="2"/>
        <v>1.2500000000000001E-2</v>
      </c>
      <c r="I29">
        <f t="shared" si="3"/>
        <v>7.4999999999999997E-3</v>
      </c>
      <c r="J29">
        <f t="shared" si="0"/>
        <v>1.25E-3</v>
      </c>
      <c r="K29">
        <f t="shared" si="1"/>
        <v>7.5000000000000002E-4</v>
      </c>
      <c r="N29" s="87" t="s">
        <v>240</v>
      </c>
      <c r="O29" s="83" t="s">
        <v>212</v>
      </c>
      <c r="P29" s="4">
        <v>140</v>
      </c>
      <c r="Q29" s="4">
        <v>317</v>
      </c>
      <c r="R29" s="55">
        <v>305</v>
      </c>
      <c r="S29" s="4">
        <v>450</v>
      </c>
      <c r="T29" s="4">
        <v>290</v>
      </c>
      <c r="U29" s="4">
        <v>530</v>
      </c>
      <c r="V29" s="4">
        <v>605</v>
      </c>
      <c r="W29" s="4">
        <v>605</v>
      </c>
      <c r="X29" s="4">
        <v>605</v>
      </c>
      <c r="Y29" s="4">
        <v>254</v>
      </c>
      <c r="Z29" s="4"/>
      <c r="AA29" s="4"/>
    </row>
    <row r="30" spans="8:27" x14ac:dyDescent="0.3">
      <c r="H30">
        <f t="shared" si="2"/>
        <v>1.2500000000000001E-2</v>
      </c>
      <c r="I30">
        <f t="shared" si="3"/>
        <v>7.4999999999999997E-3</v>
      </c>
      <c r="J30">
        <f t="shared" si="0"/>
        <v>1.25E-3</v>
      </c>
      <c r="K30">
        <f t="shared" si="1"/>
        <v>7.5000000000000002E-4</v>
      </c>
      <c r="N30" s="87"/>
      <c r="O30" s="83"/>
      <c r="P30" s="4">
        <v>116</v>
      </c>
      <c r="Q30" s="4">
        <v>262</v>
      </c>
      <c r="R30" s="55">
        <v>252</v>
      </c>
      <c r="S30" s="4">
        <v>372</v>
      </c>
      <c r="T30" s="4">
        <v>240</v>
      </c>
      <c r="U30" s="4">
        <v>438</v>
      </c>
      <c r="V30" s="4">
        <v>500</v>
      </c>
      <c r="W30" s="4">
        <v>500</v>
      </c>
      <c r="X30" s="4">
        <v>500</v>
      </c>
      <c r="Y30" s="4">
        <v>210</v>
      </c>
      <c r="Z30" s="4"/>
      <c r="AA30" s="4"/>
    </row>
    <row r="31" spans="8:27" x14ac:dyDescent="0.3">
      <c r="H31">
        <f t="shared" si="2"/>
        <v>1.2500000000000001E-2</v>
      </c>
      <c r="I31">
        <f t="shared" si="3"/>
        <v>7.4999999999999997E-3</v>
      </c>
      <c r="J31">
        <f t="shared" si="0"/>
        <v>1.25E-3</v>
      </c>
      <c r="K31">
        <f t="shared" si="1"/>
        <v>7.5000000000000002E-4</v>
      </c>
      <c r="N31" s="86" t="s">
        <v>243</v>
      </c>
      <c r="O31" s="83" t="s">
        <v>212</v>
      </c>
      <c r="P31" s="4">
        <v>175</v>
      </c>
      <c r="Q31" s="4">
        <v>397</v>
      </c>
      <c r="R31" s="55">
        <v>382</v>
      </c>
      <c r="S31" s="4">
        <v>561</v>
      </c>
      <c r="T31" s="4">
        <v>363</v>
      </c>
      <c r="U31" s="4">
        <v>662</v>
      </c>
      <c r="V31" s="4">
        <v>756</v>
      </c>
      <c r="W31" s="4">
        <v>756</v>
      </c>
      <c r="X31" s="4">
        <v>778</v>
      </c>
      <c r="Y31" s="4">
        <v>318</v>
      </c>
      <c r="Z31" s="4"/>
      <c r="AA31" s="4"/>
    </row>
    <row r="32" spans="8:27" x14ac:dyDescent="0.3">
      <c r="H32">
        <f t="shared" si="2"/>
        <v>1.2500000000000001E-2</v>
      </c>
      <c r="I32">
        <f t="shared" si="3"/>
        <v>7.4999999999999997E-3</v>
      </c>
      <c r="J32">
        <f t="shared" si="0"/>
        <v>1.25E-3</v>
      </c>
      <c r="K32">
        <f t="shared" si="1"/>
        <v>7.5000000000000002E-4</v>
      </c>
      <c r="N32" s="86"/>
      <c r="O32" s="83"/>
      <c r="P32" s="4">
        <v>145</v>
      </c>
      <c r="Q32" s="4">
        <v>328</v>
      </c>
      <c r="R32" s="55">
        <v>316</v>
      </c>
      <c r="S32" s="4">
        <v>464</v>
      </c>
      <c r="T32" s="4">
        <v>300</v>
      </c>
      <c r="U32" s="4">
        <v>547</v>
      </c>
      <c r="V32" s="4">
        <v>625</v>
      </c>
      <c r="W32" s="4">
        <v>625</v>
      </c>
      <c r="X32" s="4">
        <v>643</v>
      </c>
      <c r="Y32" s="4">
        <v>263</v>
      </c>
      <c r="Z32" s="4"/>
      <c r="AA32" s="4"/>
    </row>
    <row r="33" spans="8:27" x14ac:dyDescent="0.3">
      <c r="H33">
        <f t="shared" si="2"/>
        <v>1.2500000000000001E-2</v>
      </c>
      <c r="I33">
        <f t="shared" si="3"/>
        <v>7.4999999999999997E-3</v>
      </c>
      <c r="J33">
        <f t="shared" si="0"/>
        <v>1.25E-3</v>
      </c>
      <c r="K33">
        <f t="shared" si="1"/>
        <v>7.5000000000000002E-4</v>
      </c>
      <c r="N33" s="86" t="s">
        <v>241</v>
      </c>
      <c r="O33" s="83" t="s">
        <v>212</v>
      </c>
      <c r="P33" s="4">
        <v>220</v>
      </c>
      <c r="Q33" s="4">
        <v>496</v>
      </c>
      <c r="R33" s="4">
        <v>478</v>
      </c>
      <c r="S33" s="4">
        <v>703</v>
      </c>
      <c r="T33" s="4">
        <v>454</v>
      </c>
      <c r="U33" s="4">
        <v>828</v>
      </c>
      <c r="V33" s="4">
        <v>946</v>
      </c>
      <c r="W33" s="4">
        <v>946</v>
      </c>
      <c r="X33" s="56">
        <v>1168</v>
      </c>
      <c r="Y33" s="4">
        <v>398</v>
      </c>
      <c r="Z33" s="4"/>
      <c r="AA33" s="4"/>
    </row>
    <row r="34" spans="8:27" x14ac:dyDescent="0.3">
      <c r="H34">
        <f t="shared" si="2"/>
        <v>1.2500000000000001E-2</v>
      </c>
      <c r="I34">
        <f t="shared" si="3"/>
        <v>7.4999999999999997E-3</v>
      </c>
      <c r="J34">
        <f t="shared" ref="J34:J65" si="4">Smart_meter/4000</f>
        <v>1.25E-3</v>
      </c>
      <c r="K34">
        <f t="shared" ref="K34:K65" si="5">Datalogger/4000</f>
        <v>7.5000000000000002E-4</v>
      </c>
      <c r="N34" s="86"/>
      <c r="O34" s="83"/>
      <c r="P34" s="4">
        <v>182</v>
      </c>
      <c r="Q34" s="55">
        <v>410</v>
      </c>
      <c r="R34" s="4">
        <v>395</v>
      </c>
      <c r="S34" s="4">
        <v>581</v>
      </c>
      <c r="T34" s="4">
        <v>375</v>
      </c>
      <c r="U34" s="4">
        <v>684</v>
      </c>
      <c r="V34" s="4">
        <v>782</v>
      </c>
      <c r="W34" s="4">
        <v>782</v>
      </c>
      <c r="X34" s="4">
        <v>965</v>
      </c>
      <c r="Y34" s="4">
        <v>329</v>
      </c>
      <c r="Z34" s="4"/>
      <c r="AA34" s="4"/>
    </row>
    <row r="35" spans="8:27" x14ac:dyDescent="0.3">
      <c r="H35">
        <f t="shared" ref="H35:H66" si="6">Hybridní_střídač/4000</f>
        <v>1.2500000000000001E-2</v>
      </c>
      <c r="I35">
        <f t="shared" si="3"/>
        <v>7.4999999999999997E-3</v>
      </c>
      <c r="J35">
        <f t="shared" si="4"/>
        <v>1.25E-3</v>
      </c>
      <c r="K35">
        <f t="shared" si="5"/>
        <v>7.5000000000000002E-4</v>
      </c>
      <c r="N35" s="86" t="s">
        <v>242</v>
      </c>
      <c r="O35" s="83" t="s">
        <v>212</v>
      </c>
      <c r="P35" s="4">
        <v>277</v>
      </c>
      <c r="Q35" s="4">
        <v>624</v>
      </c>
      <c r="R35" s="4">
        <v>601</v>
      </c>
      <c r="S35" s="4">
        <v>885</v>
      </c>
      <c r="T35" s="4">
        <v>572</v>
      </c>
      <c r="U35" s="4">
        <v>1043</v>
      </c>
      <c r="V35" s="4">
        <v>1192</v>
      </c>
      <c r="W35" s="4">
        <v>1192</v>
      </c>
      <c r="X35" s="4">
        <v>1715</v>
      </c>
      <c r="Y35" s="4">
        <v>501</v>
      </c>
      <c r="Z35" s="4"/>
      <c r="AA35" s="4"/>
    </row>
    <row r="36" spans="8:27" x14ac:dyDescent="0.3">
      <c r="H36">
        <f t="shared" si="6"/>
        <v>1.2500000000000001E-2</v>
      </c>
      <c r="I36">
        <f t="shared" ref="I36:I67" si="7">BMS/4000 + IF(OR(H37/Kapacita_baterie &gt; 0.95, H37/Kapacita_baterie &lt; 0.15), BMS/4000, 0)</f>
        <v>7.4999999999999997E-3</v>
      </c>
      <c r="J36">
        <f t="shared" si="4"/>
        <v>1.25E-3</v>
      </c>
      <c r="K36">
        <f t="shared" si="5"/>
        <v>7.5000000000000002E-4</v>
      </c>
      <c r="N36" s="86"/>
      <c r="O36" s="83"/>
      <c r="P36" s="4">
        <v>229</v>
      </c>
      <c r="Q36" s="4">
        <v>516</v>
      </c>
      <c r="R36" s="4">
        <v>497</v>
      </c>
      <c r="S36" s="4">
        <v>731</v>
      </c>
      <c r="T36" s="4">
        <v>473</v>
      </c>
      <c r="U36" s="4">
        <v>862</v>
      </c>
      <c r="V36" s="4">
        <v>985</v>
      </c>
      <c r="W36" s="4">
        <v>985</v>
      </c>
      <c r="X36" s="4">
        <v>1417</v>
      </c>
      <c r="Y36" s="4">
        <v>414</v>
      </c>
      <c r="Z36" s="4"/>
      <c r="AA36" s="4"/>
    </row>
    <row r="37" spans="8:27" x14ac:dyDescent="0.3">
      <c r="H37">
        <f t="shared" si="6"/>
        <v>1.2500000000000001E-2</v>
      </c>
      <c r="I37">
        <f t="shared" si="7"/>
        <v>7.4999999999999997E-3</v>
      </c>
      <c r="J37">
        <f t="shared" si="4"/>
        <v>1.25E-3</v>
      </c>
      <c r="K37">
        <f t="shared" si="5"/>
        <v>7.5000000000000002E-4</v>
      </c>
      <c r="N37" s="86" t="s">
        <v>244</v>
      </c>
      <c r="O37" s="83" t="s">
        <v>212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2840</v>
      </c>
      <c r="Y37" s="4">
        <v>0</v>
      </c>
      <c r="Z37" s="4"/>
      <c r="AA37" s="4"/>
    </row>
    <row r="38" spans="8:27" x14ac:dyDescent="0.3">
      <c r="H38">
        <f t="shared" si="6"/>
        <v>1.2500000000000001E-2</v>
      </c>
      <c r="I38">
        <f t="shared" si="7"/>
        <v>7.4999999999999997E-3</v>
      </c>
      <c r="J38">
        <f t="shared" si="4"/>
        <v>1.25E-3</v>
      </c>
      <c r="K38">
        <f t="shared" si="5"/>
        <v>7.5000000000000002E-4</v>
      </c>
      <c r="N38" s="86"/>
      <c r="O38" s="83"/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2347</v>
      </c>
      <c r="Y38" s="4">
        <v>0</v>
      </c>
      <c r="Z38" s="4"/>
      <c r="AA38" s="4"/>
    </row>
    <row r="39" spans="8:27" x14ac:dyDescent="0.3">
      <c r="H39">
        <f t="shared" si="6"/>
        <v>1.2500000000000001E-2</v>
      </c>
      <c r="I39">
        <f t="shared" si="7"/>
        <v>7.4999999999999997E-3</v>
      </c>
      <c r="J39">
        <f t="shared" si="4"/>
        <v>1.25E-3</v>
      </c>
      <c r="K39">
        <f t="shared" si="5"/>
        <v>7.5000000000000002E-4</v>
      </c>
      <c r="N39" s="86" t="s">
        <v>245</v>
      </c>
      <c r="O39" s="83" t="s">
        <v>212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5241</v>
      </c>
      <c r="Y39" s="4">
        <v>0</v>
      </c>
      <c r="Z39" s="4"/>
      <c r="AA39" s="4"/>
    </row>
    <row r="40" spans="8:27" x14ac:dyDescent="0.3">
      <c r="H40">
        <f t="shared" si="6"/>
        <v>1.2500000000000001E-2</v>
      </c>
      <c r="I40">
        <f t="shared" si="7"/>
        <v>7.4999999999999997E-3</v>
      </c>
      <c r="J40">
        <f t="shared" si="4"/>
        <v>1.25E-3</v>
      </c>
      <c r="K40">
        <f t="shared" si="5"/>
        <v>7.5000000000000002E-4</v>
      </c>
      <c r="N40" s="86"/>
      <c r="O40" s="83"/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4331</v>
      </c>
      <c r="Y40" s="4">
        <v>0</v>
      </c>
      <c r="Z40" s="4"/>
      <c r="AA40" s="4"/>
    </row>
    <row r="41" spans="8:27" x14ac:dyDescent="0.3">
      <c r="H41">
        <f t="shared" si="6"/>
        <v>1.2500000000000001E-2</v>
      </c>
      <c r="I41">
        <f t="shared" si="7"/>
        <v>7.4999999999999997E-3</v>
      </c>
      <c r="J41">
        <f t="shared" si="4"/>
        <v>1.25E-3</v>
      </c>
      <c r="K41">
        <f t="shared" si="5"/>
        <v>7.5000000000000002E-4</v>
      </c>
      <c r="N41" s="86" t="s">
        <v>246</v>
      </c>
      <c r="O41" s="83" t="s">
        <v>212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9892</v>
      </c>
      <c r="Y41" s="4">
        <v>0</v>
      </c>
      <c r="Z41" s="4"/>
      <c r="AA41" s="4"/>
    </row>
    <row r="42" spans="8:27" x14ac:dyDescent="0.3">
      <c r="H42">
        <f t="shared" si="6"/>
        <v>1.2500000000000001E-2</v>
      </c>
      <c r="I42">
        <f t="shared" si="7"/>
        <v>7.4999999999999997E-3</v>
      </c>
      <c r="J42">
        <f t="shared" si="4"/>
        <v>1.25E-3</v>
      </c>
      <c r="K42">
        <f t="shared" si="5"/>
        <v>7.5000000000000002E-4</v>
      </c>
      <c r="N42" s="86"/>
      <c r="O42" s="83"/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8175</v>
      </c>
      <c r="Y42" s="4">
        <v>0</v>
      </c>
      <c r="Z42" s="4"/>
      <c r="AA42" s="4"/>
    </row>
    <row r="43" spans="8:27" x14ac:dyDescent="0.3">
      <c r="H43">
        <f t="shared" si="6"/>
        <v>1.2500000000000001E-2</v>
      </c>
      <c r="I43">
        <f t="shared" si="7"/>
        <v>7.4999999999999997E-3</v>
      </c>
      <c r="J43">
        <f t="shared" si="4"/>
        <v>1.25E-3</v>
      </c>
      <c r="K43">
        <f t="shared" si="5"/>
        <v>7.5000000000000002E-4</v>
      </c>
      <c r="N43" s="86" t="s">
        <v>247</v>
      </c>
      <c r="O43" s="83" t="s">
        <v>212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21588</v>
      </c>
      <c r="Y43" s="4">
        <v>0</v>
      </c>
      <c r="Z43" s="4"/>
      <c r="AA43" s="4"/>
    </row>
    <row r="44" spans="8:27" x14ac:dyDescent="0.3">
      <c r="H44">
        <f t="shared" si="6"/>
        <v>1.2500000000000001E-2</v>
      </c>
      <c r="I44">
        <f t="shared" si="7"/>
        <v>7.4999999999999997E-3</v>
      </c>
      <c r="J44">
        <f t="shared" si="4"/>
        <v>1.25E-3</v>
      </c>
      <c r="K44">
        <f t="shared" si="5"/>
        <v>7.5000000000000002E-4</v>
      </c>
      <c r="N44" s="86"/>
      <c r="O44" s="83"/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17841</v>
      </c>
      <c r="Y44" s="4">
        <v>0</v>
      </c>
      <c r="Z44" s="4"/>
      <c r="AA44" s="4"/>
    </row>
    <row r="45" spans="8:27" x14ac:dyDescent="0.3">
      <c r="H45">
        <f t="shared" si="6"/>
        <v>1.2500000000000001E-2</v>
      </c>
      <c r="I45">
        <f t="shared" si="7"/>
        <v>7.4999999999999997E-3</v>
      </c>
      <c r="J45">
        <f t="shared" si="4"/>
        <v>1.25E-3</v>
      </c>
      <c r="K45">
        <f t="shared" si="5"/>
        <v>7.5000000000000002E-4</v>
      </c>
      <c r="N45" s="81" t="s">
        <v>248</v>
      </c>
      <c r="O45" s="83" t="s">
        <v>212</v>
      </c>
      <c r="P45" s="4">
        <v>4.3899999999999997</v>
      </c>
      <c r="Q45" s="4">
        <v>9.91</v>
      </c>
      <c r="R45" s="4">
        <v>9.5500000000000007</v>
      </c>
      <c r="S45" s="4">
        <v>14.05</v>
      </c>
      <c r="T45" s="4">
        <v>9.08</v>
      </c>
      <c r="U45" s="4">
        <v>16.55</v>
      </c>
      <c r="V45" s="4">
        <v>18.91</v>
      </c>
      <c r="W45" s="4">
        <v>18.91</v>
      </c>
      <c r="X45" s="4">
        <v>134.93</v>
      </c>
      <c r="Y45" s="4">
        <v>7.95</v>
      </c>
      <c r="Z45" s="4"/>
      <c r="AA45" s="4"/>
    </row>
    <row r="46" spans="8:27" x14ac:dyDescent="0.3">
      <c r="H46">
        <f t="shared" si="6"/>
        <v>1.2500000000000001E-2</v>
      </c>
      <c r="I46">
        <f t="shared" si="7"/>
        <v>7.4999999999999997E-3</v>
      </c>
      <c r="J46">
        <f t="shared" si="4"/>
        <v>1.25E-3</v>
      </c>
      <c r="K46">
        <f t="shared" si="5"/>
        <v>7.5000000000000002E-4</v>
      </c>
      <c r="N46" s="81"/>
      <c r="O46" s="83"/>
      <c r="P46" s="4">
        <v>3.63</v>
      </c>
      <c r="Q46" s="4">
        <v>8.19</v>
      </c>
      <c r="R46" s="4">
        <v>7.89</v>
      </c>
      <c r="S46" s="4">
        <v>11.61</v>
      </c>
      <c r="T46" s="4">
        <v>7.5</v>
      </c>
      <c r="U46" s="4">
        <v>13.68</v>
      </c>
      <c r="V46" s="4">
        <v>15.63</v>
      </c>
      <c r="W46" s="4">
        <v>15.63</v>
      </c>
      <c r="X46" s="4">
        <v>111.51</v>
      </c>
      <c r="Y46" s="4">
        <v>6.57</v>
      </c>
      <c r="Z46" s="4"/>
      <c r="AA46" s="4"/>
    </row>
    <row r="47" spans="8:27" x14ac:dyDescent="0.3">
      <c r="H47">
        <f t="shared" si="6"/>
        <v>1.2500000000000001E-2</v>
      </c>
      <c r="I47">
        <f t="shared" si="7"/>
        <v>7.4999999999999997E-3</v>
      </c>
      <c r="J47">
        <f t="shared" si="4"/>
        <v>1.25E-3</v>
      </c>
      <c r="K47">
        <f t="shared" si="5"/>
        <v>7.5000000000000002E-4</v>
      </c>
      <c r="N47" s="81" t="s">
        <v>249</v>
      </c>
      <c r="O47" s="83" t="s">
        <v>212</v>
      </c>
      <c r="P47" s="4">
        <v>1.46</v>
      </c>
      <c r="Q47" s="4">
        <v>3.3</v>
      </c>
      <c r="R47" s="4">
        <v>3.18</v>
      </c>
      <c r="S47" s="4">
        <v>4.68</v>
      </c>
      <c r="T47" s="4">
        <v>3.03</v>
      </c>
      <c r="U47" s="4">
        <v>5.52</v>
      </c>
      <c r="V47" s="4">
        <v>6.3</v>
      </c>
      <c r="W47" s="4">
        <v>6.3</v>
      </c>
      <c r="X47" s="4">
        <v>44.98</v>
      </c>
      <c r="Y47" s="4">
        <v>2.65</v>
      </c>
      <c r="Z47" s="4"/>
      <c r="AA47" s="4"/>
    </row>
    <row r="48" spans="8:27" x14ac:dyDescent="0.3">
      <c r="H48">
        <f t="shared" si="6"/>
        <v>1.2500000000000001E-2</v>
      </c>
      <c r="I48">
        <f t="shared" si="7"/>
        <v>7.4999999999999997E-3</v>
      </c>
      <c r="J48">
        <f t="shared" si="4"/>
        <v>1.25E-3</v>
      </c>
      <c r="K48">
        <f t="shared" si="5"/>
        <v>7.5000000000000002E-4</v>
      </c>
      <c r="N48" s="81"/>
      <c r="O48" s="83"/>
      <c r="P48" s="4">
        <v>1.21</v>
      </c>
      <c r="Q48" s="4">
        <v>2.73</v>
      </c>
      <c r="R48" s="4">
        <v>2.63</v>
      </c>
      <c r="S48" s="4">
        <v>3.87</v>
      </c>
      <c r="T48" s="4">
        <v>2.5</v>
      </c>
      <c r="U48" s="4">
        <v>4.5599999999999996</v>
      </c>
      <c r="V48" s="4">
        <v>5.21</v>
      </c>
      <c r="W48" s="4">
        <v>5.21</v>
      </c>
      <c r="X48" s="4">
        <v>37.17</v>
      </c>
      <c r="Y48" s="4">
        <v>2.19</v>
      </c>
      <c r="Z48" s="4"/>
      <c r="AA48" s="4"/>
    </row>
    <row r="49" spans="8:27" x14ac:dyDescent="0.3">
      <c r="H49">
        <f t="shared" si="6"/>
        <v>1.2500000000000001E-2</v>
      </c>
      <c r="I49">
        <f t="shared" si="7"/>
        <v>7.4999999999999997E-3</v>
      </c>
      <c r="J49">
        <f t="shared" si="4"/>
        <v>1.25E-3</v>
      </c>
      <c r="K49">
        <f t="shared" si="5"/>
        <v>7.5000000000000002E-4</v>
      </c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spans="8:27" ht="13.5" customHeight="1" x14ac:dyDescent="0.3">
      <c r="H50">
        <f t="shared" si="6"/>
        <v>1.2500000000000001E-2</v>
      </c>
      <c r="I50">
        <f t="shared" si="7"/>
        <v>7.4999999999999997E-3</v>
      </c>
      <c r="J50">
        <f t="shared" si="4"/>
        <v>1.25E-3</v>
      </c>
      <c r="K50">
        <f t="shared" si="5"/>
        <v>7.5000000000000002E-4</v>
      </c>
      <c r="N50" s="57" t="s">
        <v>250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8:27" x14ac:dyDescent="0.3">
      <c r="H51">
        <f t="shared" si="6"/>
        <v>1.2500000000000001E-2</v>
      </c>
      <c r="I51">
        <f t="shared" si="7"/>
        <v>7.4999999999999997E-3</v>
      </c>
      <c r="J51">
        <f t="shared" si="4"/>
        <v>1.25E-3</v>
      </c>
      <c r="K51">
        <f t="shared" si="5"/>
        <v>7.5000000000000002E-4</v>
      </c>
      <c r="N51" s="4" t="s">
        <v>213</v>
      </c>
      <c r="O51" s="4" t="s">
        <v>211</v>
      </c>
      <c r="P51" s="82" t="s">
        <v>258</v>
      </c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 spans="8:27" x14ac:dyDescent="0.3">
      <c r="H52">
        <f t="shared" si="6"/>
        <v>1.2500000000000001E-2</v>
      </c>
      <c r="I52">
        <f t="shared" si="7"/>
        <v>7.4999999999999997E-3</v>
      </c>
      <c r="J52">
        <f t="shared" si="4"/>
        <v>1.25E-3</v>
      </c>
      <c r="K52">
        <f t="shared" si="5"/>
        <v>7.5000000000000002E-4</v>
      </c>
      <c r="N52" s="57" t="s">
        <v>251</v>
      </c>
      <c r="O52" s="4" t="s">
        <v>211</v>
      </c>
      <c r="P52" s="82" t="s">
        <v>259</v>
      </c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 spans="8:27" x14ac:dyDescent="0.3">
      <c r="H53">
        <f t="shared" si="6"/>
        <v>1.2500000000000001E-2</v>
      </c>
      <c r="I53">
        <f t="shared" si="7"/>
        <v>7.4999999999999997E-3</v>
      </c>
      <c r="J53">
        <f t="shared" si="4"/>
        <v>1.25E-3</v>
      </c>
      <c r="K53">
        <f t="shared" si="5"/>
        <v>7.5000000000000002E-4</v>
      </c>
      <c r="N53" s="85" t="s">
        <v>252</v>
      </c>
      <c r="O53" s="4" t="s">
        <v>261</v>
      </c>
      <c r="P53" s="83" t="s">
        <v>260</v>
      </c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 spans="8:27" x14ac:dyDescent="0.3">
      <c r="H54">
        <f t="shared" si="6"/>
        <v>1.2500000000000001E-2</v>
      </c>
      <c r="I54">
        <f t="shared" si="7"/>
        <v>7.4999999999999997E-3</v>
      </c>
      <c r="J54">
        <f t="shared" si="4"/>
        <v>1.25E-3</v>
      </c>
      <c r="K54">
        <f t="shared" si="5"/>
        <v>7.5000000000000002E-4</v>
      </c>
      <c r="N54" s="85"/>
      <c r="O54" s="4" t="s">
        <v>262</v>
      </c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 spans="8:27" x14ac:dyDescent="0.3">
      <c r="H55">
        <f t="shared" si="6"/>
        <v>1.2500000000000001E-2</v>
      </c>
      <c r="I55">
        <f t="shared" si="7"/>
        <v>7.4999999999999997E-3</v>
      </c>
      <c r="J55">
        <f t="shared" si="4"/>
        <v>1.25E-3</v>
      </c>
      <c r="K55">
        <f t="shared" si="5"/>
        <v>7.5000000000000002E-4</v>
      </c>
      <c r="N55" s="84" t="s">
        <v>253</v>
      </c>
      <c r="O55" s="4" t="s">
        <v>263</v>
      </c>
      <c r="P55" s="82" t="s">
        <v>265</v>
      </c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 spans="8:27" x14ac:dyDescent="0.3">
      <c r="H56">
        <f t="shared" si="6"/>
        <v>1.2500000000000001E-2</v>
      </c>
      <c r="I56">
        <f t="shared" si="7"/>
        <v>7.4999999999999997E-3</v>
      </c>
      <c r="J56">
        <f t="shared" si="4"/>
        <v>1.25E-3</v>
      </c>
      <c r="K56">
        <f t="shared" si="5"/>
        <v>7.5000000000000002E-4</v>
      </c>
      <c r="N56" s="84"/>
      <c r="O56" s="4" t="s">
        <v>264</v>
      </c>
      <c r="P56" s="82" t="s">
        <v>266</v>
      </c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spans="8:27" x14ac:dyDescent="0.3">
      <c r="H57">
        <f t="shared" si="6"/>
        <v>1.2500000000000001E-2</v>
      </c>
      <c r="I57">
        <f t="shared" si="7"/>
        <v>7.4999999999999997E-3</v>
      </c>
      <c r="J57">
        <f t="shared" si="4"/>
        <v>1.25E-3</v>
      </c>
      <c r="K57">
        <f t="shared" si="5"/>
        <v>7.5000000000000002E-4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spans="8:27" x14ac:dyDescent="0.3">
      <c r="H58">
        <f t="shared" si="6"/>
        <v>1.2500000000000001E-2</v>
      </c>
      <c r="I58">
        <f t="shared" si="7"/>
        <v>7.4999999999999997E-3</v>
      </c>
      <c r="J58">
        <f t="shared" si="4"/>
        <v>1.25E-3</v>
      </c>
      <c r="K58">
        <f t="shared" si="5"/>
        <v>7.5000000000000002E-4</v>
      </c>
      <c r="N58" s="57" t="s">
        <v>254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8:27" x14ac:dyDescent="0.3">
      <c r="H59">
        <f t="shared" si="6"/>
        <v>1.2500000000000001E-2</v>
      </c>
      <c r="I59">
        <f t="shared" si="7"/>
        <v>7.4999999999999997E-3</v>
      </c>
      <c r="J59">
        <f t="shared" si="4"/>
        <v>1.25E-3</v>
      </c>
      <c r="K59">
        <f t="shared" si="5"/>
        <v>7.5000000000000002E-4</v>
      </c>
      <c r="N59" s="85" t="s">
        <v>255</v>
      </c>
      <c r="O59" s="81" t="s">
        <v>211</v>
      </c>
      <c r="P59" s="54">
        <v>7975.11</v>
      </c>
      <c r="Q59" s="54">
        <v>7266</v>
      </c>
      <c r="R59" s="54">
        <v>7651.4</v>
      </c>
      <c r="S59" s="54">
        <v>6420.64</v>
      </c>
      <c r="T59" s="54">
        <v>7651.4</v>
      </c>
      <c r="U59" s="54">
        <v>5862.35</v>
      </c>
      <c r="V59" s="54">
        <v>5853.88</v>
      </c>
      <c r="W59" s="54">
        <v>5853.88</v>
      </c>
      <c r="X59" s="54">
        <v>5853.88</v>
      </c>
      <c r="Y59" s="54">
        <v>8691.85</v>
      </c>
      <c r="Z59" s="4"/>
      <c r="AA59" s="4"/>
    </row>
    <row r="60" spans="8:27" x14ac:dyDescent="0.3">
      <c r="H60">
        <f t="shared" si="6"/>
        <v>1.2500000000000001E-2</v>
      </c>
      <c r="I60">
        <f t="shared" si="7"/>
        <v>7.4999999999999997E-3</v>
      </c>
      <c r="J60">
        <f t="shared" si="4"/>
        <v>1.25E-3</v>
      </c>
      <c r="K60">
        <f t="shared" si="5"/>
        <v>7.5000000000000002E-4</v>
      </c>
      <c r="N60" s="85"/>
      <c r="O60" s="81"/>
      <c r="P60" s="54">
        <v>6591</v>
      </c>
      <c r="Q60" s="54">
        <v>6004.96</v>
      </c>
      <c r="R60" s="54">
        <v>6323.47</v>
      </c>
      <c r="S60" s="54">
        <v>5306.31</v>
      </c>
      <c r="T60" s="54">
        <v>6323.47</v>
      </c>
      <c r="U60" s="54">
        <v>4844.92</v>
      </c>
      <c r="V60" s="54">
        <v>4837.92</v>
      </c>
      <c r="W60" s="54">
        <v>4837.92</v>
      </c>
      <c r="X60" s="54">
        <v>4837.92</v>
      </c>
      <c r="Y60" s="54">
        <v>7183.35</v>
      </c>
      <c r="Z60" s="4"/>
      <c r="AA60" s="4"/>
    </row>
    <row r="61" spans="8:27" x14ac:dyDescent="0.3">
      <c r="H61">
        <f t="shared" si="6"/>
        <v>1.2500000000000001E-2</v>
      </c>
      <c r="I61">
        <f t="shared" si="7"/>
        <v>7.4999999999999997E-3</v>
      </c>
      <c r="J61">
        <f t="shared" si="4"/>
        <v>1.25E-3</v>
      </c>
      <c r="K61">
        <f t="shared" si="5"/>
        <v>7.5000000000000002E-4</v>
      </c>
      <c r="N61" s="85" t="s">
        <v>256</v>
      </c>
      <c r="O61" s="81" t="s">
        <v>211</v>
      </c>
      <c r="P61" s="4">
        <v>0</v>
      </c>
      <c r="Q61" s="4">
        <v>0</v>
      </c>
      <c r="R61" s="54">
        <v>8691.85</v>
      </c>
      <c r="S61" s="54">
        <v>8691.85</v>
      </c>
      <c r="T61" s="54">
        <v>8691.85</v>
      </c>
      <c r="U61" s="54">
        <v>8691.85</v>
      </c>
      <c r="V61" s="54">
        <v>8691.85</v>
      </c>
      <c r="W61" s="54">
        <v>8691.85</v>
      </c>
      <c r="X61" s="54">
        <v>8691.85</v>
      </c>
      <c r="Y61" s="54">
        <v>8691.85</v>
      </c>
      <c r="Z61" s="4"/>
      <c r="AA61" s="4"/>
    </row>
    <row r="62" spans="8:27" x14ac:dyDescent="0.3">
      <c r="H62">
        <f t="shared" si="6"/>
        <v>1.2500000000000001E-2</v>
      </c>
      <c r="I62">
        <f t="shared" si="7"/>
        <v>7.4999999999999997E-3</v>
      </c>
      <c r="J62">
        <f t="shared" si="4"/>
        <v>1.25E-3</v>
      </c>
      <c r="K62">
        <f t="shared" si="5"/>
        <v>7.5000000000000002E-4</v>
      </c>
      <c r="N62" s="85"/>
      <c r="O62" s="81"/>
      <c r="P62" s="4">
        <v>0</v>
      </c>
      <c r="Q62" s="4">
        <v>0</v>
      </c>
      <c r="R62" s="54">
        <v>4192.3900000000003</v>
      </c>
      <c r="S62" s="54">
        <v>4192.3900000000003</v>
      </c>
      <c r="T62" s="54">
        <v>4192.3900000000003</v>
      </c>
      <c r="U62" s="54">
        <v>4330.3900000000003</v>
      </c>
      <c r="V62" s="54">
        <v>4408.3900000000003</v>
      </c>
      <c r="W62" s="54">
        <v>4408.3900000000003</v>
      </c>
      <c r="X62" s="54">
        <v>4408.3900000000003</v>
      </c>
      <c r="Y62" s="54">
        <v>4191.3900000000003</v>
      </c>
      <c r="Z62" s="4"/>
      <c r="AA62" s="4"/>
    </row>
    <row r="63" spans="8:27" x14ac:dyDescent="0.3">
      <c r="H63">
        <f t="shared" si="6"/>
        <v>1.2500000000000001E-2</v>
      </c>
      <c r="I63">
        <f t="shared" si="7"/>
        <v>7.4999999999999997E-3</v>
      </c>
      <c r="J63">
        <f t="shared" si="4"/>
        <v>1.25E-3</v>
      </c>
      <c r="K63">
        <f t="shared" si="5"/>
        <v>7.5000000000000002E-4</v>
      </c>
      <c r="N63" s="85" t="s">
        <v>257</v>
      </c>
      <c r="O63" s="81" t="s">
        <v>211</v>
      </c>
      <c r="P63" s="82" t="s">
        <v>269</v>
      </c>
      <c r="Q63" s="82"/>
      <c r="R63" s="82"/>
      <c r="S63" s="82"/>
      <c r="T63" s="82"/>
      <c r="U63" s="82"/>
      <c r="V63" s="82"/>
      <c r="W63" s="82"/>
      <c r="X63" s="82"/>
      <c r="Y63" s="82"/>
      <c r="Z63" s="4"/>
      <c r="AA63" s="4"/>
    </row>
    <row r="64" spans="8:27" x14ac:dyDescent="0.3">
      <c r="H64">
        <f t="shared" si="6"/>
        <v>1.2500000000000001E-2</v>
      </c>
      <c r="I64">
        <f t="shared" si="7"/>
        <v>7.4999999999999997E-3</v>
      </c>
      <c r="J64">
        <f t="shared" si="4"/>
        <v>1.25E-3</v>
      </c>
      <c r="K64">
        <f t="shared" si="5"/>
        <v>7.5000000000000002E-4</v>
      </c>
      <c r="N64" s="85"/>
      <c r="O64" s="81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4"/>
      <c r="AA64" s="4"/>
    </row>
    <row r="65" spans="8:27" x14ac:dyDescent="0.3">
      <c r="H65">
        <f t="shared" si="6"/>
        <v>1.2500000000000001E-2</v>
      </c>
      <c r="I65">
        <f t="shared" si="7"/>
        <v>7.4999999999999997E-3</v>
      </c>
      <c r="J65">
        <f t="shared" si="4"/>
        <v>1.25E-3</v>
      </c>
      <c r="K65">
        <f t="shared" si="5"/>
        <v>7.5000000000000002E-4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spans="8:27" x14ac:dyDescent="0.3">
      <c r="H66">
        <f t="shared" si="6"/>
        <v>1.2500000000000001E-2</v>
      </c>
      <c r="I66">
        <f t="shared" si="7"/>
        <v>7.4999999999999997E-3</v>
      </c>
      <c r="J66">
        <f t="shared" ref="J66:J99" si="8">Smart_meter/4000</f>
        <v>1.25E-3</v>
      </c>
      <c r="K66">
        <f t="shared" ref="K66:K99" si="9">Datalogger/4000</f>
        <v>7.5000000000000002E-4</v>
      </c>
      <c r="O66" t="s">
        <v>199</v>
      </c>
    </row>
    <row r="67" spans="8:27" x14ac:dyDescent="0.3">
      <c r="H67">
        <f t="shared" ref="H67:H99" si="10">Hybridní_střídač/4000</f>
        <v>1.2500000000000001E-2</v>
      </c>
      <c r="I67">
        <f t="shared" si="7"/>
        <v>7.4999999999999997E-3</v>
      </c>
      <c r="J67">
        <f t="shared" si="8"/>
        <v>1.25E-3</v>
      </c>
      <c r="K67">
        <f t="shared" si="9"/>
        <v>7.5000000000000002E-4</v>
      </c>
    </row>
    <row r="68" spans="8:27" x14ac:dyDescent="0.3">
      <c r="H68">
        <f t="shared" si="10"/>
        <v>1.2500000000000001E-2</v>
      </c>
      <c r="I68">
        <f t="shared" ref="I68:I99" si="11">BMS/4000 + IF(OR(H69/Kapacita_baterie &gt; 0.95, H69/Kapacita_baterie &lt; 0.15), BMS/4000, 0)</f>
        <v>7.4999999999999997E-3</v>
      </c>
      <c r="J68">
        <f t="shared" si="8"/>
        <v>1.25E-3</v>
      </c>
      <c r="K68">
        <f t="shared" si="9"/>
        <v>7.5000000000000002E-4</v>
      </c>
    </row>
    <row r="69" spans="8:27" x14ac:dyDescent="0.3">
      <c r="H69">
        <f t="shared" si="10"/>
        <v>1.2500000000000001E-2</v>
      </c>
      <c r="I69">
        <f t="shared" si="11"/>
        <v>7.4999999999999997E-3</v>
      </c>
      <c r="J69">
        <f t="shared" si="8"/>
        <v>1.25E-3</v>
      </c>
      <c r="K69">
        <f t="shared" si="9"/>
        <v>7.5000000000000002E-4</v>
      </c>
    </row>
    <row r="70" spans="8:27" x14ac:dyDescent="0.3">
      <c r="H70">
        <f t="shared" si="10"/>
        <v>1.2500000000000001E-2</v>
      </c>
      <c r="I70">
        <f t="shared" si="11"/>
        <v>7.4999999999999997E-3</v>
      </c>
      <c r="J70">
        <f t="shared" si="8"/>
        <v>1.25E-3</v>
      </c>
      <c r="K70">
        <f t="shared" si="9"/>
        <v>7.5000000000000002E-4</v>
      </c>
    </row>
    <row r="71" spans="8:27" x14ac:dyDescent="0.3">
      <c r="H71">
        <f t="shared" si="10"/>
        <v>1.2500000000000001E-2</v>
      </c>
      <c r="I71">
        <f t="shared" si="11"/>
        <v>7.4999999999999997E-3</v>
      </c>
      <c r="J71">
        <f t="shared" si="8"/>
        <v>1.25E-3</v>
      </c>
      <c r="K71">
        <f t="shared" si="9"/>
        <v>7.5000000000000002E-4</v>
      </c>
    </row>
    <row r="72" spans="8:27" x14ac:dyDescent="0.3">
      <c r="H72">
        <f t="shared" si="10"/>
        <v>1.2500000000000001E-2</v>
      </c>
      <c r="I72">
        <f t="shared" si="11"/>
        <v>7.4999999999999997E-3</v>
      </c>
      <c r="J72">
        <f t="shared" si="8"/>
        <v>1.25E-3</v>
      </c>
      <c r="K72">
        <f t="shared" si="9"/>
        <v>7.5000000000000002E-4</v>
      </c>
    </row>
    <row r="73" spans="8:27" x14ac:dyDescent="0.3">
      <c r="H73">
        <f t="shared" si="10"/>
        <v>1.2500000000000001E-2</v>
      </c>
      <c r="I73">
        <f t="shared" si="11"/>
        <v>7.4999999999999997E-3</v>
      </c>
      <c r="J73">
        <f t="shared" si="8"/>
        <v>1.25E-3</v>
      </c>
      <c r="K73">
        <f t="shared" si="9"/>
        <v>7.5000000000000002E-4</v>
      </c>
    </row>
    <row r="74" spans="8:27" x14ac:dyDescent="0.3">
      <c r="H74">
        <f t="shared" si="10"/>
        <v>1.2500000000000001E-2</v>
      </c>
      <c r="I74">
        <f t="shared" si="11"/>
        <v>7.4999999999999997E-3</v>
      </c>
      <c r="J74">
        <f t="shared" si="8"/>
        <v>1.25E-3</v>
      </c>
      <c r="K74">
        <f t="shared" si="9"/>
        <v>7.5000000000000002E-4</v>
      </c>
    </row>
    <row r="75" spans="8:27" x14ac:dyDescent="0.3">
      <c r="H75">
        <f t="shared" si="10"/>
        <v>1.2500000000000001E-2</v>
      </c>
      <c r="I75">
        <f t="shared" si="11"/>
        <v>7.4999999999999997E-3</v>
      </c>
      <c r="J75">
        <f t="shared" si="8"/>
        <v>1.25E-3</v>
      </c>
      <c r="K75">
        <f t="shared" si="9"/>
        <v>7.5000000000000002E-4</v>
      </c>
    </row>
    <row r="76" spans="8:27" x14ac:dyDescent="0.3">
      <c r="H76">
        <f t="shared" si="10"/>
        <v>1.2500000000000001E-2</v>
      </c>
      <c r="I76">
        <f t="shared" si="11"/>
        <v>7.4999999999999997E-3</v>
      </c>
      <c r="J76">
        <f t="shared" si="8"/>
        <v>1.25E-3</v>
      </c>
      <c r="K76">
        <f t="shared" si="9"/>
        <v>7.5000000000000002E-4</v>
      </c>
    </row>
    <row r="77" spans="8:27" x14ac:dyDescent="0.3">
      <c r="H77">
        <f t="shared" si="10"/>
        <v>1.2500000000000001E-2</v>
      </c>
      <c r="I77">
        <f t="shared" si="11"/>
        <v>7.4999999999999997E-3</v>
      </c>
      <c r="J77">
        <f t="shared" si="8"/>
        <v>1.25E-3</v>
      </c>
      <c r="K77">
        <f t="shared" si="9"/>
        <v>7.5000000000000002E-4</v>
      </c>
    </row>
    <row r="78" spans="8:27" x14ac:dyDescent="0.3">
      <c r="H78">
        <f t="shared" si="10"/>
        <v>1.2500000000000001E-2</v>
      </c>
      <c r="I78">
        <f t="shared" si="11"/>
        <v>7.4999999999999997E-3</v>
      </c>
      <c r="J78">
        <f t="shared" si="8"/>
        <v>1.25E-3</v>
      </c>
      <c r="K78">
        <f t="shared" si="9"/>
        <v>7.5000000000000002E-4</v>
      </c>
    </row>
    <row r="79" spans="8:27" x14ac:dyDescent="0.3">
      <c r="H79">
        <f t="shared" si="10"/>
        <v>1.2500000000000001E-2</v>
      </c>
      <c r="I79">
        <f t="shared" si="11"/>
        <v>7.4999999999999997E-3</v>
      </c>
      <c r="J79">
        <f t="shared" si="8"/>
        <v>1.25E-3</v>
      </c>
      <c r="K79">
        <f t="shared" si="9"/>
        <v>7.5000000000000002E-4</v>
      </c>
    </row>
    <row r="80" spans="8:27" x14ac:dyDescent="0.3">
      <c r="H80">
        <f t="shared" si="10"/>
        <v>1.2500000000000001E-2</v>
      </c>
      <c r="I80">
        <f t="shared" si="11"/>
        <v>7.4999999999999997E-3</v>
      </c>
      <c r="J80">
        <f t="shared" si="8"/>
        <v>1.25E-3</v>
      </c>
      <c r="K80">
        <f t="shared" si="9"/>
        <v>7.5000000000000002E-4</v>
      </c>
    </row>
    <row r="81" spans="8:11" x14ac:dyDescent="0.3">
      <c r="H81">
        <f t="shared" si="10"/>
        <v>1.2500000000000001E-2</v>
      </c>
      <c r="I81">
        <f t="shared" si="11"/>
        <v>7.4999999999999997E-3</v>
      </c>
      <c r="J81">
        <f t="shared" si="8"/>
        <v>1.25E-3</v>
      </c>
      <c r="K81">
        <f t="shared" si="9"/>
        <v>7.5000000000000002E-4</v>
      </c>
    </row>
    <row r="82" spans="8:11" x14ac:dyDescent="0.3">
      <c r="H82">
        <f t="shared" si="10"/>
        <v>1.2500000000000001E-2</v>
      </c>
      <c r="I82">
        <f t="shared" si="11"/>
        <v>7.4999999999999997E-3</v>
      </c>
      <c r="J82">
        <f t="shared" si="8"/>
        <v>1.25E-3</v>
      </c>
      <c r="K82">
        <f t="shared" si="9"/>
        <v>7.5000000000000002E-4</v>
      </c>
    </row>
    <row r="83" spans="8:11" x14ac:dyDescent="0.3">
      <c r="H83">
        <f t="shared" si="10"/>
        <v>1.2500000000000001E-2</v>
      </c>
      <c r="I83">
        <f t="shared" si="11"/>
        <v>7.4999999999999997E-3</v>
      </c>
      <c r="J83">
        <f t="shared" si="8"/>
        <v>1.25E-3</v>
      </c>
      <c r="K83">
        <f t="shared" si="9"/>
        <v>7.5000000000000002E-4</v>
      </c>
    </row>
    <row r="84" spans="8:11" x14ac:dyDescent="0.3">
      <c r="H84">
        <f t="shared" si="10"/>
        <v>1.2500000000000001E-2</v>
      </c>
      <c r="I84">
        <f t="shared" si="11"/>
        <v>7.4999999999999997E-3</v>
      </c>
      <c r="J84">
        <f t="shared" si="8"/>
        <v>1.25E-3</v>
      </c>
      <c r="K84">
        <f t="shared" si="9"/>
        <v>7.5000000000000002E-4</v>
      </c>
    </row>
    <row r="85" spans="8:11" x14ac:dyDescent="0.3">
      <c r="H85">
        <f t="shared" si="10"/>
        <v>1.2500000000000001E-2</v>
      </c>
      <c r="I85">
        <f t="shared" si="11"/>
        <v>7.4999999999999997E-3</v>
      </c>
      <c r="J85">
        <f t="shared" si="8"/>
        <v>1.25E-3</v>
      </c>
      <c r="K85">
        <f t="shared" si="9"/>
        <v>7.5000000000000002E-4</v>
      </c>
    </row>
    <row r="86" spans="8:11" x14ac:dyDescent="0.3">
      <c r="H86">
        <f t="shared" si="10"/>
        <v>1.2500000000000001E-2</v>
      </c>
      <c r="I86">
        <f t="shared" si="11"/>
        <v>7.4999999999999997E-3</v>
      </c>
      <c r="J86">
        <f t="shared" si="8"/>
        <v>1.25E-3</v>
      </c>
      <c r="K86">
        <f t="shared" si="9"/>
        <v>7.5000000000000002E-4</v>
      </c>
    </row>
    <row r="87" spans="8:11" x14ac:dyDescent="0.3">
      <c r="H87">
        <f t="shared" si="10"/>
        <v>1.2500000000000001E-2</v>
      </c>
      <c r="I87">
        <f t="shared" si="11"/>
        <v>7.4999999999999997E-3</v>
      </c>
      <c r="J87">
        <f t="shared" si="8"/>
        <v>1.25E-3</v>
      </c>
      <c r="K87">
        <f t="shared" si="9"/>
        <v>7.5000000000000002E-4</v>
      </c>
    </row>
    <row r="88" spans="8:11" x14ac:dyDescent="0.3">
      <c r="H88">
        <f t="shared" si="10"/>
        <v>1.2500000000000001E-2</v>
      </c>
      <c r="I88">
        <f t="shared" si="11"/>
        <v>7.4999999999999997E-3</v>
      </c>
      <c r="J88">
        <f t="shared" si="8"/>
        <v>1.25E-3</v>
      </c>
      <c r="K88">
        <f t="shared" si="9"/>
        <v>7.5000000000000002E-4</v>
      </c>
    </row>
    <row r="89" spans="8:11" x14ac:dyDescent="0.3">
      <c r="H89">
        <f t="shared" si="10"/>
        <v>1.2500000000000001E-2</v>
      </c>
      <c r="I89">
        <f t="shared" si="11"/>
        <v>7.4999999999999997E-3</v>
      </c>
      <c r="J89">
        <f t="shared" si="8"/>
        <v>1.25E-3</v>
      </c>
      <c r="K89">
        <f t="shared" si="9"/>
        <v>7.5000000000000002E-4</v>
      </c>
    </row>
    <row r="90" spans="8:11" x14ac:dyDescent="0.3">
      <c r="H90">
        <f t="shared" si="10"/>
        <v>1.2500000000000001E-2</v>
      </c>
      <c r="I90">
        <f t="shared" si="11"/>
        <v>7.4999999999999997E-3</v>
      </c>
      <c r="J90">
        <f t="shared" si="8"/>
        <v>1.25E-3</v>
      </c>
      <c r="K90">
        <f t="shared" si="9"/>
        <v>7.5000000000000002E-4</v>
      </c>
    </row>
    <row r="91" spans="8:11" x14ac:dyDescent="0.3">
      <c r="H91">
        <f t="shared" si="10"/>
        <v>1.2500000000000001E-2</v>
      </c>
      <c r="I91">
        <f t="shared" si="11"/>
        <v>7.4999999999999997E-3</v>
      </c>
      <c r="J91">
        <f t="shared" si="8"/>
        <v>1.25E-3</v>
      </c>
      <c r="K91">
        <f t="shared" si="9"/>
        <v>7.5000000000000002E-4</v>
      </c>
    </row>
    <row r="92" spans="8:11" x14ac:dyDescent="0.3">
      <c r="H92">
        <f t="shared" si="10"/>
        <v>1.2500000000000001E-2</v>
      </c>
      <c r="I92">
        <f t="shared" si="11"/>
        <v>7.4999999999999997E-3</v>
      </c>
      <c r="J92">
        <f t="shared" si="8"/>
        <v>1.25E-3</v>
      </c>
      <c r="K92">
        <f t="shared" si="9"/>
        <v>7.5000000000000002E-4</v>
      </c>
    </row>
    <row r="93" spans="8:11" x14ac:dyDescent="0.3">
      <c r="H93">
        <f t="shared" si="10"/>
        <v>1.2500000000000001E-2</v>
      </c>
      <c r="I93">
        <f t="shared" si="11"/>
        <v>7.4999999999999997E-3</v>
      </c>
      <c r="J93">
        <f t="shared" si="8"/>
        <v>1.25E-3</v>
      </c>
      <c r="K93">
        <f t="shared" si="9"/>
        <v>7.5000000000000002E-4</v>
      </c>
    </row>
    <row r="94" spans="8:11" x14ac:dyDescent="0.3">
      <c r="H94">
        <f t="shared" si="10"/>
        <v>1.2500000000000001E-2</v>
      </c>
      <c r="I94">
        <f t="shared" si="11"/>
        <v>7.4999999999999997E-3</v>
      </c>
      <c r="J94">
        <f t="shared" si="8"/>
        <v>1.25E-3</v>
      </c>
      <c r="K94">
        <f t="shared" si="9"/>
        <v>7.5000000000000002E-4</v>
      </c>
    </row>
    <row r="95" spans="8:11" x14ac:dyDescent="0.3">
      <c r="H95">
        <f t="shared" si="10"/>
        <v>1.2500000000000001E-2</v>
      </c>
      <c r="I95">
        <f t="shared" si="11"/>
        <v>7.4999999999999997E-3</v>
      </c>
      <c r="J95">
        <f t="shared" si="8"/>
        <v>1.25E-3</v>
      </c>
      <c r="K95">
        <f t="shared" si="9"/>
        <v>7.5000000000000002E-4</v>
      </c>
    </row>
    <row r="96" spans="8:11" x14ac:dyDescent="0.3">
      <c r="H96">
        <f t="shared" si="10"/>
        <v>1.2500000000000001E-2</v>
      </c>
      <c r="I96">
        <f t="shared" si="11"/>
        <v>7.4999999999999997E-3</v>
      </c>
      <c r="J96">
        <f t="shared" si="8"/>
        <v>1.25E-3</v>
      </c>
      <c r="K96">
        <f t="shared" si="9"/>
        <v>7.5000000000000002E-4</v>
      </c>
    </row>
    <row r="97" spans="8:11" x14ac:dyDescent="0.3">
      <c r="H97">
        <f t="shared" si="10"/>
        <v>1.2500000000000001E-2</v>
      </c>
      <c r="I97">
        <f t="shared" si="11"/>
        <v>7.4999999999999997E-3</v>
      </c>
      <c r="J97">
        <f t="shared" si="8"/>
        <v>1.25E-3</v>
      </c>
      <c r="K97">
        <f t="shared" si="9"/>
        <v>7.5000000000000002E-4</v>
      </c>
    </row>
    <row r="98" spans="8:11" x14ac:dyDescent="0.3">
      <c r="H98">
        <f t="shared" si="10"/>
        <v>1.2500000000000001E-2</v>
      </c>
      <c r="I98">
        <f t="shared" si="11"/>
        <v>7.4999999999999997E-3</v>
      </c>
      <c r="J98">
        <f t="shared" si="8"/>
        <v>1.25E-3</v>
      </c>
      <c r="K98">
        <f t="shared" si="9"/>
        <v>7.5000000000000002E-4</v>
      </c>
    </row>
    <row r="99" spans="8:11" x14ac:dyDescent="0.3">
      <c r="H99">
        <f t="shared" si="10"/>
        <v>1.2500000000000001E-2</v>
      </c>
      <c r="I99">
        <f t="shared" si="11"/>
        <v>7.4999999999999997E-3</v>
      </c>
      <c r="J99">
        <f t="shared" si="8"/>
        <v>1.25E-3</v>
      </c>
      <c r="K99">
        <f t="shared" si="9"/>
        <v>7.5000000000000002E-4</v>
      </c>
    </row>
  </sheetData>
  <mergeCells count="84">
    <mergeCell ref="A10:B10"/>
    <mergeCell ref="A11:B11"/>
    <mergeCell ref="A12:B12"/>
    <mergeCell ref="P4:Q4"/>
    <mergeCell ref="N6:N7"/>
    <mergeCell ref="O6:O7"/>
    <mergeCell ref="N8:N9"/>
    <mergeCell ref="O8:O9"/>
    <mergeCell ref="N10:N11"/>
    <mergeCell ref="O10:O11"/>
    <mergeCell ref="N4:O5"/>
    <mergeCell ref="R4:T4"/>
    <mergeCell ref="U4:V4"/>
    <mergeCell ref="W4:Y4"/>
    <mergeCell ref="Z4:AA4"/>
    <mergeCell ref="A9:B9"/>
    <mergeCell ref="U5:V5"/>
    <mergeCell ref="Z5:AA5"/>
    <mergeCell ref="P6:Q6"/>
    <mergeCell ref="Z6:AA6"/>
    <mergeCell ref="Z7:AA7"/>
    <mergeCell ref="Z8:AA8"/>
    <mergeCell ref="Z9:AA9"/>
    <mergeCell ref="N15:N16"/>
    <mergeCell ref="N17:N18"/>
    <mergeCell ref="O15:O16"/>
    <mergeCell ref="O17:O18"/>
    <mergeCell ref="W6:Y6"/>
    <mergeCell ref="W7:Y7"/>
    <mergeCell ref="W8:Y8"/>
    <mergeCell ref="W9:Y9"/>
    <mergeCell ref="U6:V6"/>
    <mergeCell ref="U7:V7"/>
    <mergeCell ref="R8:T8"/>
    <mergeCell ref="R9:T9"/>
    <mergeCell ref="U8:V8"/>
    <mergeCell ref="U9:V9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7:N48"/>
    <mergeCell ref="N41:N42"/>
    <mergeCell ref="N43:N44"/>
    <mergeCell ref="N45:N46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N55:N56"/>
    <mergeCell ref="N53:N54"/>
    <mergeCell ref="N59:N60"/>
    <mergeCell ref="N61:N62"/>
    <mergeCell ref="N63:N64"/>
    <mergeCell ref="O59:O60"/>
    <mergeCell ref="O61:O62"/>
    <mergeCell ref="O63:O64"/>
    <mergeCell ref="P7:Q7"/>
    <mergeCell ref="R6:T6"/>
    <mergeCell ref="R7:T7"/>
    <mergeCell ref="P10:AA10"/>
    <mergeCell ref="P11:AA11"/>
    <mergeCell ref="P51:AA51"/>
    <mergeCell ref="P52:AA52"/>
    <mergeCell ref="P53:AA54"/>
    <mergeCell ref="P55:AA55"/>
    <mergeCell ref="P56:AA56"/>
    <mergeCell ref="O47:O48"/>
    <mergeCell ref="O45:O46"/>
    <mergeCell ref="P63:Y64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A2B8-DF93-4912-9C2A-FCAB715BF58A}">
  <sheetPr>
    <tabColor theme="4" tint="0.59999389629810485"/>
  </sheetPr>
  <dimension ref="A1:P127"/>
  <sheetViews>
    <sheetView tabSelected="1" zoomScale="70" zoomScaleNormal="70" workbookViewId="0">
      <selection activeCell="Q1" sqref="Q1"/>
    </sheetView>
  </sheetViews>
  <sheetFormatPr defaultRowHeight="14.4" x14ac:dyDescent="0.3"/>
  <cols>
    <col min="1" max="1" width="16.5546875" style="32" customWidth="1"/>
    <col min="2" max="2" width="16.5546875" style="50" customWidth="1"/>
    <col min="3" max="3" width="12.33203125" customWidth="1"/>
    <col min="4" max="4" width="31.5546875" bestFit="1" customWidth="1"/>
    <col min="5" max="5" width="13.33203125" customWidth="1"/>
    <col min="6" max="6" width="12.109375" customWidth="1"/>
    <col min="7" max="7" width="13.33203125" customWidth="1"/>
    <col min="8" max="8" width="16.88671875" bestFit="1" customWidth="1"/>
    <col min="9" max="9" width="9.33203125" customWidth="1"/>
    <col min="10" max="10" width="16.33203125" bestFit="1" customWidth="1"/>
    <col min="11" max="11" width="12" bestFit="1" customWidth="1"/>
    <col min="12" max="12" width="14.88671875" customWidth="1"/>
    <col min="13" max="13" width="16.109375" bestFit="1" customWidth="1"/>
    <col min="14" max="14" width="15.44140625" bestFit="1" customWidth="1"/>
    <col min="15" max="15" width="16.109375" customWidth="1"/>
    <col min="16" max="16" width="15.88671875" bestFit="1" customWidth="1"/>
  </cols>
  <sheetData>
    <row r="1" spans="1:16" x14ac:dyDescent="0.3">
      <c r="A1" s="77" t="s">
        <v>184</v>
      </c>
      <c r="B1" s="75" t="s">
        <v>183</v>
      </c>
      <c r="C1" s="1" t="s">
        <v>0</v>
      </c>
      <c r="D1" s="22" t="s">
        <v>203</v>
      </c>
      <c r="E1" s="52" t="s">
        <v>1</v>
      </c>
      <c r="F1" s="52" t="s">
        <v>2</v>
      </c>
      <c r="G1" s="52" t="s">
        <v>3</v>
      </c>
      <c r="H1" s="52" t="s">
        <v>200</v>
      </c>
      <c r="I1" s="22" t="s">
        <v>6</v>
      </c>
      <c r="J1" s="22" t="s">
        <v>7</v>
      </c>
      <c r="K1" s="52" t="s">
        <v>201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191</v>
      </c>
    </row>
    <row r="2" spans="1:16" x14ac:dyDescent="0.3">
      <c r="A2" s="78"/>
      <c r="B2" s="76"/>
      <c r="C2" s="2" t="s">
        <v>4</v>
      </c>
      <c r="D2" s="2" t="s">
        <v>309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>
        <v>10</v>
      </c>
      <c r="K2" s="53" t="s">
        <v>202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</row>
    <row r="3" spans="1:16" x14ac:dyDescent="0.3">
      <c r="A3" s="47">
        <f>DATE(2026,1,1)</f>
        <v>46023</v>
      </c>
      <c r="B3" s="49">
        <f>TIME(0,0,0)</f>
        <v>0</v>
      </c>
      <c r="C3" s="42">
        <f>'Leden data'!V2+P3</f>
        <v>0.54449999999999998</v>
      </c>
      <c r="D3" s="42">
        <f>MIN(C3, E3)</f>
        <v>0</v>
      </c>
      <c r="E3" s="42">
        <f>ROUND(MAX(0, 8.5 * EXP(-((HOUR(B3)+MINUTE(B3)/60 - 12)^2) / 2) * 0.25), 3)</f>
        <v>0</v>
      </c>
      <c r="F3" s="42">
        <f>MAX(0, C3 - D3 - H3 )</f>
        <v>0</v>
      </c>
      <c r="G3" s="42">
        <f>MAX(0, E3 - D3 - M3)</f>
        <v>0</v>
      </c>
      <c r="H3" s="42">
        <f>MAX(0, MIN(C3 - D3, N3 ))</f>
        <v>0.54449999999999998</v>
      </c>
      <c r="I3" s="42">
        <f t="shared" ref="I3:I66" si="0">E3-C3</f>
        <v>-0.54449999999999998</v>
      </c>
      <c r="J3" s="43">
        <f>MIN('Výpočty '!$B$1*0.9, MAX('Výpočty '!$B$1*0.05, J2 + M3 - MIN(O3, MAX(0, J2 - ('Výpočty '!$B$1*0.1))) - P3))</f>
        <v>9.356472222222223</v>
      </c>
      <c r="K3" s="46">
        <f>J3/'Výpočty '!$B$1</f>
        <v>0.46782361111111115</v>
      </c>
      <c r="L3" s="42">
        <f t="shared" ref="L3:L34" si="1">M3 * Účinnost_cyklu</f>
        <v>0</v>
      </c>
      <c r="M3" s="42">
        <f t="shared" ref="M3:M34" si="2">MIN(MAX(0, I3), MAX(0, Kapacita_baterie * Soc_Max - J2) / Účinnost_cyklu, Stridac_limit)</f>
        <v>0</v>
      </c>
      <c r="N3" s="42">
        <f t="shared" ref="N3:N34" si="3">MAX(0, MIN(J2 - (Kapacita_baterie * Soc_Kriticke), C3 - D3 + P3))</f>
        <v>0.56274999999999997</v>
      </c>
      <c r="O3" s="42">
        <f>N3 / Účinnost_cyklu</f>
        <v>0.62527777777777771</v>
      </c>
      <c r="P3" s="42">
        <f t="shared" ref="P3:P34" si="4">Vlastní_Spotřeba_kWh</f>
        <v>1.8249999999999999E-2</v>
      </c>
    </row>
    <row r="4" spans="1:16" x14ac:dyDescent="0.3">
      <c r="A4" s="47">
        <f>DATE(2026,1,1)</f>
        <v>46023</v>
      </c>
      <c r="B4" s="49">
        <f>B3+TIME(0,15,0)</f>
        <v>1.0416666666666666E-2</v>
      </c>
      <c r="C4" s="42">
        <f>'Leden data'!V3+P4</f>
        <v>0.54449999999999998</v>
      </c>
      <c r="D4" s="42">
        <f t="shared" ref="D4:D67" si="5">MIN(C4, E4)</f>
        <v>0</v>
      </c>
      <c r="E4" s="42">
        <f t="shared" ref="E4:E67" si="6">ROUND(MAX(0, 8.5 * EXP(-((HOUR(B4)+MINUTE(B4)/60 - 12)^2) / 2) * 0.25), 3)</f>
        <v>0</v>
      </c>
      <c r="F4" s="42">
        <f t="shared" ref="F4:F67" si="7">MAX(0, C4 - D4 - H4 )</f>
        <v>0</v>
      </c>
      <c r="G4" s="42">
        <f t="shared" ref="G4:G67" si="8">MAX(0, E4 - D4 - M4)</f>
        <v>0</v>
      </c>
      <c r="H4" s="42">
        <f t="shared" ref="H4:H67" si="9">MAX(0, MIN(C4 - D4, N4 ))</f>
        <v>0.54449999999999998</v>
      </c>
      <c r="I4" s="42">
        <f t="shared" si="0"/>
        <v>-0.54449999999999998</v>
      </c>
      <c r="J4" s="43">
        <f>MIN('Výpočty '!$B$1*0.9, MAX('Výpočty '!$B$1*0.05, J3 + M4 - MIN(O4, MAX(0, J3 - ('Výpočty '!$B$1*0.1))) - P4))</f>
        <v>8.7129444444444459</v>
      </c>
      <c r="K4" s="46">
        <f>J4/'Výpočty '!$B$1</f>
        <v>0.4356472222222223</v>
      </c>
      <c r="L4" s="42">
        <f t="shared" si="1"/>
        <v>0</v>
      </c>
      <c r="M4" s="42">
        <f t="shared" si="2"/>
        <v>0</v>
      </c>
      <c r="N4" s="42">
        <f t="shared" si="3"/>
        <v>0.56274999999999997</v>
      </c>
      <c r="O4" s="42">
        <f t="shared" ref="O4:O34" si="10">N4 / Účinnost_cyklu</f>
        <v>0.62527777777777771</v>
      </c>
      <c r="P4" s="42">
        <f t="shared" si="4"/>
        <v>1.8249999999999999E-2</v>
      </c>
    </row>
    <row r="5" spans="1:16" x14ac:dyDescent="0.3">
      <c r="A5" s="47">
        <f t="shared" ref="A5:A67" si="11">DATE(2026,1,1)</f>
        <v>46023</v>
      </c>
      <c r="B5" s="49">
        <f t="shared" ref="B5:B68" si="12">B4+TIME(0,15,0)</f>
        <v>2.0833333333333332E-2</v>
      </c>
      <c r="C5" s="42">
        <f>'Leden data'!V4+P5</f>
        <v>0.54449999999999998</v>
      </c>
      <c r="D5" s="42">
        <f t="shared" si="5"/>
        <v>0</v>
      </c>
      <c r="E5" s="42">
        <f t="shared" si="6"/>
        <v>0</v>
      </c>
      <c r="F5" s="42">
        <f t="shared" si="7"/>
        <v>0</v>
      </c>
      <c r="G5" s="42">
        <f t="shared" si="8"/>
        <v>0</v>
      </c>
      <c r="H5" s="42">
        <f t="shared" si="9"/>
        <v>0.54449999999999998</v>
      </c>
      <c r="I5" s="42">
        <f t="shared" si="0"/>
        <v>-0.54449999999999998</v>
      </c>
      <c r="J5" s="43">
        <f>MIN('Výpočty '!$B$1*0.9, MAX('Výpočty '!$B$1*0.05, J4 + M5 - MIN(O5, MAX(0, J4 - ('Výpočty '!$B$1*0.1))) - P5))</f>
        <v>8.0694166666666689</v>
      </c>
      <c r="K5" s="46">
        <f>J5/'Výpočty '!$B$1</f>
        <v>0.40347083333333345</v>
      </c>
      <c r="L5" s="42">
        <f t="shared" si="1"/>
        <v>0</v>
      </c>
      <c r="M5" s="42">
        <f t="shared" si="2"/>
        <v>0</v>
      </c>
      <c r="N5" s="42">
        <f t="shared" si="3"/>
        <v>0.56274999999999997</v>
      </c>
      <c r="O5" s="42">
        <f t="shared" si="10"/>
        <v>0.62527777777777771</v>
      </c>
      <c r="P5" s="42">
        <f t="shared" si="4"/>
        <v>1.8249999999999999E-2</v>
      </c>
    </row>
    <row r="6" spans="1:16" x14ac:dyDescent="0.3">
      <c r="A6" s="47">
        <f t="shared" si="11"/>
        <v>46023</v>
      </c>
      <c r="B6" s="49">
        <f t="shared" si="12"/>
        <v>3.125E-2</v>
      </c>
      <c r="C6" s="42">
        <f>'Leden data'!V5+P6</f>
        <v>0.54449999999999998</v>
      </c>
      <c r="D6" s="42">
        <f t="shared" si="5"/>
        <v>0</v>
      </c>
      <c r="E6" s="42">
        <f t="shared" si="6"/>
        <v>0</v>
      </c>
      <c r="F6" s="42">
        <f t="shared" si="7"/>
        <v>0</v>
      </c>
      <c r="G6" s="42">
        <f t="shared" si="8"/>
        <v>0</v>
      </c>
      <c r="H6" s="42">
        <f t="shared" si="9"/>
        <v>0.54449999999999998</v>
      </c>
      <c r="I6" s="42">
        <f t="shared" si="0"/>
        <v>-0.54449999999999998</v>
      </c>
      <c r="J6" s="43">
        <f>MIN('Výpočty '!$B$1*0.9, MAX('Výpočty '!$B$1*0.05, J5 + M6 - MIN(O6, MAX(0, J5 - ('Výpočty '!$B$1*0.1))) - P6))</f>
        <v>7.425888888888891</v>
      </c>
      <c r="K6" s="46">
        <f>J6/'Výpočty '!$B$1</f>
        <v>0.37129444444444454</v>
      </c>
      <c r="L6" s="42">
        <f t="shared" si="1"/>
        <v>0</v>
      </c>
      <c r="M6" s="42">
        <f t="shared" si="2"/>
        <v>0</v>
      </c>
      <c r="N6" s="42">
        <f t="shared" si="3"/>
        <v>0.56274999999999997</v>
      </c>
      <c r="O6" s="42">
        <f t="shared" si="10"/>
        <v>0.62527777777777771</v>
      </c>
      <c r="P6" s="42">
        <f t="shared" si="4"/>
        <v>1.8249999999999999E-2</v>
      </c>
    </row>
    <row r="7" spans="1:16" x14ac:dyDescent="0.3">
      <c r="A7" s="47">
        <f t="shared" si="11"/>
        <v>46023</v>
      </c>
      <c r="B7" s="49">
        <f t="shared" si="12"/>
        <v>4.1666666666666664E-2</v>
      </c>
      <c r="C7" s="42">
        <f>'Leden data'!V6+P7</f>
        <v>0.54449999999999998</v>
      </c>
      <c r="D7" s="42">
        <f t="shared" si="5"/>
        <v>0</v>
      </c>
      <c r="E7" s="42">
        <f t="shared" si="6"/>
        <v>0</v>
      </c>
      <c r="F7" s="42">
        <f t="shared" si="7"/>
        <v>0</v>
      </c>
      <c r="G7" s="42">
        <f t="shared" si="8"/>
        <v>0</v>
      </c>
      <c r="H7" s="42">
        <f t="shared" si="9"/>
        <v>0.54449999999999998</v>
      </c>
      <c r="I7" s="42">
        <f t="shared" si="0"/>
        <v>-0.54449999999999998</v>
      </c>
      <c r="J7" s="43">
        <f>MIN('Výpočty '!$B$1*0.9, MAX('Výpočty '!$B$1*0.05, J6 + M7 - MIN(O7, MAX(0, J6 - ('Výpočty '!$B$1*0.1))) - P7))</f>
        <v>6.7823611111111131</v>
      </c>
      <c r="K7" s="46">
        <f>J7/'Výpočty '!$B$1</f>
        <v>0.33911805555555563</v>
      </c>
      <c r="L7" s="42">
        <f t="shared" si="1"/>
        <v>0</v>
      </c>
      <c r="M7" s="42">
        <f t="shared" si="2"/>
        <v>0</v>
      </c>
      <c r="N7" s="42">
        <f t="shared" si="3"/>
        <v>0.56274999999999997</v>
      </c>
      <c r="O7" s="42">
        <f t="shared" si="10"/>
        <v>0.62527777777777771</v>
      </c>
      <c r="P7" s="42">
        <f t="shared" si="4"/>
        <v>1.8249999999999999E-2</v>
      </c>
    </row>
    <row r="8" spans="1:16" x14ac:dyDescent="0.3">
      <c r="A8" s="47">
        <f t="shared" si="11"/>
        <v>46023</v>
      </c>
      <c r="B8" s="49">
        <f t="shared" si="12"/>
        <v>5.2083333333333329E-2</v>
      </c>
      <c r="C8" s="42">
        <f>'Leden data'!V7+P8</f>
        <v>0.54449999999999998</v>
      </c>
      <c r="D8" s="42">
        <f t="shared" si="5"/>
        <v>0</v>
      </c>
      <c r="E8" s="42">
        <f>ROUND(MAX(0, 8.5 * EXP(-((HOUR(B8)+MINUTE(B8)/60 - 12)^2) / 2) * 0.25), 3)</f>
        <v>0</v>
      </c>
      <c r="F8" s="42">
        <f t="shared" si="7"/>
        <v>0</v>
      </c>
      <c r="G8" s="42">
        <f t="shared" si="8"/>
        <v>0</v>
      </c>
      <c r="H8" s="42">
        <f t="shared" si="9"/>
        <v>0.54449999999999998</v>
      </c>
      <c r="I8" s="42">
        <f t="shared" si="0"/>
        <v>-0.54449999999999998</v>
      </c>
      <c r="J8" s="43">
        <f>MIN('Výpočty '!$B$1*0.9, MAX('Výpočty '!$B$1*0.05, J7 + M8 - MIN(O8, MAX(0, J7 - ('Výpočty '!$B$1*0.1))) - P8))</f>
        <v>6.1388333333333351</v>
      </c>
      <c r="K8" s="46">
        <f>J8/'Výpočty '!$B$1</f>
        <v>0.30694166666666678</v>
      </c>
      <c r="L8" s="42">
        <f t="shared" si="1"/>
        <v>0</v>
      </c>
      <c r="M8" s="42">
        <f t="shared" si="2"/>
        <v>0</v>
      </c>
      <c r="N8" s="42">
        <f t="shared" si="3"/>
        <v>0.56274999999999997</v>
      </c>
      <c r="O8" s="42">
        <f t="shared" si="10"/>
        <v>0.62527777777777771</v>
      </c>
      <c r="P8" s="42">
        <f t="shared" si="4"/>
        <v>1.8249999999999999E-2</v>
      </c>
    </row>
    <row r="9" spans="1:16" x14ac:dyDescent="0.3">
      <c r="A9" s="47">
        <f t="shared" si="11"/>
        <v>46023</v>
      </c>
      <c r="B9" s="49">
        <f t="shared" si="12"/>
        <v>6.2499999999999993E-2</v>
      </c>
      <c r="C9" s="42">
        <f>'Leden data'!V8+P9</f>
        <v>0.54449999999999998</v>
      </c>
      <c r="D9" s="42">
        <f t="shared" si="5"/>
        <v>0</v>
      </c>
      <c r="E9" s="42">
        <f t="shared" si="6"/>
        <v>0</v>
      </c>
      <c r="F9" s="42">
        <f t="shared" si="7"/>
        <v>0</v>
      </c>
      <c r="G9" s="42">
        <f t="shared" si="8"/>
        <v>0</v>
      </c>
      <c r="H9" s="42">
        <f t="shared" si="9"/>
        <v>0.54449999999999998</v>
      </c>
      <c r="I9" s="42">
        <f t="shared" si="0"/>
        <v>-0.54449999999999998</v>
      </c>
      <c r="J9" s="43">
        <f>MIN('Výpočty '!$B$1*0.9, MAX('Výpočty '!$B$1*0.05, J8 + M9 - MIN(O9, MAX(0, J8 - ('Výpočty '!$B$1*0.1))) - P9))</f>
        <v>5.4953055555555572</v>
      </c>
      <c r="K9" s="46">
        <f>J9/'Výpočty '!$B$1</f>
        <v>0.27476527777777787</v>
      </c>
      <c r="L9" s="42">
        <f t="shared" si="1"/>
        <v>0</v>
      </c>
      <c r="M9" s="42">
        <f t="shared" si="2"/>
        <v>0</v>
      </c>
      <c r="N9" s="42">
        <f t="shared" si="3"/>
        <v>0.56274999999999997</v>
      </c>
      <c r="O9" s="42">
        <f t="shared" si="10"/>
        <v>0.62527777777777771</v>
      </c>
      <c r="P9" s="42">
        <f t="shared" si="4"/>
        <v>1.8249999999999999E-2</v>
      </c>
    </row>
    <row r="10" spans="1:16" x14ac:dyDescent="0.3">
      <c r="A10" s="47">
        <f t="shared" si="11"/>
        <v>46023</v>
      </c>
      <c r="B10" s="49">
        <f t="shared" si="12"/>
        <v>7.2916666666666657E-2</v>
      </c>
      <c r="C10" s="42">
        <f>'Leden data'!V9+P10</f>
        <v>0.54449999999999998</v>
      </c>
      <c r="D10" s="42">
        <f t="shared" si="5"/>
        <v>0</v>
      </c>
      <c r="E10" s="42">
        <f t="shared" si="6"/>
        <v>0</v>
      </c>
      <c r="F10" s="42">
        <f t="shared" si="7"/>
        <v>0</v>
      </c>
      <c r="G10" s="42">
        <f t="shared" si="8"/>
        <v>0</v>
      </c>
      <c r="H10" s="42">
        <f t="shared" si="9"/>
        <v>0.54449999999999998</v>
      </c>
      <c r="I10" s="42">
        <f t="shared" si="0"/>
        <v>-0.54449999999999998</v>
      </c>
      <c r="J10" s="43">
        <f>MIN('Výpočty '!$B$1*0.9, MAX('Výpočty '!$B$1*0.05, J9 + M10 - MIN(O10, MAX(0, J9 - ('Výpočty '!$B$1*0.1))) - P10))</f>
        <v>4.8517777777777793</v>
      </c>
      <c r="K10" s="46">
        <f>J10/'Výpočty '!$B$1</f>
        <v>0.24258888888888896</v>
      </c>
      <c r="L10" s="42">
        <f t="shared" si="1"/>
        <v>0</v>
      </c>
      <c r="M10" s="42">
        <f t="shared" si="2"/>
        <v>0</v>
      </c>
      <c r="N10" s="42">
        <f t="shared" si="3"/>
        <v>0.56274999999999997</v>
      </c>
      <c r="O10" s="42">
        <f t="shared" si="10"/>
        <v>0.62527777777777771</v>
      </c>
      <c r="P10" s="42">
        <f t="shared" si="4"/>
        <v>1.8249999999999999E-2</v>
      </c>
    </row>
    <row r="11" spans="1:16" x14ac:dyDescent="0.3">
      <c r="A11" s="47">
        <f t="shared" si="11"/>
        <v>46023</v>
      </c>
      <c r="B11" s="49">
        <f t="shared" si="12"/>
        <v>8.3333333333333329E-2</v>
      </c>
      <c r="C11" s="42">
        <f>'Leden data'!V10+P11</f>
        <v>0.54449999999999998</v>
      </c>
      <c r="D11" s="42">
        <f t="shared" si="5"/>
        <v>0</v>
      </c>
      <c r="E11" s="42">
        <f t="shared" si="6"/>
        <v>0</v>
      </c>
      <c r="F11" s="42">
        <f t="shared" si="7"/>
        <v>0</v>
      </c>
      <c r="G11" s="42">
        <f t="shared" si="8"/>
        <v>0</v>
      </c>
      <c r="H11" s="42">
        <f t="shared" si="9"/>
        <v>0.54449999999999998</v>
      </c>
      <c r="I11" s="42">
        <f t="shared" si="0"/>
        <v>-0.54449999999999998</v>
      </c>
      <c r="J11" s="43">
        <f>MIN('Výpočty '!$B$1*0.9, MAX('Výpočty '!$B$1*0.05, J10 + M11 - MIN(O11, MAX(0, J10 - ('Výpočty '!$B$1*0.1))) - P11))</f>
        <v>4.2082500000000014</v>
      </c>
      <c r="K11" s="46">
        <f>J11/'Výpočty '!$B$1</f>
        <v>0.21041250000000006</v>
      </c>
      <c r="L11" s="42">
        <f t="shared" si="1"/>
        <v>0</v>
      </c>
      <c r="M11" s="42">
        <f t="shared" si="2"/>
        <v>0</v>
      </c>
      <c r="N11" s="42">
        <f t="shared" si="3"/>
        <v>0.56274999999999997</v>
      </c>
      <c r="O11" s="42">
        <f t="shared" si="10"/>
        <v>0.62527777777777771</v>
      </c>
      <c r="P11" s="42">
        <f t="shared" si="4"/>
        <v>1.8249999999999999E-2</v>
      </c>
    </row>
    <row r="12" spans="1:16" x14ac:dyDescent="0.3">
      <c r="A12" s="47">
        <f t="shared" si="11"/>
        <v>46023</v>
      </c>
      <c r="B12" s="49">
        <f t="shared" si="12"/>
        <v>9.375E-2</v>
      </c>
      <c r="C12" s="42">
        <f>'Leden data'!V11+P12</f>
        <v>0.52574999999999994</v>
      </c>
      <c r="D12" s="42">
        <f t="shared" si="5"/>
        <v>0</v>
      </c>
      <c r="E12" s="42">
        <f t="shared" si="6"/>
        <v>0</v>
      </c>
      <c r="F12" s="42">
        <f t="shared" si="7"/>
        <v>0</v>
      </c>
      <c r="G12" s="42">
        <f t="shared" si="8"/>
        <v>0</v>
      </c>
      <c r="H12" s="42">
        <f t="shared" si="9"/>
        <v>0.52574999999999994</v>
      </c>
      <c r="I12" s="42">
        <f t="shared" si="0"/>
        <v>-0.52574999999999994</v>
      </c>
      <c r="J12" s="43">
        <f>MIN('Výpočty '!$B$1*0.9, MAX('Výpočty '!$B$1*0.05, J11 + M12 - MIN(O12, MAX(0, J11 - ('Výpočty '!$B$1*0.1))) - P12))</f>
        <v>3.5855555555555569</v>
      </c>
      <c r="K12" s="46">
        <f>J12/'Výpočty '!$B$1</f>
        <v>0.17927777777777784</v>
      </c>
      <c r="L12" s="42">
        <f t="shared" si="1"/>
        <v>0</v>
      </c>
      <c r="M12" s="42">
        <f t="shared" si="2"/>
        <v>0</v>
      </c>
      <c r="N12" s="42">
        <f t="shared" si="3"/>
        <v>0.54399999999999993</v>
      </c>
      <c r="O12" s="42">
        <f t="shared" si="10"/>
        <v>0.60444444444444434</v>
      </c>
      <c r="P12" s="42">
        <f t="shared" si="4"/>
        <v>1.8249999999999999E-2</v>
      </c>
    </row>
    <row r="13" spans="1:16" x14ac:dyDescent="0.3">
      <c r="A13" s="47">
        <f t="shared" si="11"/>
        <v>46023</v>
      </c>
      <c r="B13" s="49">
        <f t="shared" si="12"/>
        <v>0.10416666666666667</v>
      </c>
      <c r="C13" s="42">
        <f>'Leden data'!V12+P13</f>
        <v>0.52574999999999994</v>
      </c>
      <c r="D13" s="42">
        <f t="shared" si="5"/>
        <v>0</v>
      </c>
      <c r="E13" s="42">
        <f t="shared" si="6"/>
        <v>0</v>
      </c>
      <c r="F13" s="42">
        <f t="shared" si="7"/>
        <v>0</v>
      </c>
      <c r="G13" s="42">
        <f t="shared" si="8"/>
        <v>0</v>
      </c>
      <c r="H13" s="42">
        <f t="shared" si="9"/>
        <v>0.52574999999999994</v>
      </c>
      <c r="I13" s="42">
        <f t="shared" si="0"/>
        <v>-0.52574999999999994</v>
      </c>
      <c r="J13" s="43">
        <f>MIN('Výpočty '!$B$1*0.9, MAX('Výpočty '!$B$1*0.05, J12 + M13 - MIN(O13, MAX(0, J12 - ('Výpočty '!$B$1*0.1))) - P13))</f>
        <v>2.9628611111111125</v>
      </c>
      <c r="K13" s="46">
        <f>J13/'Výpočty '!$B$1</f>
        <v>0.14814305555555562</v>
      </c>
      <c r="L13" s="42">
        <f t="shared" si="1"/>
        <v>0</v>
      </c>
      <c r="M13" s="42">
        <f t="shared" si="2"/>
        <v>0</v>
      </c>
      <c r="N13" s="42">
        <f t="shared" si="3"/>
        <v>0.54399999999999993</v>
      </c>
      <c r="O13" s="42">
        <f t="shared" si="10"/>
        <v>0.60444444444444434</v>
      </c>
      <c r="P13" s="42">
        <f t="shared" si="4"/>
        <v>1.8249999999999999E-2</v>
      </c>
    </row>
    <row r="14" spans="1:16" x14ac:dyDescent="0.3">
      <c r="A14" s="47">
        <f t="shared" si="11"/>
        <v>46023</v>
      </c>
      <c r="B14" s="49">
        <f t="shared" si="12"/>
        <v>0.11458333333333334</v>
      </c>
      <c r="C14" s="42">
        <f>'Leden data'!V13+P14</f>
        <v>0.52574999999999994</v>
      </c>
      <c r="D14" s="42">
        <f t="shared" si="5"/>
        <v>0</v>
      </c>
      <c r="E14" s="42">
        <f t="shared" si="6"/>
        <v>0</v>
      </c>
      <c r="F14" s="42">
        <f t="shared" si="7"/>
        <v>0</v>
      </c>
      <c r="G14" s="42">
        <f t="shared" si="8"/>
        <v>0</v>
      </c>
      <c r="H14" s="42">
        <f t="shared" si="9"/>
        <v>0.52574999999999994</v>
      </c>
      <c r="I14" s="42">
        <f t="shared" si="0"/>
        <v>-0.52574999999999994</v>
      </c>
      <c r="J14" s="43">
        <f>MIN('Výpočty '!$B$1*0.9, MAX('Výpočty '!$B$1*0.05, J13 + M14 - MIN(O14, MAX(0, J13 - ('Výpočty '!$B$1*0.1))) - P14))</f>
        <v>2.3401666666666681</v>
      </c>
      <c r="K14" s="46">
        <f>J14/'Výpočty '!$B$1</f>
        <v>0.11700833333333341</v>
      </c>
      <c r="L14" s="42">
        <f t="shared" si="1"/>
        <v>0</v>
      </c>
      <c r="M14" s="42">
        <f t="shared" si="2"/>
        <v>0</v>
      </c>
      <c r="N14" s="42">
        <f t="shared" si="3"/>
        <v>0.54399999999999993</v>
      </c>
      <c r="O14" s="42">
        <f t="shared" si="10"/>
        <v>0.60444444444444434</v>
      </c>
      <c r="P14" s="42">
        <f t="shared" si="4"/>
        <v>1.8249999999999999E-2</v>
      </c>
    </row>
    <row r="15" spans="1:16" x14ac:dyDescent="0.3">
      <c r="A15" s="47">
        <f t="shared" si="11"/>
        <v>46023</v>
      </c>
      <c r="B15" s="49">
        <f t="shared" si="12"/>
        <v>0.125</v>
      </c>
      <c r="C15" s="42">
        <f>'Leden data'!V14+P15</f>
        <v>0.52574999999999994</v>
      </c>
      <c r="D15" s="42">
        <f t="shared" si="5"/>
        <v>0</v>
      </c>
      <c r="E15" s="42">
        <f t="shared" si="6"/>
        <v>0</v>
      </c>
      <c r="F15" s="42">
        <f t="shared" si="7"/>
        <v>0</v>
      </c>
      <c r="G15" s="42">
        <f t="shared" si="8"/>
        <v>0</v>
      </c>
      <c r="H15" s="42">
        <f t="shared" si="9"/>
        <v>0.52574999999999994</v>
      </c>
      <c r="I15" s="42">
        <f t="shared" si="0"/>
        <v>-0.52574999999999994</v>
      </c>
      <c r="J15" s="43">
        <f>MIN('Výpočty '!$B$1*0.9, MAX('Výpočty '!$B$1*0.05, J14 + M15 - MIN(O15, MAX(0, J14 - ('Výpočty '!$B$1*0.1))) - P15))</f>
        <v>1.9817499999999999</v>
      </c>
      <c r="K15" s="46">
        <f>J15/'Výpočty '!$B$1</f>
        <v>9.9087499999999995E-2</v>
      </c>
      <c r="L15" s="42">
        <f t="shared" si="1"/>
        <v>0</v>
      </c>
      <c r="M15" s="42">
        <f t="shared" si="2"/>
        <v>0</v>
      </c>
      <c r="N15" s="42">
        <f t="shared" si="3"/>
        <v>0.54399999999999993</v>
      </c>
      <c r="O15" s="42">
        <f t="shared" si="10"/>
        <v>0.60444444444444434</v>
      </c>
      <c r="P15" s="42">
        <f t="shared" si="4"/>
        <v>1.8249999999999999E-2</v>
      </c>
    </row>
    <row r="16" spans="1:16" x14ac:dyDescent="0.3">
      <c r="A16" s="47">
        <f t="shared" si="11"/>
        <v>46023</v>
      </c>
      <c r="B16" s="49">
        <f t="shared" si="12"/>
        <v>0.13541666666666666</v>
      </c>
      <c r="C16" s="42">
        <f>'Leden data'!V15+P16</f>
        <v>0.52574999999999994</v>
      </c>
      <c r="D16" s="42">
        <f t="shared" si="5"/>
        <v>0</v>
      </c>
      <c r="E16" s="42">
        <f t="shared" si="6"/>
        <v>0</v>
      </c>
      <c r="F16" s="42">
        <f t="shared" si="7"/>
        <v>0</v>
      </c>
      <c r="G16" s="42">
        <f t="shared" si="8"/>
        <v>0</v>
      </c>
      <c r="H16" s="42">
        <f t="shared" si="9"/>
        <v>0.52574999999999994</v>
      </c>
      <c r="I16" s="42">
        <f t="shared" si="0"/>
        <v>-0.52574999999999994</v>
      </c>
      <c r="J16" s="43">
        <f>MIN('Výpočty '!$B$1*0.9, MAX('Výpočty '!$B$1*0.05, J15 + M16 - MIN(O16, MAX(0, J15 - ('Výpočty '!$B$1*0.1))) - P16))</f>
        <v>1.9634999999999998</v>
      </c>
      <c r="K16" s="46">
        <f>J16/'Výpočty '!$B$1</f>
        <v>9.8174999999999985E-2</v>
      </c>
      <c r="L16" s="42">
        <f t="shared" si="1"/>
        <v>0</v>
      </c>
      <c r="M16" s="42">
        <f t="shared" si="2"/>
        <v>0</v>
      </c>
      <c r="N16" s="42">
        <f t="shared" si="3"/>
        <v>0.54399999999999993</v>
      </c>
      <c r="O16" s="42">
        <f t="shared" si="10"/>
        <v>0.60444444444444434</v>
      </c>
      <c r="P16" s="42">
        <f t="shared" si="4"/>
        <v>1.8249999999999999E-2</v>
      </c>
    </row>
    <row r="17" spans="1:16" x14ac:dyDescent="0.3">
      <c r="A17" s="47">
        <f t="shared" si="11"/>
        <v>46023</v>
      </c>
      <c r="B17" s="49">
        <f t="shared" si="12"/>
        <v>0.14583333333333331</v>
      </c>
      <c r="C17" s="42">
        <f>'Leden data'!V16+P17</f>
        <v>0.52574999999999994</v>
      </c>
      <c r="D17" s="42">
        <f t="shared" si="5"/>
        <v>0</v>
      </c>
      <c r="E17" s="42">
        <f t="shared" si="6"/>
        <v>0</v>
      </c>
      <c r="F17" s="42">
        <f t="shared" si="7"/>
        <v>0</v>
      </c>
      <c r="G17" s="42">
        <f t="shared" si="8"/>
        <v>0</v>
      </c>
      <c r="H17" s="42">
        <f t="shared" si="9"/>
        <v>0.52574999999999994</v>
      </c>
      <c r="I17" s="42">
        <f t="shared" si="0"/>
        <v>-0.52574999999999994</v>
      </c>
      <c r="J17" s="43">
        <f>MIN('Výpočty '!$B$1*0.9, MAX('Výpočty '!$B$1*0.05, J16 + M17 - MIN(O17, MAX(0, J16 - ('Výpočty '!$B$1*0.1))) - P17))</f>
        <v>1.9452499999999997</v>
      </c>
      <c r="K17" s="46">
        <f>J17/'Výpočty '!$B$1</f>
        <v>9.7262499999999988E-2</v>
      </c>
      <c r="L17" s="42">
        <f t="shared" si="1"/>
        <v>0</v>
      </c>
      <c r="M17" s="42">
        <f t="shared" si="2"/>
        <v>0</v>
      </c>
      <c r="N17" s="42">
        <f t="shared" si="3"/>
        <v>0.54399999999999993</v>
      </c>
      <c r="O17" s="42">
        <f t="shared" si="10"/>
        <v>0.60444444444444434</v>
      </c>
      <c r="P17" s="42">
        <f t="shared" si="4"/>
        <v>1.8249999999999999E-2</v>
      </c>
    </row>
    <row r="18" spans="1:16" x14ac:dyDescent="0.3">
      <c r="A18" s="47">
        <f t="shared" si="11"/>
        <v>46023</v>
      </c>
      <c r="B18" s="49">
        <f t="shared" si="12"/>
        <v>0.15624999999999997</v>
      </c>
      <c r="C18" s="42">
        <f>'Leden data'!V17+P18</f>
        <v>0.52574999999999994</v>
      </c>
      <c r="D18" s="42">
        <f t="shared" si="5"/>
        <v>0</v>
      </c>
      <c r="E18" s="42">
        <f t="shared" si="6"/>
        <v>0</v>
      </c>
      <c r="F18" s="42">
        <f t="shared" si="7"/>
        <v>0</v>
      </c>
      <c r="G18" s="42">
        <f t="shared" si="8"/>
        <v>0</v>
      </c>
      <c r="H18" s="42">
        <f t="shared" si="9"/>
        <v>0.52574999999999994</v>
      </c>
      <c r="I18" s="42">
        <f t="shared" si="0"/>
        <v>-0.52574999999999994</v>
      </c>
      <c r="J18" s="43">
        <f>MIN('Výpočty '!$B$1*0.9, MAX('Výpočty '!$B$1*0.05, J17 + M18 - MIN(O18, MAX(0, J17 - ('Výpočty '!$B$1*0.1))) - P18))</f>
        <v>1.9269999999999996</v>
      </c>
      <c r="K18" s="46">
        <f>J18/'Výpočty '!$B$1</f>
        <v>9.6349999999999977E-2</v>
      </c>
      <c r="L18" s="42">
        <f t="shared" si="1"/>
        <v>0</v>
      </c>
      <c r="M18" s="42">
        <f t="shared" si="2"/>
        <v>0</v>
      </c>
      <c r="N18" s="42">
        <f t="shared" si="3"/>
        <v>0.54399999999999993</v>
      </c>
      <c r="O18" s="42">
        <f t="shared" si="10"/>
        <v>0.60444444444444434</v>
      </c>
      <c r="P18" s="42">
        <f t="shared" si="4"/>
        <v>1.8249999999999999E-2</v>
      </c>
    </row>
    <row r="19" spans="1:16" x14ac:dyDescent="0.3">
      <c r="A19" s="47">
        <f t="shared" si="11"/>
        <v>46023</v>
      </c>
      <c r="B19" s="49">
        <f t="shared" si="12"/>
        <v>0.16666666666666663</v>
      </c>
      <c r="C19" s="42">
        <f>'Leden data'!V18+P19</f>
        <v>0.52574999999999994</v>
      </c>
      <c r="D19" s="42">
        <f t="shared" si="5"/>
        <v>0</v>
      </c>
      <c r="E19" s="42">
        <f t="shared" si="6"/>
        <v>0</v>
      </c>
      <c r="F19" s="42">
        <f t="shared" si="7"/>
        <v>0</v>
      </c>
      <c r="G19" s="42">
        <f t="shared" si="8"/>
        <v>0</v>
      </c>
      <c r="H19" s="42">
        <f t="shared" si="9"/>
        <v>0.52574999999999994</v>
      </c>
      <c r="I19" s="42">
        <f t="shared" si="0"/>
        <v>-0.52574999999999994</v>
      </c>
      <c r="J19" s="43">
        <f>MIN('Výpočty '!$B$1*0.9, MAX('Výpočty '!$B$1*0.05, J18 + M19 - MIN(O19, MAX(0, J18 - ('Výpočty '!$B$1*0.1))) - P19))</f>
        <v>1.9087499999999995</v>
      </c>
      <c r="K19" s="46">
        <f>J19/'Výpočty '!$B$1</f>
        <v>9.5437499999999981E-2</v>
      </c>
      <c r="L19" s="42">
        <f t="shared" si="1"/>
        <v>0</v>
      </c>
      <c r="M19" s="42">
        <f t="shared" si="2"/>
        <v>0</v>
      </c>
      <c r="N19" s="42">
        <f t="shared" si="3"/>
        <v>0.54399999999999993</v>
      </c>
      <c r="O19" s="42">
        <f t="shared" si="10"/>
        <v>0.60444444444444434</v>
      </c>
      <c r="P19" s="42">
        <f t="shared" si="4"/>
        <v>1.8249999999999999E-2</v>
      </c>
    </row>
    <row r="20" spans="1:16" x14ac:dyDescent="0.3">
      <c r="A20" s="47">
        <f t="shared" si="11"/>
        <v>46023</v>
      </c>
      <c r="B20" s="49">
        <f t="shared" si="12"/>
        <v>0.17708333333333329</v>
      </c>
      <c r="C20" s="42">
        <f>'Leden data'!V19+P20</f>
        <v>0.52574999999999994</v>
      </c>
      <c r="D20" s="42">
        <f t="shared" si="5"/>
        <v>0</v>
      </c>
      <c r="E20" s="42">
        <f t="shared" si="6"/>
        <v>0</v>
      </c>
      <c r="F20" s="42">
        <f t="shared" si="7"/>
        <v>0</v>
      </c>
      <c r="G20" s="42">
        <f t="shared" si="8"/>
        <v>0</v>
      </c>
      <c r="H20" s="42">
        <f t="shared" si="9"/>
        <v>0.52574999999999994</v>
      </c>
      <c r="I20" s="42">
        <f t="shared" si="0"/>
        <v>-0.52574999999999994</v>
      </c>
      <c r="J20" s="43">
        <f>MIN('Výpočty '!$B$1*0.9, MAX('Výpočty '!$B$1*0.05, J19 + M20 - MIN(O20, MAX(0, J19 - ('Výpočty '!$B$1*0.1))) - P20))</f>
        <v>1.8904999999999994</v>
      </c>
      <c r="K20" s="46">
        <f>J20/'Výpočty '!$B$1</f>
        <v>9.452499999999997E-2</v>
      </c>
      <c r="L20" s="42">
        <f t="shared" si="1"/>
        <v>0</v>
      </c>
      <c r="M20" s="42">
        <f t="shared" si="2"/>
        <v>0</v>
      </c>
      <c r="N20" s="42">
        <f t="shared" si="3"/>
        <v>0.54399999999999993</v>
      </c>
      <c r="O20" s="42">
        <f t="shared" si="10"/>
        <v>0.60444444444444434</v>
      </c>
      <c r="P20" s="42">
        <f t="shared" si="4"/>
        <v>1.8249999999999999E-2</v>
      </c>
    </row>
    <row r="21" spans="1:16" x14ac:dyDescent="0.3">
      <c r="A21" s="47">
        <f t="shared" si="11"/>
        <v>46023</v>
      </c>
      <c r="B21" s="49">
        <f t="shared" si="12"/>
        <v>0.18749999999999994</v>
      </c>
      <c r="C21" s="42">
        <f>'Leden data'!V20+P21</f>
        <v>0.52574999999999994</v>
      </c>
      <c r="D21" s="42">
        <f t="shared" si="5"/>
        <v>0</v>
      </c>
      <c r="E21" s="42">
        <f t="shared" si="6"/>
        <v>0</v>
      </c>
      <c r="F21" s="42">
        <f t="shared" si="7"/>
        <v>0</v>
      </c>
      <c r="G21" s="42">
        <f t="shared" si="8"/>
        <v>0</v>
      </c>
      <c r="H21" s="42">
        <f t="shared" si="9"/>
        <v>0.52574999999999994</v>
      </c>
      <c r="I21" s="42">
        <f t="shared" si="0"/>
        <v>-0.52574999999999994</v>
      </c>
      <c r="J21" s="43">
        <f>MIN('Výpočty '!$B$1*0.9, MAX('Výpočty '!$B$1*0.05, J20 + M21 - MIN(O21, MAX(0, J20 - ('Výpočty '!$B$1*0.1))) - P21))</f>
        <v>1.8722499999999993</v>
      </c>
      <c r="K21" s="46">
        <f>J21/'Výpočty '!$B$1</f>
        <v>9.361249999999996E-2</v>
      </c>
      <c r="L21" s="42">
        <f t="shared" si="1"/>
        <v>0</v>
      </c>
      <c r="M21" s="42">
        <f t="shared" si="2"/>
        <v>0</v>
      </c>
      <c r="N21" s="42">
        <f t="shared" si="3"/>
        <v>0.54399999999999993</v>
      </c>
      <c r="O21" s="42">
        <f t="shared" si="10"/>
        <v>0.60444444444444434</v>
      </c>
      <c r="P21" s="42">
        <f t="shared" si="4"/>
        <v>1.8249999999999999E-2</v>
      </c>
    </row>
    <row r="22" spans="1:16" x14ac:dyDescent="0.3">
      <c r="A22" s="47">
        <f t="shared" si="11"/>
        <v>46023</v>
      </c>
      <c r="B22" s="49">
        <f t="shared" si="12"/>
        <v>0.1979166666666666</v>
      </c>
      <c r="C22" s="42">
        <f>'Leden data'!V21+P22</f>
        <v>0.52574999999999994</v>
      </c>
      <c r="D22" s="42">
        <f t="shared" si="5"/>
        <v>0</v>
      </c>
      <c r="E22" s="42">
        <f t="shared" si="6"/>
        <v>0</v>
      </c>
      <c r="F22" s="42">
        <f t="shared" si="7"/>
        <v>0</v>
      </c>
      <c r="G22" s="42">
        <f t="shared" si="8"/>
        <v>0</v>
      </c>
      <c r="H22" s="42">
        <f t="shared" si="9"/>
        <v>0.52574999999999994</v>
      </c>
      <c r="I22" s="42">
        <f t="shared" si="0"/>
        <v>-0.52574999999999994</v>
      </c>
      <c r="J22" s="43">
        <f>MIN('Výpočty '!$B$1*0.9, MAX('Výpočty '!$B$1*0.05, J21 + M22 - MIN(O22, MAX(0, J21 - ('Výpočty '!$B$1*0.1))) - P22))</f>
        <v>1.8539999999999992</v>
      </c>
      <c r="K22" s="46">
        <f>J22/'Výpočty '!$B$1</f>
        <v>9.2699999999999963E-2</v>
      </c>
      <c r="L22" s="42">
        <f t="shared" si="1"/>
        <v>0</v>
      </c>
      <c r="M22" s="42">
        <f t="shared" si="2"/>
        <v>0</v>
      </c>
      <c r="N22" s="42">
        <f t="shared" si="3"/>
        <v>0.54399999999999993</v>
      </c>
      <c r="O22" s="42">
        <f t="shared" si="10"/>
        <v>0.60444444444444434</v>
      </c>
      <c r="P22" s="42">
        <f t="shared" si="4"/>
        <v>1.8249999999999999E-2</v>
      </c>
    </row>
    <row r="23" spans="1:16" x14ac:dyDescent="0.3">
      <c r="A23" s="47">
        <f t="shared" si="11"/>
        <v>46023</v>
      </c>
      <c r="B23" s="49">
        <f t="shared" si="12"/>
        <v>0.20833333333333326</v>
      </c>
      <c r="C23" s="42">
        <f>'Leden data'!V22+P23</f>
        <v>0.52574999999999994</v>
      </c>
      <c r="D23" s="42">
        <f t="shared" si="5"/>
        <v>0</v>
      </c>
      <c r="E23" s="42">
        <f t="shared" si="6"/>
        <v>0</v>
      </c>
      <c r="F23" s="42">
        <f t="shared" si="7"/>
        <v>0</v>
      </c>
      <c r="G23" s="42">
        <f t="shared" si="8"/>
        <v>0</v>
      </c>
      <c r="H23" s="42">
        <f t="shared" si="9"/>
        <v>0.52574999999999994</v>
      </c>
      <c r="I23" s="42">
        <f t="shared" si="0"/>
        <v>-0.52574999999999994</v>
      </c>
      <c r="J23" s="43">
        <f>MIN('Výpočty '!$B$1*0.9, MAX('Výpočty '!$B$1*0.05, J22 + M23 - MIN(O23, MAX(0, J22 - ('Výpočty '!$B$1*0.1))) - P23))</f>
        <v>1.8357499999999991</v>
      </c>
      <c r="K23" s="46">
        <f>J23/'Výpočty '!$B$1</f>
        <v>9.1787499999999952E-2</v>
      </c>
      <c r="L23" s="42">
        <f t="shared" si="1"/>
        <v>0</v>
      </c>
      <c r="M23" s="42">
        <f t="shared" si="2"/>
        <v>0</v>
      </c>
      <c r="N23" s="42">
        <f t="shared" si="3"/>
        <v>0.54399999999999993</v>
      </c>
      <c r="O23" s="42">
        <f t="shared" si="10"/>
        <v>0.60444444444444434</v>
      </c>
      <c r="P23" s="42">
        <f t="shared" si="4"/>
        <v>1.8249999999999999E-2</v>
      </c>
    </row>
    <row r="24" spans="1:16" x14ac:dyDescent="0.3">
      <c r="A24" s="47">
        <f t="shared" si="11"/>
        <v>46023</v>
      </c>
      <c r="B24" s="49">
        <f t="shared" si="12"/>
        <v>0.21874999999999992</v>
      </c>
      <c r="C24" s="42">
        <f>'Leden data'!V23+P24</f>
        <v>0.52574999999999994</v>
      </c>
      <c r="D24" s="42">
        <f t="shared" si="5"/>
        <v>0</v>
      </c>
      <c r="E24" s="42">
        <f t="shared" si="6"/>
        <v>0</v>
      </c>
      <c r="F24" s="42">
        <f t="shared" si="7"/>
        <v>0</v>
      </c>
      <c r="G24" s="42">
        <f t="shared" si="8"/>
        <v>0</v>
      </c>
      <c r="H24" s="42">
        <f t="shared" si="9"/>
        <v>0.52574999999999994</v>
      </c>
      <c r="I24" s="42">
        <f t="shared" si="0"/>
        <v>-0.52574999999999994</v>
      </c>
      <c r="J24" s="43">
        <f>MIN('Výpočty '!$B$1*0.9, MAX('Výpočty '!$B$1*0.05, J23 + M24 - MIN(O24, MAX(0, J23 - ('Výpočty '!$B$1*0.1))) - P24))</f>
        <v>1.817499999999999</v>
      </c>
      <c r="K24" s="46">
        <f>J24/'Výpočty '!$B$1</f>
        <v>9.0874999999999956E-2</v>
      </c>
      <c r="L24" s="42">
        <f t="shared" si="1"/>
        <v>0</v>
      </c>
      <c r="M24" s="42">
        <f t="shared" si="2"/>
        <v>0</v>
      </c>
      <c r="N24" s="42">
        <f t="shared" si="3"/>
        <v>0.54399999999999993</v>
      </c>
      <c r="O24" s="42">
        <f t="shared" si="10"/>
        <v>0.60444444444444434</v>
      </c>
      <c r="P24" s="42">
        <f t="shared" si="4"/>
        <v>1.8249999999999999E-2</v>
      </c>
    </row>
    <row r="25" spans="1:16" x14ac:dyDescent="0.3">
      <c r="A25" s="47">
        <f t="shared" si="11"/>
        <v>46023</v>
      </c>
      <c r="B25" s="49">
        <f t="shared" si="12"/>
        <v>0.22916666666666657</v>
      </c>
      <c r="C25" s="42">
        <f>'Leden data'!V24+P25</f>
        <v>0.52574999999999994</v>
      </c>
      <c r="D25" s="42">
        <f t="shared" si="5"/>
        <v>0</v>
      </c>
      <c r="E25" s="42">
        <f t="shared" si="6"/>
        <v>0</v>
      </c>
      <c r="F25" s="42">
        <f t="shared" si="7"/>
        <v>0</v>
      </c>
      <c r="G25" s="42">
        <f t="shared" si="8"/>
        <v>0</v>
      </c>
      <c r="H25" s="42">
        <f t="shared" si="9"/>
        <v>0.52574999999999994</v>
      </c>
      <c r="I25" s="42">
        <f t="shared" si="0"/>
        <v>-0.52574999999999994</v>
      </c>
      <c r="J25" s="43">
        <f>MIN('Výpočty '!$B$1*0.9, MAX('Výpočty '!$B$1*0.05, J24 + M25 - MIN(O25, MAX(0, J24 - ('Výpočty '!$B$1*0.1))) - P25))</f>
        <v>1.7992499999999989</v>
      </c>
      <c r="K25" s="46">
        <f>J25/'Výpočty '!$B$1</f>
        <v>8.9962499999999945E-2</v>
      </c>
      <c r="L25" s="42">
        <f t="shared" si="1"/>
        <v>0</v>
      </c>
      <c r="M25" s="42">
        <f t="shared" si="2"/>
        <v>0</v>
      </c>
      <c r="N25" s="42">
        <f t="shared" si="3"/>
        <v>0.54399999999999993</v>
      </c>
      <c r="O25" s="42">
        <f t="shared" si="10"/>
        <v>0.60444444444444434</v>
      </c>
      <c r="P25" s="42">
        <f t="shared" si="4"/>
        <v>1.8249999999999999E-2</v>
      </c>
    </row>
    <row r="26" spans="1:16" x14ac:dyDescent="0.3">
      <c r="A26" s="47">
        <f t="shared" si="11"/>
        <v>46023</v>
      </c>
      <c r="B26" s="49">
        <f t="shared" si="12"/>
        <v>0.23958333333333323</v>
      </c>
      <c r="C26" s="42">
        <f>'Leden data'!V25+P26</f>
        <v>0.53074999999999994</v>
      </c>
      <c r="D26" s="42">
        <f t="shared" si="5"/>
        <v>0</v>
      </c>
      <c r="E26" s="42">
        <f t="shared" si="6"/>
        <v>0</v>
      </c>
      <c r="F26" s="42">
        <f t="shared" si="7"/>
        <v>0</v>
      </c>
      <c r="G26" s="42">
        <f t="shared" si="8"/>
        <v>0</v>
      </c>
      <c r="H26" s="42">
        <f t="shared" si="9"/>
        <v>0.53074999999999994</v>
      </c>
      <c r="I26" s="42">
        <f t="shared" si="0"/>
        <v>-0.53074999999999994</v>
      </c>
      <c r="J26" s="43">
        <f>MIN('Výpočty '!$B$1*0.9, MAX('Výpočty '!$B$1*0.05, J25 + M26 - MIN(O26, MAX(0, J25 - ('Výpočty '!$B$1*0.1))) - P26))</f>
        <v>1.7809999999999988</v>
      </c>
      <c r="K26" s="46">
        <f>J26/'Výpočty '!$B$1</f>
        <v>8.9049999999999935E-2</v>
      </c>
      <c r="L26" s="42">
        <f t="shared" si="1"/>
        <v>0</v>
      </c>
      <c r="M26" s="42">
        <f t="shared" si="2"/>
        <v>0</v>
      </c>
      <c r="N26" s="42">
        <f t="shared" si="3"/>
        <v>0.54899999999999993</v>
      </c>
      <c r="O26" s="42">
        <f t="shared" si="10"/>
        <v>0.60999999999999988</v>
      </c>
      <c r="P26" s="42">
        <f t="shared" si="4"/>
        <v>1.8249999999999999E-2</v>
      </c>
    </row>
    <row r="27" spans="1:16" x14ac:dyDescent="0.3">
      <c r="A27" s="47">
        <f t="shared" si="11"/>
        <v>46023</v>
      </c>
      <c r="B27" s="49">
        <f t="shared" si="12"/>
        <v>0.24999999999999989</v>
      </c>
      <c r="C27" s="42">
        <f>'Leden data'!V26+P27</f>
        <v>0.53174999999999994</v>
      </c>
      <c r="D27" s="42">
        <f t="shared" si="5"/>
        <v>0</v>
      </c>
      <c r="E27" s="42">
        <f t="shared" si="6"/>
        <v>0</v>
      </c>
      <c r="F27" s="42">
        <f t="shared" si="7"/>
        <v>0</v>
      </c>
      <c r="G27" s="42">
        <f t="shared" si="8"/>
        <v>0</v>
      </c>
      <c r="H27" s="42">
        <f t="shared" si="9"/>
        <v>0.53174999999999994</v>
      </c>
      <c r="I27" s="42">
        <f t="shared" si="0"/>
        <v>-0.53174999999999994</v>
      </c>
      <c r="J27" s="43">
        <f>MIN('Výpočty '!$B$1*0.9, MAX('Výpočty '!$B$1*0.05, J26 + M27 - MIN(O27, MAX(0, J26 - ('Výpočty '!$B$1*0.1))) - P27))</f>
        <v>1.7627499999999987</v>
      </c>
      <c r="K27" s="46">
        <f>J27/'Výpočty '!$B$1</f>
        <v>8.8137499999999938E-2</v>
      </c>
      <c r="L27" s="42">
        <f t="shared" si="1"/>
        <v>0</v>
      </c>
      <c r="M27" s="42">
        <f t="shared" si="2"/>
        <v>0</v>
      </c>
      <c r="N27" s="42">
        <f t="shared" si="3"/>
        <v>0.54999999999999993</v>
      </c>
      <c r="O27" s="42">
        <f t="shared" si="10"/>
        <v>0.61111111111111105</v>
      </c>
      <c r="P27" s="42">
        <f t="shared" si="4"/>
        <v>1.8249999999999999E-2</v>
      </c>
    </row>
    <row r="28" spans="1:16" x14ac:dyDescent="0.3">
      <c r="A28" s="47">
        <f t="shared" si="11"/>
        <v>46023</v>
      </c>
      <c r="B28" s="49">
        <f t="shared" si="12"/>
        <v>0.26041666666666657</v>
      </c>
      <c r="C28" s="42">
        <f>'Leden data'!V27+P28</f>
        <v>0.54074999999999995</v>
      </c>
      <c r="D28" s="42">
        <f t="shared" si="5"/>
        <v>0</v>
      </c>
      <c r="E28" s="42">
        <f t="shared" si="6"/>
        <v>0</v>
      </c>
      <c r="F28" s="42">
        <f t="shared" si="7"/>
        <v>0</v>
      </c>
      <c r="G28" s="42">
        <f t="shared" si="8"/>
        <v>0</v>
      </c>
      <c r="H28" s="42">
        <f t="shared" si="9"/>
        <v>0.54074999999999995</v>
      </c>
      <c r="I28" s="42">
        <f t="shared" si="0"/>
        <v>-0.54074999999999995</v>
      </c>
      <c r="J28" s="43">
        <f>MIN('Výpočty '!$B$1*0.9, MAX('Výpočty '!$B$1*0.05, J27 + M28 - MIN(O28, MAX(0, J27 - ('Výpočty '!$B$1*0.1))) - P28))</f>
        <v>1.7444999999999986</v>
      </c>
      <c r="K28" s="46">
        <f>J28/'Výpočty '!$B$1</f>
        <v>8.7224999999999928E-2</v>
      </c>
      <c r="L28" s="42">
        <f t="shared" si="1"/>
        <v>0</v>
      </c>
      <c r="M28" s="42">
        <f t="shared" si="2"/>
        <v>0</v>
      </c>
      <c r="N28" s="42">
        <f t="shared" si="3"/>
        <v>0.55899999999999994</v>
      </c>
      <c r="O28" s="42">
        <f t="shared" si="10"/>
        <v>0.62111111111111106</v>
      </c>
      <c r="P28" s="42">
        <f t="shared" si="4"/>
        <v>1.8249999999999999E-2</v>
      </c>
    </row>
    <row r="29" spans="1:16" x14ac:dyDescent="0.3">
      <c r="A29" s="47">
        <f t="shared" si="11"/>
        <v>46023</v>
      </c>
      <c r="B29" s="49">
        <f t="shared" si="12"/>
        <v>0.27083333333333326</v>
      </c>
      <c r="C29" s="42">
        <f>'Leden data'!V28+P29</f>
        <v>0.73324999999999996</v>
      </c>
      <c r="D29" s="42">
        <f t="shared" si="5"/>
        <v>0</v>
      </c>
      <c r="E29" s="42">
        <f t="shared" si="6"/>
        <v>0</v>
      </c>
      <c r="F29" s="42">
        <f t="shared" si="7"/>
        <v>0</v>
      </c>
      <c r="G29" s="42">
        <f t="shared" si="8"/>
        <v>0</v>
      </c>
      <c r="H29" s="42">
        <f t="shared" si="9"/>
        <v>0.73324999999999996</v>
      </c>
      <c r="I29" s="42">
        <f t="shared" si="0"/>
        <v>-0.73324999999999996</v>
      </c>
      <c r="J29" s="43">
        <f>MIN('Výpočty '!$B$1*0.9, MAX('Výpočty '!$B$1*0.05, J28 + M29 - MIN(O29, MAX(0, J28 - ('Výpočty '!$B$1*0.1))) - P29))</f>
        <v>1.7262499999999985</v>
      </c>
      <c r="K29" s="46">
        <f>J29/'Výpočty '!$B$1</f>
        <v>8.6312499999999931E-2</v>
      </c>
      <c r="L29" s="42">
        <f t="shared" si="1"/>
        <v>0</v>
      </c>
      <c r="M29" s="42">
        <f t="shared" si="2"/>
        <v>0</v>
      </c>
      <c r="N29" s="42">
        <f t="shared" si="3"/>
        <v>0.74449999999999861</v>
      </c>
      <c r="O29" s="42">
        <f t="shared" si="10"/>
        <v>0.82722222222222064</v>
      </c>
      <c r="P29" s="42">
        <f t="shared" si="4"/>
        <v>1.8249999999999999E-2</v>
      </c>
    </row>
    <row r="30" spans="1:16" x14ac:dyDescent="0.3">
      <c r="A30" s="47">
        <f t="shared" si="11"/>
        <v>46023</v>
      </c>
      <c r="B30" s="49">
        <f t="shared" si="12"/>
        <v>0.28124999999999994</v>
      </c>
      <c r="C30" s="42">
        <f>'Leden data'!V29+P30</f>
        <v>2.9157500000000001</v>
      </c>
      <c r="D30" s="42">
        <f t="shared" si="5"/>
        <v>0</v>
      </c>
      <c r="E30" s="42">
        <f t="shared" si="6"/>
        <v>0</v>
      </c>
      <c r="F30" s="42">
        <f t="shared" si="7"/>
        <v>2.1895000000000016</v>
      </c>
      <c r="G30" s="42">
        <f t="shared" si="8"/>
        <v>0</v>
      </c>
      <c r="H30" s="42">
        <f t="shared" si="9"/>
        <v>0.72624999999999851</v>
      </c>
      <c r="I30" s="42">
        <f t="shared" si="0"/>
        <v>-2.9157500000000001</v>
      </c>
      <c r="J30" s="43">
        <f>MIN('Výpočty '!$B$1*0.9, MAX('Výpočty '!$B$1*0.05, J29 + M30 - MIN(O30, MAX(0, J29 - ('Výpočty '!$B$1*0.1))) - P30))</f>
        <v>1.7079999999999984</v>
      </c>
      <c r="K30" s="46">
        <f>J30/'Výpočty '!$B$1</f>
        <v>8.539999999999992E-2</v>
      </c>
      <c r="L30" s="42">
        <f t="shared" si="1"/>
        <v>0</v>
      </c>
      <c r="M30" s="42">
        <f t="shared" si="2"/>
        <v>0</v>
      </c>
      <c r="N30" s="42">
        <f t="shared" si="3"/>
        <v>0.72624999999999851</v>
      </c>
      <c r="O30" s="42">
        <f t="shared" si="10"/>
        <v>0.8069444444444428</v>
      </c>
      <c r="P30" s="42">
        <f t="shared" si="4"/>
        <v>1.8249999999999999E-2</v>
      </c>
    </row>
    <row r="31" spans="1:16" x14ac:dyDescent="0.3">
      <c r="A31" s="47">
        <f t="shared" si="11"/>
        <v>46023</v>
      </c>
      <c r="B31" s="49">
        <f t="shared" si="12"/>
        <v>0.29166666666666663</v>
      </c>
      <c r="C31" s="42">
        <f>'Leden data'!V30+P31</f>
        <v>2.5467500000000003</v>
      </c>
      <c r="D31" s="42">
        <f t="shared" si="5"/>
        <v>0</v>
      </c>
      <c r="E31" s="42">
        <f t="shared" si="6"/>
        <v>0</v>
      </c>
      <c r="F31" s="42">
        <f t="shared" si="7"/>
        <v>1.8387500000000019</v>
      </c>
      <c r="G31" s="42">
        <f t="shared" si="8"/>
        <v>0</v>
      </c>
      <c r="H31" s="42">
        <f t="shared" si="9"/>
        <v>0.70799999999999841</v>
      </c>
      <c r="I31" s="42">
        <f t="shared" si="0"/>
        <v>-2.5467500000000003</v>
      </c>
      <c r="J31" s="43">
        <f>MIN('Výpočty '!$B$1*0.9, MAX('Výpočty '!$B$1*0.05, J30 + M31 - MIN(O31, MAX(0, J30 - ('Výpočty '!$B$1*0.1))) - P31))</f>
        <v>1.6897499999999983</v>
      </c>
      <c r="K31" s="46">
        <f>J31/'Výpočty '!$B$1</f>
        <v>8.448749999999991E-2</v>
      </c>
      <c r="L31" s="42">
        <f t="shared" si="1"/>
        <v>0</v>
      </c>
      <c r="M31" s="42">
        <f t="shared" si="2"/>
        <v>0</v>
      </c>
      <c r="N31" s="42">
        <f t="shared" si="3"/>
        <v>0.70799999999999841</v>
      </c>
      <c r="O31" s="42">
        <f t="shared" si="10"/>
        <v>0.78666666666666485</v>
      </c>
      <c r="P31" s="42">
        <f t="shared" si="4"/>
        <v>1.8249999999999999E-2</v>
      </c>
    </row>
    <row r="32" spans="1:16" x14ac:dyDescent="0.3">
      <c r="A32" s="47">
        <f t="shared" si="11"/>
        <v>46023</v>
      </c>
      <c r="B32" s="49">
        <f t="shared" si="12"/>
        <v>0.30208333333333331</v>
      </c>
      <c r="C32" s="42">
        <f>'Leden data'!V31+P32</f>
        <v>0.54674999999999996</v>
      </c>
      <c r="D32" s="42">
        <f t="shared" si="5"/>
        <v>0</v>
      </c>
      <c r="E32" s="42">
        <f t="shared" si="6"/>
        <v>0</v>
      </c>
      <c r="F32" s="42">
        <f t="shared" si="7"/>
        <v>0</v>
      </c>
      <c r="G32" s="42">
        <f t="shared" si="8"/>
        <v>0</v>
      </c>
      <c r="H32" s="42">
        <f t="shared" si="9"/>
        <v>0.54674999999999996</v>
      </c>
      <c r="I32" s="42">
        <f t="shared" si="0"/>
        <v>-0.54674999999999996</v>
      </c>
      <c r="J32" s="43">
        <f>MIN('Výpočty '!$B$1*0.9, MAX('Výpočty '!$B$1*0.05, J31 + M32 - MIN(O32, MAX(0, J31 - ('Výpočty '!$B$1*0.1))) - P32))</f>
        <v>1.6714999999999982</v>
      </c>
      <c r="K32" s="46">
        <f>J32/'Výpočty '!$B$1</f>
        <v>8.3574999999999913E-2</v>
      </c>
      <c r="L32" s="42">
        <f t="shared" si="1"/>
        <v>0</v>
      </c>
      <c r="M32" s="42">
        <f t="shared" si="2"/>
        <v>0</v>
      </c>
      <c r="N32" s="42">
        <f t="shared" si="3"/>
        <v>0.56499999999999995</v>
      </c>
      <c r="O32" s="42">
        <f t="shared" si="10"/>
        <v>0.62777777777777766</v>
      </c>
      <c r="P32" s="42">
        <f t="shared" si="4"/>
        <v>1.8249999999999999E-2</v>
      </c>
    </row>
    <row r="33" spans="1:16" x14ac:dyDescent="0.3">
      <c r="A33" s="47">
        <f t="shared" si="11"/>
        <v>46023</v>
      </c>
      <c r="B33" s="49">
        <f t="shared" si="12"/>
        <v>0.3125</v>
      </c>
      <c r="C33" s="42">
        <f>'Leden data'!V32+P33</f>
        <v>0.59675</v>
      </c>
      <c r="D33" s="42">
        <f t="shared" si="5"/>
        <v>0</v>
      </c>
      <c r="E33" s="42">
        <f t="shared" si="6"/>
        <v>0</v>
      </c>
      <c r="F33" s="42">
        <f t="shared" si="7"/>
        <v>0</v>
      </c>
      <c r="G33" s="42">
        <f t="shared" si="8"/>
        <v>0</v>
      </c>
      <c r="H33" s="42">
        <f t="shared" si="9"/>
        <v>0.59675</v>
      </c>
      <c r="I33" s="42">
        <f t="shared" si="0"/>
        <v>-0.59675</v>
      </c>
      <c r="J33" s="43">
        <f>MIN('Výpočty '!$B$1*0.9, MAX('Výpočty '!$B$1*0.05, J32 + M33 - MIN(O33, MAX(0, J32 - ('Výpočty '!$B$1*0.1))) - P33))</f>
        <v>1.6532499999999981</v>
      </c>
      <c r="K33" s="46">
        <f>J33/'Výpočty '!$B$1</f>
        <v>8.2662499999999903E-2</v>
      </c>
      <c r="L33" s="42">
        <f t="shared" si="1"/>
        <v>0</v>
      </c>
      <c r="M33" s="42">
        <f t="shared" si="2"/>
        <v>0</v>
      </c>
      <c r="N33" s="42">
        <f t="shared" si="3"/>
        <v>0.61499999999999999</v>
      </c>
      <c r="O33" s="42">
        <f t="shared" si="10"/>
        <v>0.68333333333333335</v>
      </c>
      <c r="P33" s="42">
        <f t="shared" si="4"/>
        <v>1.8249999999999999E-2</v>
      </c>
    </row>
    <row r="34" spans="1:16" x14ac:dyDescent="0.3">
      <c r="A34" s="47">
        <f t="shared" si="11"/>
        <v>46023</v>
      </c>
      <c r="B34" s="49">
        <f t="shared" si="12"/>
        <v>0.32291666666666669</v>
      </c>
      <c r="C34" s="42">
        <f>'Leden data'!V33+P34</f>
        <v>0.53374999999999995</v>
      </c>
      <c r="D34" s="42">
        <f t="shared" si="5"/>
        <v>0</v>
      </c>
      <c r="E34" s="42">
        <f t="shared" si="6"/>
        <v>0</v>
      </c>
      <c r="F34" s="42">
        <f t="shared" si="7"/>
        <v>0</v>
      </c>
      <c r="G34" s="42">
        <f t="shared" si="8"/>
        <v>0</v>
      </c>
      <c r="H34" s="42">
        <f t="shared" si="9"/>
        <v>0.53374999999999995</v>
      </c>
      <c r="I34" s="42">
        <f t="shared" si="0"/>
        <v>-0.53374999999999995</v>
      </c>
      <c r="J34" s="43">
        <f>MIN('Výpočty '!$B$1*0.9, MAX('Výpočty '!$B$1*0.05, J33 + M34 - MIN(O34, MAX(0, J33 - ('Výpočty '!$B$1*0.1))) - P34))</f>
        <v>1.634999999999998</v>
      </c>
      <c r="K34" s="46">
        <f>J34/'Výpočty '!$B$1</f>
        <v>8.1749999999999906E-2</v>
      </c>
      <c r="L34" s="42">
        <f t="shared" si="1"/>
        <v>0</v>
      </c>
      <c r="M34" s="42">
        <f t="shared" si="2"/>
        <v>0</v>
      </c>
      <c r="N34" s="42">
        <f t="shared" si="3"/>
        <v>0.55199999999999994</v>
      </c>
      <c r="O34" s="42">
        <f t="shared" si="10"/>
        <v>0.61333333333333329</v>
      </c>
      <c r="P34" s="42">
        <f t="shared" si="4"/>
        <v>1.8249999999999999E-2</v>
      </c>
    </row>
    <row r="35" spans="1:16" x14ac:dyDescent="0.3">
      <c r="A35" s="47">
        <f t="shared" si="11"/>
        <v>46023</v>
      </c>
      <c r="B35" s="49">
        <f t="shared" si="12"/>
        <v>0.33333333333333337</v>
      </c>
      <c r="C35" s="42">
        <f>'Leden data'!V34+P35</f>
        <v>0.53374999999999995</v>
      </c>
      <c r="D35" s="42">
        <f t="shared" si="5"/>
        <v>1E-3</v>
      </c>
      <c r="E35" s="42">
        <f t="shared" si="6"/>
        <v>1E-3</v>
      </c>
      <c r="F35" s="42">
        <f t="shared" si="7"/>
        <v>0</v>
      </c>
      <c r="G35" s="42">
        <f t="shared" si="8"/>
        <v>0</v>
      </c>
      <c r="H35" s="42">
        <f t="shared" si="9"/>
        <v>0.53274999999999995</v>
      </c>
      <c r="I35" s="42">
        <f t="shared" si="0"/>
        <v>-0.53274999999999995</v>
      </c>
      <c r="J35" s="43">
        <f>MIN('Výpočty '!$B$1*0.9, MAX('Výpočty '!$B$1*0.05, J34 + M35 - MIN(O35, MAX(0, J34 - ('Výpočty '!$B$1*0.1))) - P35))</f>
        <v>1.6167499999999979</v>
      </c>
      <c r="K35" s="46">
        <f>J35/'Výpočty '!$B$1</f>
        <v>8.0837499999999896E-2</v>
      </c>
      <c r="L35" s="42">
        <f t="shared" ref="L35:L66" si="13">M35 * Účinnost_cyklu</f>
        <v>0</v>
      </c>
      <c r="M35" s="42">
        <f t="shared" ref="M35:M66" si="14">MIN(MAX(0, I35), MAX(0, Kapacita_baterie * Soc_Max - J34) / Účinnost_cyklu, Stridac_limit)</f>
        <v>0</v>
      </c>
      <c r="N35" s="42">
        <f t="shared" ref="N35:N66" si="15">MAX(0, MIN(J34 - (Kapacita_baterie * Soc_Kriticke), C35 - D35 + P35))</f>
        <v>0.55099999999999993</v>
      </c>
      <c r="O35" s="42">
        <f t="shared" ref="O35:O66" si="16">N35 / Účinnost_cyklu</f>
        <v>0.61222222222222211</v>
      </c>
      <c r="P35" s="42">
        <f t="shared" ref="P35:P66" si="17">Vlastní_Spotřeba_kWh</f>
        <v>1.8249999999999999E-2</v>
      </c>
    </row>
    <row r="36" spans="1:16" x14ac:dyDescent="0.3">
      <c r="A36" s="47">
        <f t="shared" si="11"/>
        <v>46023</v>
      </c>
      <c r="B36" s="49">
        <f t="shared" si="12"/>
        <v>0.34375000000000006</v>
      </c>
      <c r="C36" s="42">
        <f>'Leden data'!V35+P36</f>
        <v>2.5749999999999999E-2</v>
      </c>
      <c r="D36" s="42">
        <f t="shared" si="5"/>
        <v>2E-3</v>
      </c>
      <c r="E36" s="42">
        <f t="shared" si="6"/>
        <v>2E-3</v>
      </c>
      <c r="F36" s="42">
        <f t="shared" si="7"/>
        <v>0</v>
      </c>
      <c r="G36" s="42">
        <f t="shared" si="8"/>
        <v>0</v>
      </c>
      <c r="H36" s="42">
        <f t="shared" si="9"/>
        <v>2.375E-2</v>
      </c>
      <c r="I36" s="42">
        <f t="shared" si="0"/>
        <v>-2.375E-2</v>
      </c>
      <c r="J36" s="43">
        <f>MIN('Výpočty '!$B$1*0.9, MAX('Výpočty '!$B$1*0.05, J35 + M36 - MIN(O36, MAX(0, J35 - ('Výpočty '!$B$1*0.1))) - P36))</f>
        <v>1.5984999999999978</v>
      </c>
      <c r="K36" s="46">
        <f>J36/'Výpočty '!$B$1</f>
        <v>7.9924999999999885E-2</v>
      </c>
      <c r="L36" s="42">
        <f t="shared" si="13"/>
        <v>0</v>
      </c>
      <c r="M36" s="42">
        <f t="shared" si="14"/>
        <v>0</v>
      </c>
      <c r="N36" s="42">
        <f t="shared" si="15"/>
        <v>4.1999999999999996E-2</v>
      </c>
      <c r="O36" s="42">
        <f t="shared" si="16"/>
        <v>4.6666666666666662E-2</v>
      </c>
      <c r="P36" s="42">
        <f t="shared" si="17"/>
        <v>1.8249999999999999E-2</v>
      </c>
    </row>
    <row r="37" spans="1:16" x14ac:dyDescent="0.3">
      <c r="A37" s="47">
        <f t="shared" si="11"/>
        <v>46023</v>
      </c>
      <c r="B37" s="49">
        <f t="shared" si="12"/>
        <v>0.35416666666666674</v>
      </c>
      <c r="C37" s="42">
        <f>'Leden data'!V36+P37</f>
        <v>2.5749999999999999E-2</v>
      </c>
      <c r="D37" s="42">
        <f t="shared" si="5"/>
        <v>5.0000000000000001E-3</v>
      </c>
      <c r="E37" s="42">
        <f t="shared" si="6"/>
        <v>5.0000000000000001E-3</v>
      </c>
      <c r="F37" s="42">
        <f t="shared" si="7"/>
        <v>0</v>
      </c>
      <c r="G37" s="42">
        <f t="shared" si="8"/>
        <v>0</v>
      </c>
      <c r="H37" s="42">
        <f t="shared" si="9"/>
        <v>2.0749999999999998E-2</v>
      </c>
      <c r="I37" s="42">
        <f t="shared" si="0"/>
        <v>-2.0749999999999998E-2</v>
      </c>
      <c r="J37" s="43">
        <f>MIN('Výpočty '!$B$1*0.9, MAX('Výpočty '!$B$1*0.05, J36 + M37 - MIN(O37, MAX(0, J36 - ('Výpočty '!$B$1*0.1))) - P37))</f>
        <v>1.5802499999999977</v>
      </c>
      <c r="K37" s="46">
        <f>J37/'Výpočty '!$B$1</f>
        <v>7.9012499999999888E-2</v>
      </c>
      <c r="L37" s="42">
        <f t="shared" si="13"/>
        <v>0</v>
      </c>
      <c r="M37" s="42">
        <f t="shared" si="14"/>
        <v>0</v>
      </c>
      <c r="N37" s="42">
        <f t="shared" si="15"/>
        <v>3.8999999999999993E-2</v>
      </c>
      <c r="O37" s="42">
        <f t="shared" si="16"/>
        <v>4.3333333333333328E-2</v>
      </c>
      <c r="P37" s="42">
        <f t="shared" si="17"/>
        <v>1.8249999999999999E-2</v>
      </c>
    </row>
    <row r="38" spans="1:16" x14ac:dyDescent="0.3">
      <c r="A38" s="47">
        <f t="shared" si="11"/>
        <v>46023</v>
      </c>
      <c r="B38" s="49">
        <f t="shared" si="12"/>
        <v>0.36458333333333343</v>
      </c>
      <c r="C38" s="42">
        <f>'Leden data'!V37+P38</f>
        <v>2.5749999999999999E-2</v>
      </c>
      <c r="D38" s="42">
        <f t="shared" si="5"/>
        <v>1.0999999999999999E-2</v>
      </c>
      <c r="E38" s="42">
        <f t="shared" si="6"/>
        <v>1.0999999999999999E-2</v>
      </c>
      <c r="F38" s="42">
        <f t="shared" si="7"/>
        <v>0</v>
      </c>
      <c r="G38" s="42">
        <f t="shared" si="8"/>
        <v>0</v>
      </c>
      <c r="H38" s="42">
        <f t="shared" si="9"/>
        <v>1.4749999999999999E-2</v>
      </c>
      <c r="I38" s="42">
        <f t="shared" si="0"/>
        <v>-1.4749999999999999E-2</v>
      </c>
      <c r="J38" s="43">
        <f>MIN('Výpočty '!$B$1*0.9, MAX('Výpočty '!$B$1*0.05, J37 + M38 - MIN(O38, MAX(0, J37 - ('Výpočty '!$B$1*0.1))) - P38))</f>
        <v>1.5619999999999976</v>
      </c>
      <c r="K38" s="46">
        <f>J38/'Výpočty '!$B$1</f>
        <v>7.8099999999999878E-2</v>
      </c>
      <c r="L38" s="42">
        <f t="shared" si="13"/>
        <v>0</v>
      </c>
      <c r="M38" s="42">
        <f t="shared" si="14"/>
        <v>0</v>
      </c>
      <c r="N38" s="42">
        <f t="shared" si="15"/>
        <v>3.3000000000000002E-2</v>
      </c>
      <c r="O38" s="42">
        <f t="shared" si="16"/>
        <v>3.6666666666666667E-2</v>
      </c>
      <c r="P38" s="42">
        <f t="shared" si="17"/>
        <v>1.8249999999999999E-2</v>
      </c>
    </row>
    <row r="39" spans="1:16" x14ac:dyDescent="0.3">
      <c r="A39" s="47">
        <f t="shared" si="11"/>
        <v>46023</v>
      </c>
      <c r="B39" s="49">
        <f t="shared" si="12"/>
        <v>0.37500000000000011</v>
      </c>
      <c r="C39" s="42">
        <f>'Leden data'!V38+P39</f>
        <v>2.5749999999999999E-2</v>
      </c>
      <c r="D39" s="42">
        <f t="shared" si="5"/>
        <v>2.4E-2</v>
      </c>
      <c r="E39" s="42">
        <f t="shared" si="6"/>
        <v>2.4E-2</v>
      </c>
      <c r="F39" s="42">
        <f t="shared" si="7"/>
        <v>0</v>
      </c>
      <c r="G39" s="42">
        <f t="shared" si="8"/>
        <v>0</v>
      </c>
      <c r="H39" s="42">
        <f t="shared" si="9"/>
        <v>1.7499999999999981E-3</v>
      </c>
      <c r="I39" s="42">
        <f t="shared" si="0"/>
        <v>-1.7499999999999981E-3</v>
      </c>
      <c r="J39" s="43">
        <f>MIN('Výpočty '!$B$1*0.9, MAX('Výpočty '!$B$1*0.05, J38 + M39 - MIN(O39, MAX(0, J38 - ('Výpočty '!$B$1*0.1))) - P39))</f>
        <v>1.5437499999999975</v>
      </c>
      <c r="K39" s="46">
        <f>J39/'Výpočty '!$B$1</f>
        <v>7.7187499999999881E-2</v>
      </c>
      <c r="L39" s="42">
        <f t="shared" si="13"/>
        <v>0</v>
      </c>
      <c r="M39" s="42">
        <f t="shared" si="14"/>
        <v>0</v>
      </c>
      <c r="N39" s="42">
        <f t="shared" si="15"/>
        <v>1.9999999999999997E-2</v>
      </c>
      <c r="O39" s="42">
        <f t="shared" si="16"/>
        <v>2.222222222222222E-2</v>
      </c>
      <c r="P39" s="42">
        <f t="shared" si="17"/>
        <v>1.8249999999999999E-2</v>
      </c>
    </row>
    <row r="40" spans="1:16" x14ac:dyDescent="0.3">
      <c r="A40" s="47">
        <f t="shared" si="11"/>
        <v>46023</v>
      </c>
      <c r="B40" s="49">
        <f t="shared" si="12"/>
        <v>0.3854166666666668</v>
      </c>
      <c r="C40" s="42">
        <f>'Leden data'!V39+P40</f>
        <v>2.5749999999999999E-2</v>
      </c>
      <c r="D40" s="42">
        <f t="shared" si="5"/>
        <v>2.5749999999999999E-2</v>
      </c>
      <c r="E40" s="42">
        <f t="shared" si="6"/>
        <v>4.8000000000000001E-2</v>
      </c>
      <c r="F40" s="42">
        <f t="shared" si="7"/>
        <v>0</v>
      </c>
      <c r="G40" s="42">
        <f t="shared" si="8"/>
        <v>0</v>
      </c>
      <c r="H40" s="42">
        <f t="shared" si="9"/>
        <v>0</v>
      </c>
      <c r="I40" s="42">
        <f t="shared" si="0"/>
        <v>2.2250000000000002E-2</v>
      </c>
      <c r="J40" s="43">
        <f>MIN('Výpočty '!$B$1*0.9, MAX('Výpočty '!$B$1*0.05, J39 + M40 - MIN(O40, MAX(0, J39 - ('Výpočty '!$B$1*0.1))) - P40))</f>
        <v>1.5477499999999975</v>
      </c>
      <c r="K40" s="46">
        <f>J40/'Výpočty '!$B$1</f>
        <v>7.7387499999999873E-2</v>
      </c>
      <c r="L40" s="42">
        <f t="shared" si="13"/>
        <v>2.0025000000000001E-2</v>
      </c>
      <c r="M40" s="42">
        <f t="shared" si="14"/>
        <v>2.2250000000000002E-2</v>
      </c>
      <c r="N40" s="42">
        <f t="shared" si="15"/>
        <v>1.8249999999999999E-2</v>
      </c>
      <c r="O40" s="42">
        <f t="shared" si="16"/>
        <v>2.0277777777777777E-2</v>
      </c>
      <c r="P40" s="42">
        <f t="shared" si="17"/>
        <v>1.8249999999999999E-2</v>
      </c>
    </row>
    <row r="41" spans="1:16" x14ac:dyDescent="0.3">
      <c r="A41" s="47">
        <f t="shared" si="11"/>
        <v>46023</v>
      </c>
      <c r="B41" s="49">
        <f t="shared" si="12"/>
        <v>0.39583333333333348</v>
      </c>
      <c r="C41" s="42">
        <f>'Leden data'!V40+P41</f>
        <v>2.5749999999999999E-2</v>
      </c>
      <c r="D41" s="42">
        <f t="shared" si="5"/>
        <v>2.5749999999999999E-2</v>
      </c>
      <c r="E41" s="42">
        <f t="shared" si="6"/>
        <v>9.2999999999999999E-2</v>
      </c>
      <c r="F41" s="42">
        <f t="shared" si="7"/>
        <v>0</v>
      </c>
      <c r="G41" s="42">
        <f t="shared" si="8"/>
        <v>0</v>
      </c>
      <c r="H41" s="42">
        <f t="shared" si="9"/>
        <v>0</v>
      </c>
      <c r="I41" s="42">
        <f t="shared" si="0"/>
        <v>6.7250000000000004E-2</v>
      </c>
      <c r="J41" s="43">
        <f>MIN('Výpočty '!$B$1*0.9, MAX('Výpočty '!$B$1*0.05, J40 + M41 - MIN(O41, MAX(0, J40 - ('Výpočty '!$B$1*0.1))) - P41))</f>
        <v>1.5967499999999974</v>
      </c>
      <c r="K41" s="46">
        <f>J41/'Výpočty '!$B$1</f>
        <v>7.9837499999999867E-2</v>
      </c>
      <c r="L41" s="42">
        <f t="shared" si="13"/>
        <v>6.0525000000000002E-2</v>
      </c>
      <c r="M41" s="42">
        <f t="shared" si="14"/>
        <v>6.7250000000000004E-2</v>
      </c>
      <c r="N41" s="42">
        <f t="shared" si="15"/>
        <v>1.8249999999999999E-2</v>
      </c>
      <c r="O41" s="42">
        <f t="shared" si="16"/>
        <v>2.0277777777777777E-2</v>
      </c>
      <c r="P41" s="42">
        <f t="shared" si="17"/>
        <v>1.8249999999999999E-2</v>
      </c>
    </row>
    <row r="42" spans="1:16" x14ac:dyDescent="0.3">
      <c r="A42" s="47">
        <f t="shared" si="11"/>
        <v>46023</v>
      </c>
      <c r="B42" s="49">
        <f t="shared" si="12"/>
        <v>0.40625000000000017</v>
      </c>
      <c r="C42" s="42">
        <f>'Leden data'!V41+P42</f>
        <v>2.5749999999999999E-2</v>
      </c>
      <c r="D42" s="42">
        <f t="shared" si="5"/>
        <v>2.5749999999999999E-2</v>
      </c>
      <c r="E42" s="42">
        <f t="shared" si="6"/>
        <v>0.16900000000000001</v>
      </c>
      <c r="F42" s="42">
        <f t="shared" si="7"/>
        <v>0</v>
      </c>
      <c r="G42" s="42">
        <f t="shared" si="8"/>
        <v>0</v>
      </c>
      <c r="H42" s="42">
        <f t="shared" si="9"/>
        <v>0</v>
      </c>
      <c r="I42" s="42">
        <f t="shared" si="0"/>
        <v>0.14325000000000002</v>
      </c>
      <c r="J42" s="43">
        <f>MIN('Výpočty '!$B$1*0.9, MAX('Výpočty '!$B$1*0.05, J41 + M42 - MIN(O42, MAX(0, J41 - ('Výpočty '!$B$1*0.1))) - P42))</f>
        <v>1.7217499999999974</v>
      </c>
      <c r="K42" s="46">
        <f>J42/'Výpočty '!$B$1</f>
        <v>8.6087499999999872E-2</v>
      </c>
      <c r="L42" s="42">
        <f t="shared" si="13"/>
        <v>0.12892500000000001</v>
      </c>
      <c r="M42" s="42">
        <f t="shared" si="14"/>
        <v>0.14325000000000002</v>
      </c>
      <c r="N42" s="42">
        <f t="shared" si="15"/>
        <v>1.8249999999999999E-2</v>
      </c>
      <c r="O42" s="42">
        <f t="shared" si="16"/>
        <v>2.0277777777777777E-2</v>
      </c>
      <c r="P42" s="42">
        <f t="shared" si="17"/>
        <v>1.8249999999999999E-2</v>
      </c>
    </row>
    <row r="43" spans="1:16" x14ac:dyDescent="0.3">
      <c r="A43" s="47">
        <f t="shared" si="11"/>
        <v>46023</v>
      </c>
      <c r="B43" s="49">
        <f t="shared" si="12"/>
        <v>0.41666666666666685</v>
      </c>
      <c r="C43" s="42">
        <f>'Leden data'!V42+P43</f>
        <v>2.5749999999999999E-2</v>
      </c>
      <c r="D43" s="42">
        <f t="shared" si="5"/>
        <v>2.5749999999999999E-2</v>
      </c>
      <c r="E43" s="42">
        <f t="shared" si="6"/>
        <v>0.28799999999999998</v>
      </c>
      <c r="F43" s="42">
        <f t="shared" si="7"/>
        <v>0</v>
      </c>
      <c r="G43" s="42">
        <f t="shared" si="8"/>
        <v>0</v>
      </c>
      <c r="H43" s="42">
        <f t="shared" si="9"/>
        <v>0</v>
      </c>
      <c r="I43" s="42">
        <f t="shared" si="0"/>
        <v>0.26224999999999998</v>
      </c>
      <c r="J43" s="43">
        <f>MIN('Výpočty '!$B$1*0.9, MAX('Výpočty '!$B$1*0.05, J42 + M43 - MIN(O43, MAX(0, J42 - ('Výpočty '!$B$1*0.1))) - P43))</f>
        <v>1.9657499999999972</v>
      </c>
      <c r="K43" s="46">
        <f>J43/'Výpočty '!$B$1</f>
        <v>9.8287499999999861E-2</v>
      </c>
      <c r="L43" s="42">
        <f t="shared" si="13"/>
        <v>0.23602499999999998</v>
      </c>
      <c r="M43" s="42">
        <f t="shared" si="14"/>
        <v>0.26224999999999998</v>
      </c>
      <c r="N43" s="42">
        <f t="shared" si="15"/>
        <v>1.8249999999999999E-2</v>
      </c>
      <c r="O43" s="42">
        <f t="shared" si="16"/>
        <v>2.0277777777777777E-2</v>
      </c>
      <c r="P43" s="42">
        <f t="shared" si="17"/>
        <v>1.8249999999999999E-2</v>
      </c>
    </row>
    <row r="44" spans="1:16" x14ac:dyDescent="0.3">
      <c r="A44" s="47">
        <f t="shared" si="11"/>
        <v>46023</v>
      </c>
      <c r="B44" s="49">
        <f t="shared" si="12"/>
        <v>0.42708333333333354</v>
      </c>
      <c r="C44" s="42">
        <f>'Leden data'!V43+P44</f>
        <v>2.5749999999999999E-2</v>
      </c>
      <c r="D44" s="42">
        <f t="shared" si="5"/>
        <v>2.5749999999999999E-2</v>
      </c>
      <c r="E44" s="42">
        <f t="shared" si="6"/>
        <v>0.46</v>
      </c>
      <c r="F44" s="42">
        <f t="shared" si="7"/>
        <v>0</v>
      </c>
      <c r="G44" s="42">
        <f t="shared" si="8"/>
        <v>0</v>
      </c>
      <c r="H44" s="42">
        <f t="shared" si="9"/>
        <v>0</v>
      </c>
      <c r="I44" s="42">
        <f t="shared" si="0"/>
        <v>0.43425000000000002</v>
      </c>
      <c r="J44" s="43">
        <f>MIN('Výpočty '!$B$1*0.9, MAX('Výpočty '!$B$1*0.05, J43 + M44 - MIN(O44, MAX(0, J43 - ('Výpočty '!$B$1*0.1))) - P44))</f>
        <v>2.3817499999999971</v>
      </c>
      <c r="K44" s="46">
        <f>J44/'Výpočty '!$B$1</f>
        <v>0.11908749999999986</v>
      </c>
      <c r="L44" s="42">
        <f t="shared" si="13"/>
        <v>0.39082500000000003</v>
      </c>
      <c r="M44" s="42">
        <f t="shared" si="14"/>
        <v>0.43425000000000002</v>
      </c>
      <c r="N44" s="42">
        <f t="shared" si="15"/>
        <v>1.8249999999999999E-2</v>
      </c>
      <c r="O44" s="42">
        <f t="shared" si="16"/>
        <v>2.0277777777777777E-2</v>
      </c>
      <c r="P44" s="42">
        <f t="shared" si="17"/>
        <v>1.8249999999999999E-2</v>
      </c>
    </row>
    <row r="45" spans="1:16" x14ac:dyDescent="0.3">
      <c r="A45" s="47">
        <f t="shared" si="11"/>
        <v>46023</v>
      </c>
      <c r="B45" s="49">
        <f t="shared" si="12"/>
        <v>0.43750000000000022</v>
      </c>
      <c r="C45" s="42">
        <f>'Leden data'!V44+P45</f>
        <v>2.5749999999999999E-2</v>
      </c>
      <c r="D45" s="42">
        <f t="shared" si="5"/>
        <v>2.5749999999999999E-2</v>
      </c>
      <c r="E45" s="42">
        <f t="shared" si="6"/>
        <v>0.69</v>
      </c>
      <c r="F45" s="42">
        <f t="shared" si="7"/>
        <v>0</v>
      </c>
      <c r="G45" s="42">
        <f t="shared" si="8"/>
        <v>0</v>
      </c>
      <c r="H45" s="42">
        <f t="shared" si="9"/>
        <v>0</v>
      </c>
      <c r="I45" s="42">
        <f t="shared" si="0"/>
        <v>0.6642499999999999</v>
      </c>
      <c r="J45" s="43">
        <f>MIN('Výpočty '!$B$1*0.9, MAX('Výpočty '!$B$1*0.05, J44 + M45 - MIN(O45, MAX(0, J44 - ('Výpočty '!$B$1*0.1))) - P45))</f>
        <v>3.0074722222222192</v>
      </c>
      <c r="K45" s="46">
        <f>J45/'Výpočty '!$B$1</f>
        <v>0.15037361111111097</v>
      </c>
      <c r="L45" s="42">
        <f t="shared" si="13"/>
        <v>0.59782499999999994</v>
      </c>
      <c r="M45" s="42">
        <f t="shared" si="14"/>
        <v>0.6642499999999999</v>
      </c>
      <c r="N45" s="42">
        <f t="shared" si="15"/>
        <v>1.8249999999999999E-2</v>
      </c>
      <c r="O45" s="42">
        <f t="shared" si="16"/>
        <v>2.0277777777777777E-2</v>
      </c>
      <c r="P45" s="42">
        <f t="shared" si="17"/>
        <v>1.8249999999999999E-2</v>
      </c>
    </row>
    <row r="46" spans="1:16" x14ac:dyDescent="0.3">
      <c r="A46" s="47">
        <f t="shared" si="11"/>
        <v>46023</v>
      </c>
      <c r="B46" s="49">
        <f t="shared" si="12"/>
        <v>0.44791666666666691</v>
      </c>
      <c r="C46" s="42">
        <f>'Leden data'!V45+P46</f>
        <v>2.5749999999999999E-2</v>
      </c>
      <c r="D46" s="42">
        <f t="shared" si="5"/>
        <v>2.5749999999999999E-2</v>
      </c>
      <c r="E46" s="42">
        <f t="shared" si="6"/>
        <v>0.97299999999999998</v>
      </c>
      <c r="F46" s="42">
        <f t="shared" si="7"/>
        <v>0</v>
      </c>
      <c r="G46" s="42">
        <f t="shared" si="8"/>
        <v>0</v>
      </c>
      <c r="H46" s="42">
        <f t="shared" si="9"/>
        <v>0</v>
      </c>
      <c r="I46" s="42">
        <f t="shared" si="0"/>
        <v>0.94724999999999993</v>
      </c>
      <c r="J46" s="43">
        <f>MIN('Výpočty '!$B$1*0.9, MAX('Výpočty '!$B$1*0.05, J45 + M46 - MIN(O46, MAX(0, J45 - ('Výpočty '!$B$1*0.1))) - P46))</f>
        <v>3.9161944444444412</v>
      </c>
      <c r="K46" s="46">
        <f>J46/'Výpočty '!$B$1</f>
        <v>0.19580972222222207</v>
      </c>
      <c r="L46" s="42">
        <f t="shared" si="13"/>
        <v>0.85252499999999998</v>
      </c>
      <c r="M46" s="42">
        <f t="shared" si="14"/>
        <v>0.94724999999999993</v>
      </c>
      <c r="N46" s="42">
        <f t="shared" si="15"/>
        <v>1.8249999999999999E-2</v>
      </c>
      <c r="O46" s="42">
        <f t="shared" si="16"/>
        <v>2.0277777777777777E-2</v>
      </c>
      <c r="P46" s="42">
        <f t="shared" si="17"/>
        <v>1.8249999999999999E-2</v>
      </c>
    </row>
    <row r="47" spans="1:16" x14ac:dyDescent="0.3">
      <c r="A47" s="47">
        <f t="shared" si="11"/>
        <v>46023</v>
      </c>
      <c r="B47" s="49">
        <f t="shared" si="12"/>
        <v>0.45833333333333359</v>
      </c>
      <c r="C47" s="42">
        <f>'Leden data'!V46+P47</f>
        <v>1.0257500000000002</v>
      </c>
      <c r="D47" s="42">
        <f t="shared" si="5"/>
        <v>1.0257500000000002</v>
      </c>
      <c r="E47" s="42">
        <f t="shared" si="6"/>
        <v>1.2889999999999999</v>
      </c>
      <c r="F47" s="42">
        <f t="shared" si="7"/>
        <v>0</v>
      </c>
      <c r="G47" s="42">
        <f t="shared" si="8"/>
        <v>0</v>
      </c>
      <c r="H47" s="42">
        <f t="shared" si="9"/>
        <v>0</v>
      </c>
      <c r="I47" s="42">
        <f t="shared" si="0"/>
        <v>0.26324999999999976</v>
      </c>
      <c r="J47" s="43">
        <f>MIN('Výpočty '!$B$1*0.9, MAX('Výpočty '!$B$1*0.05, J46 + M47 - MIN(O47, MAX(0, J46 - ('Výpočty '!$B$1*0.1))) - P47))</f>
        <v>4.140916666666663</v>
      </c>
      <c r="K47" s="46">
        <f>J47/'Výpočty '!$B$1</f>
        <v>0.20704583333333315</v>
      </c>
      <c r="L47" s="42">
        <f t="shared" si="13"/>
        <v>0.2369249999999998</v>
      </c>
      <c r="M47" s="42">
        <f t="shared" si="14"/>
        <v>0.26324999999999976</v>
      </c>
      <c r="N47" s="42">
        <f t="shared" si="15"/>
        <v>1.8249999999999999E-2</v>
      </c>
      <c r="O47" s="42">
        <f t="shared" si="16"/>
        <v>2.0277777777777777E-2</v>
      </c>
      <c r="P47" s="42">
        <f t="shared" si="17"/>
        <v>1.8249999999999999E-2</v>
      </c>
    </row>
    <row r="48" spans="1:16" x14ac:dyDescent="0.3">
      <c r="A48" s="47">
        <f t="shared" si="11"/>
        <v>46023</v>
      </c>
      <c r="B48" s="49">
        <f t="shared" si="12"/>
        <v>0.46875000000000028</v>
      </c>
      <c r="C48" s="42">
        <f>'Leden data'!V47+P48</f>
        <v>2.5749999999999999E-2</v>
      </c>
      <c r="D48" s="42">
        <f t="shared" si="5"/>
        <v>2.5749999999999999E-2</v>
      </c>
      <c r="E48" s="42">
        <f t="shared" si="6"/>
        <v>1.6040000000000001</v>
      </c>
      <c r="F48" s="42">
        <f t="shared" si="7"/>
        <v>0</v>
      </c>
      <c r="G48" s="42">
        <f t="shared" si="8"/>
        <v>0</v>
      </c>
      <c r="H48" s="42">
        <f t="shared" si="9"/>
        <v>0</v>
      </c>
      <c r="I48" s="42">
        <f t="shared" si="0"/>
        <v>1.5782500000000002</v>
      </c>
      <c r="J48" s="43">
        <f>MIN('Výpočty '!$B$1*0.9, MAX('Výpočty '!$B$1*0.05, J47 + M48 - MIN(O48, MAX(0, J47 - ('Výpočty '!$B$1*0.1))) - P48))</f>
        <v>5.6806388888888852</v>
      </c>
      <c r="K48" s="46">
        <f>J48/'Výpočty '!$B$1</f>
        <v>0.28403194444444424</v>
      </c>
      <c r="L48" s="42">
        <f t="shared" si="13"/>
        <v>1.4204250000000003</v>
      </c>
      <c r="M48" s="42">
        <f t="shared" si="14"/>
        <v>1.5782500000000002</v>
      </c>
      <c r="N48" s="42">
        <f t="shared" si="15"/>
        <v>1.8249999999999999E-2</v>
      </c>
      <c r="O48" s="42">
        <f t="shared" si="16"/>
        <v>2.0277777777777777E-2</v>
      </c>
      <c r="P48" s="42">
        <f t="shared" si="17"/>
        <v>1.8249999999999999E-2</v>
      </c>
    </row>
    <row r="49" spans="1:16" x14ac:dyDescent="0.3">
      <c r="A49" s="47">
        <f t="shared" si="11"/>
        <v>46023</v>
      </c>
      <c r="B49" s="49">
        <f t="shared" si="12"/>
        <v>0.47916666666666696</v>
      </c>
      <c r="C49" s="42">
        <f>'Leden data'!V48+P49</f>
        <v>2.5749999999999999E-2</v>
      </c>
      <c r="D49" s="42">
        <f t="shared" si="5"/>
        <v>2.5749999999999999E-2</v>
      </c>
      <c r="E49" s="42">
        <f t="shared" si="6"/>
        <v>1.875</v>
      </c>
      <c r="F49" s="42">
        <f t="shared" si="7"/>
        <v>0</v>
      </c>
      <c r="G49" s="42">
        <f t="shared" si="8"/>
        <v>0</v>
      </c>
      <c r="H49" s="42">
        <f t="shared" si="9"/>
        <v>0</v>
      </c>
      <c r="I49" s="42">
        <f t="shared" si="0"/>
        <v>1.8492500000000001</v>
      </c>
      <c r="J49" s="43">
        <f>MIN('Výpočty '!$B$1*0.9, MAX('Výpočty '!$B$1*0.05, J48 + M49 - MIN(O49, MAX(0, J48 - ('Výpočty '!$B$1*0.1))) - P49))</f>
        <v>7.4913611111111083</v>
      </c>
      <c r="K49" s="46">
        <f>J49/'Výpočty '!$B$1</f>
        <v>0.37456805555555539</v>
      </c>
      <c r="L49" s="42">
        <f t="shared" si="13"/>
        <v>1.6643250000000001</v>
      </c>
      <c r="M49" s="42">
        <f t="shared" si="14"/>
        <v>1.8492500000000001</v>
      </c>
      <c r="N49" s="42">
        <f t="shared" si="15"/>
        <v>1.8249999999999999E-2</v>
      </c>
      <c r="O49" s="42">
        <f t="shared" si="16"/>
        <v>2.0277777777777777E-2</v>
      </c>
      <c r="P49" s="42">
        <f t="shared" si="17"/>
        <v>1.8249999999999999E-2</v>
      </c>
    </row>
    <row r="50" spans="1:16" x14ac:dyDescent="0.3">
      <c r="A50" s="47">
        <f t="shared" si="11"/>
        <v>46023</v>
      </c>
      <c r="B50" s="49">
        <f t="shared" si="12"/>
        <v>0.48958333333333365</v>
      </c>
      <c r="C50" s="42">
        <f>'Leden data'!V49+P50</f>
        <v>2.5749999999999999E-2</v>
      </c>
      <c r="D50" s="42">
        <f t="shared" si="5"/>
        <v>2.5749999999999999E-2</v>
      </c>
      <c r="E50" s="42">
        <f t="shared" si="6"/>
        <v>2.06</v>
      </c>
      <c r="F50" s="42">
        <f t="shared" si="7"/>
        <v>0</v>
      </c>
      <c r="G50" s="42">
        <f t="shared" si="8"/>
        <v>0</v>
      </c>
      <c r="H50" s="42">
        <f t="shared" si="9"/>
        <v>0</v>
      </c>
      <c r="I50" s="42">
        <f t="shared" si="0"/>
        <v>2.0342500000000001</v>
      </c>
      <c r="J50" s="43">
        <f>MIN('Výpočty '!$B$1*0.9, MAX('Výpočty '!$B$1*0.05, J49 + M50 - MIN(O50, MAX(0, J49 - ('Výpočty '!$B$1*0.1))) - P50))</f>
        <v>9.4870833333333291</v>
      </c>
      <c r="K50" s="46">
        <f>J50/'Výpočty '!$B$1</f>
        <v>0.47435416666666647</v>
      </c>
      <c r="L50" s="42">
        <f t="shared" si="13"/>
        <v>1.8308250000000001</v>
      </c>
      <c r="M50" s="42">
        <f t="shared" si="14"/>
        <v>2.0342500000000001</v>
      </c>
      <c r="N50" s="42">
        <f t="shared" si="15"/>
        <v>1.8249999999999999E-2</v>
      </c>
      <c r="O50" s="42">
        <f t="shared" si="16"/>
        <v>2.0277777777777777E-2</v>
      </c>
      <c r="P50" s="42">
        <f t="shared" si="17"/>
        <v>1.8249999999999999E-2</v>
      </c>
    </row>
    <row r="51" spans="1:16" x14ac:dyDescent="0.3">
      <c r="A51" s="47">
        <f t="shared" si="11"/>
        <v>46023</v>
      </c>
      <c r="B51" s="49">
        <f t="shared" si="12"/>
        <v>0.50000000000000033</v>
      </c>
      <c r="C51" s="42">
        <f>'Leden data'!V50+P51</f>
        <v>2.5749999999999999E-2</v>
      </c>
      <c r="D51" s="42">
        <f t="shared" si="5"/>
        <v>2.5749999999999999E-2</v>
      </c>
      <c r="E51" s="42">
        <f t="shared" si="6"/>
        <v>2.125</v>
      </c>
      <c r="F51" s="42">
        <f t="shared" si="7"/>
        <v>0</v>
      </c>
      <c r="G51" s="42">
        <f t="shared" si="8"/>
        <v>0</v>
      </c>
      <c r="H51" s="42">
        <f t="shared" si="9"/>
        <v>0</v>
      </c>
      <c r="I51" s="42">
        <f t="shared" si="0"/>
        <v>2.0992500000000001</v>
      </c>
      <c r="J51" s="43">
        <f>MIN('Výpočty '!$B$1*0.9, MAX('Výpočty '!$B$1*0.05, J50 + M51 - MIN(O51, MAX(0, J50 - ('Výpočty '!$B$1*0.1))) - P51))</f>
        <v>11.54780555555555</v>
      </c>
      <c r="K51" s="46">
        <f>J51/'Výpočty '!$B$1</f>
        <v>0.57739027777777752</v>
      </c>
      <c r="L51" s="42">
        <f t="shared" si="13"/>
        <v>1.8893250000000001</v>
      </c>
      <c r="M51" s="42">
        <f t="shared" si="14"/>
        <v>2.0992500000000001</v>
      </c>
      <c r="N51" s="42">
        <f t="shared" si="15"/>
        <v>1.8249999999999999E-2</v>
      </c>
      <c r="O51" s="42">
        <f t="shared" si="16"/>
        <v>2.0277777777777777E-2</v>
      </c>
      <c r="P51" s="42">
        <f t="shared" si="17"/>
        <v>1.8249999999999999E-2</v>
      </c>
    </row>
    <row r="52" spans="1:16" x14ac:dyDescent="0.3">
      <c r="A52" s="47">
        <f t="shared" si="11"/>
        <v>46023</v>
      </c>
      <c r="B52" s="49">
        <f t="shared" si="12"/>
        <v>0.51041666666666696</v>
      </c>
      <c r="C52" s="42">
        <f>'Leden data'!V51+P52</f>
        <v>2.5749999999999999E-2</v>
      </c>
      <c r="D52" s="42">
        <f t="shared" si="5"/>
        <v>2.5749999999999999E-2</v>
      </c>
      <c r="E52" s="42">
        <f t="shared" si="6"/>
        <v>2.06</v>
      </c>
      <c r="F52" s="42">
        <f t="shared" si="7"/>
        <v>0</v>
      </c>
      <c r="G52" s="42">
        <f t="shared" si="8"/>
        <v>0</v>
      </c>
      <c r="H52" s="42">
        <f t="shared" si="9"/>
        <v>0</v>
      </c>
      <c r="I52" s="42">
        <f t="shared" si="0"/>
        <v>2.0342500000000001</v>
      </c>
      <c r="J52" s="43">
        <f>MIN('Výpočty '!$B$1*0.9, MAX('Výpočty '!$B$1*0.05, J51 + M52 - MIN(O52, MAX(0, J51 - ('Výpočty '!$B$1*0.1))) - P52))</f>
        <v>13.543527777777772</v>
      </c>
      <c r="K52" s="46">
        <f>J52/'Výpočty '!$B$1</f>
        <v>0.67717638888888865</v>
      </c>
      <c r="L52" s="42">
        <f t="shared" si="13"/>
        <v>1.8308250000000001</v>
      </c>
      <c r="M52" s="42">
        <f t="shared" si="14"/>
        <v>2.0342500000000001</v>
      </c>
      <c r="N52" s="42">
        <f t="shared" si="15"/>
        <v>1.8249999999999999E-2</v>
      </c>
      <c r="O52" s="42">
        <f t="shared" si="16"/>
        <v>2.0277777777777777E-2</v>
      </c>
      <c r="P52" s="42">
        <f t="shared" si="17"/>
        <v>1.8249999999999999E-2</v>
      </c>
    </row>
    <row r="53" spans="1:16" x14ac:dyDescent="0.3">
      <c r="A53" s="47">
        <f t="shared" si="11"/>
        <v>46023</v>
      </c>
      <c r="B53" s="49">
        <f t="shared" si="12"/>
        <v>0.52083333333333359</v>
      </c>
      <c r="C53" s="42">
        <f>'Leden data'!V52+P53</f>
        <v>2.5749999999999999E-2</v>
      </c>
      <c r="D53" s="42">
        <f t="shared" si="5"/>
        <v>2.5749999999999999E-2</v>
      </c>
      <c r="E53" s="42">
        <f t="shared" si="6"/>
        <v>1.875</v>
      </c>
      <c r="F53" s="42">
        <f t="shared" si="7"/>
        <v>0</v>
      </c>
      <c r="G53" s="42">
        <f t="shared" si="8"/>
        <v>0</v>
      </c>
      <c r="H53" s="42">
        <f t="shared" si="9"/>
        <v>0</v>
      </c>
      <c r="I53" s="42">
        <f t="shared" si="0"/>
        <v>1.8492500000000001</v>
      </c>
      <c r="J53" s="43">
        <f>MIN('Výpočty '!$B$1*0.9, MAX('Výpočty '!$B$1*0.05, J52 + M53 - MIN(O53, MAX(0, J52 - ('Výpočty '!$B$1*0.1))) - P53))</f>
        <v>15.354249999999993</v>
      </c>
      <c r="K53" s="46">
        <f>J53/'Výpočty '!$B$1</f>
        <v>0.76771249999999969</v>
      </c>
      <c r="L53" s="42">
        <f t="shared" si="13"/>
        <v>1.6643250000000001</v>
      </c>
      <c r="M53" s="42">
        <f t="shared" si="14"/>
        <v>1.8492500000000001</v>
      </c>
      <c r="N53" s="42">
        <f t="shared" si="15"/>
        <v>1.8249999999999999E-2</v>
      </c>
      <c r="O53" s="42">
        <f t="shared" si="16"/>
        <v>2.0277777777777777E-2</v>
      </c>
      <c r="P53" s="42">
        <f t="shared" si="17"/>
        <v>1.8249999999999999E-2</v>
      </c>
    </row>
    <row r="54" spans="1:16" x14ac:dyDescent="0.3">
      <c r="A54" s="47">
        <f t="shared" si="11"/>
        <v>46023</v>
      </c>
      <c r="B54" s="49">
        <f t="shared" si="12"/>
        <v>0.53125000000000022</v>
      </c>
      <c r="C54" s="42">
        <f>'Leden data'!V53+P54</f>
        <v>2.5749999999999999E-2</v>
      </c>
      <c r="D54" s="42">
        <f t="shared" si="5"/>
        <v>2.5749999999999999E-2</v>
      </c>
      <c r="E54" s="42">
        <f t="shared" si="6"/>
        <v>1.6040000000000001</v>
      </c>
      <c r="F54" s="42">
        <f t="shared" si="7"/>
        <v>0</v>
      </c>
      <c r="G54" s="42">
        <f t="shared" si="8"/>
        <v>0</v>
      </c>
      <c r="H54" s="42">
        <f t="shared" si="9"/>
        <v>0</v>
      </c>
      <c r="I54" s="42">
        <f t="shared" si="0"/>
        <v>1.5782500000000002</v>
      </c>
      <c r="J54" s="43">
        <f>MIN('Výpočty '!$B$1*0.9, MAX('Výpočty '!$B$1*0.05, J53 + M54 - MIN(O54, MAX(0, J53 - ('Výpočty '!$B$1*0.1))) - P54))</f>
        <v>16.893972222222217</v>
      </c>
      <c r="K54" s="46">
        <f>J54/'Výpočty '!$B$1</f>
        <v>0.84469861111111089</v>
      </c>
      <c r="L54" s="42">
        <f t="shared" si="13"/>
        <v>1.4204250000000003</v>
      </c>
      <c r="M54" s="42">
        <f t="shared" si="14"/>
        <v>1.5782500000000002</v>
      </c>
      <c r="N54" s="42">
        <f t="shared" si="15"/>
        <v>1.8249999999999999E-2</v>
      </c>
      <c r="O54" s="42">
        <f t="shared" si="16"/>
        <v>2.0277777777777777E-2</v>
      </c>
      <c r="P54" s="42">
        <f t="shared" si="17"/>
        <v>1.8249999999999999E-2</v>
      </c>
    </row>
    <row r="55" spans="1:16" x14ac:dyDescent="0.3">
      <c r="A55" s="47">
        <f t="shared" si="11"/>
        <v>46023</v>
      </c>
      <c r="B55" s="49">
        <f t="shared" si="12"/>
        <v>0.54166666666666685</v>
      </c>
      <c r="C55" s="42">
        <f>'Leden data'!V54+P55</f>
        <v>2.5749999999999999E-2</v>
      </c>
      <c r="D55" s="42">
        <f t="shared" si="5"/>
        <v>2.5749999999999999E-2</v>
      </c>
      <c r="E55" s="42">
        <f t="shared" si="6"/>
        <v>1.2889999999999999</v>
      </c>
      <c r="F55" s="42">
        <f t="shared" si="7"/>
        <v>0</v>
      </c>
      <c r="G55" s="42">
        <f t="shared" si="8"/>
        <v>3.4330246913574669E-2</v>
      </c>
      <c r="H55" s="42">
        <f t="shared" si="9"/>
        <v>0</v>
      </c>
      <c r="I55" s="42">
        <f t="shared" si="0"/>
        <v>1.26325</v>
      </c>
      <c r="J55" s="43">
        <f>MIN('Výpočty '!$B$1*0.9, MAX('Výpočty '!$B$1*0.05, J54 + M55 - MIN(O55, MAX(0, J54 - ('Výpočty '!$B$1*0.1))) - P55))</f>
        <v>18</v>
      </c>
      <c r="K55" s="46">
        <f>J55/'Výpočty '!$B$1</f>
        <v>0.9</v>
      </c>
      <c r="L55" s="42">
        <f t="shared" si="13"/>
        <v>1.1060277777777827</v>
      </c>
      <c r="M55" s="42">
        <f t="shared" si="14"/>
        <v>1.2289197530864253</v>
      </c>
      <c r="N55" s="42">
        <f t="shared" si="15"/>
        <v>1.8249999999999999E-2</v>
      </c>
      <c r="O55" s="42">
        <f t="shared" si="16"/>
        <v>2.0277777777777777E-2</v>
      </c>
      <c r="P55" s="42">
        <f t="shared" si="17"/>
        <v>1.8249999999999999E-2</v>
      </c>
    </row>
    <row r="56" spans="1:16" x14ac:dyDescent="0.3">
      <c r="A56" s="47">
        <f t="shared" si="11"/>
        <v>46023</v>
      </c>
      <c r="B56" s="49">
        <f t="shared" si="12"/>
        <v>0.55208333333333348</v>
      </c>
      <c r="C56" s="42">
        <f>'Leden data'!V55+P56</f>
        <v>2.5749999999999999E-2</v>
      </c>
      <c r="D56" s="42">
        <f t="shared" si="5"/>
        <v>2.5749999999999999E-2</v>
      </c>
      <c r="E56" s="42">
        <f t="shared" si="6"/>
        <v>0.97299999999999998</v>
      </c>
      <c r="F56" s="42">
        <f t="shared" si="7"/>
        <v>0</v>
      </c>
      <c r="G56" s="42">
        <f t="shared" si="8"/>
        <v>0.94724999999999993</v>
      </c>
      <c r="H56" s="42">
        <f t="shared" si="9"/>
        <v>0</v>
      </c>
      <c r="I56" s="42">
        <f t="shared" si="0"/>
        <v>0.94724999999999993</v>
      </c>
      <c r="J56" s="43">
        <f>MIN('Výpočty '!$B$1*0.9, MAX('Výpočty '!$B$1*0.05, J55 + M56 - MIN(O56, MAX(0, J55 - ('Výpočty '!$B$1*0.1))) - P56))</f>
        <v>17.961472222222223</v>
      </c>
      <c r="K56" s="46">
        <f>J56/'Výpočty '!$B$1</f>
        <v>0.89807361111111117</v>
      </c>
      <c r="L56" s="42">
        <f t="shared" si="13"/>
        <v>0</v>
      </c>
      <c r="M56" s="42">
        <f t="shared" si="14"/>
        <v>0</v>
      </c>
      <c r="N56" s="42">
        <f t="shared" si="15"/>
        <v>1.8249999999999999E-2</v>
      </c>
      <c r="O56" s="42">
        <f t="shared" si="16"/>
        <v>2.0277777777777777E-2</v>
      </c>
      <c r="P56" s="42">
        <f t="shared" si="17"/>
        <v>1.8249999999999999E-2</v>
      </c>
    </row>
    <row r="57" spans="1:16" x14ac:dyDescent="0.3">
      <c r="A57" s="47">
        <f t="shared" si="11"/>
        <v>46023</v>
      </c>
      <c r="B57" s="49">
        <f t="shared" si="12"/>
        <v>0.56250000000000011</v>
      </c>
      <c r="C57" s="42">
        <f>'Leden data'!V56+P57</f>
        <v>2.5749999999999999E-2</v>
      </c>
      <c r="D57" s="42">
        <f t="shared" si="5"/>
        <v>2.5749999999999999E-2</v>
      </c>
      <c r="E57" s="42">
        <f t="shared" si="6"/>
        <v>0.69</v>
      </c>
      <c r="F57" s="42">
        <f t="shared" si="7"/>
        <v>0</v>
      </c>
      <c r="G57" s="42">
        <f t="shared" si="8"/>
        <v>0.62144135802469258</v>
      </c>
      <c r="H57" s="42">
        <f t="shared" si="9"/>
        <v>0</v>
      </c>
      <c r="I57" s="42">
        <f t="shared" si="0"/>
        <v>0.6642499999999999</v>
      </c>
      <c r="J57" s="43">
        <f>MIN('Výpočty '!$B$1*0.9, MAX('Výpočty '!$B$1*0.05, J56 + M57 - MIN(O57, MAX(0, J56 - ('Výpočty '!$B$1*0.1))) - P57))</f>
        <v>17.965753086419753</v>
      </c>
      <c r="K57" s="46">
        <f>J57/'Výpočty '!$B$1</f>
        <v>0.89828765432098767</v>
      </c>
      <c r="L57" s="42">
        <f t="shared" si="13"/>
        <v>3.8527777777776606E-2</v>
      </c>
      <c r="M57" s="42">
        <f t="shared" si="14"/>
        <v>4.2808641975307336E-2</v>
      </c>
      <c r="N57" s="42">
        <f t="shared" si="15"/>
        <v>1.8249999999999999E-2</v>
      </c>
      <c r="O57" s="42">
        <f t="shared" si="16"/>
        <v>2.0277777777777777E-2</v>
      </c>
      <c r="P57" s="42">
        <f t="shared" si="17"/>
        <v>1.8249999999999999E-2</v>
      </c>
    </row>
    <row r="58" spans="1:16" x14ac:dyDescent="0.3">
      <c r="A58" s="47">
        <f t="shared" si="11"/>
        <v>46023</v>
      </c>
      <c r="B58" s="49">
        <f t="shared" si="12"/>
        <v>0.57291666666666674</v>
      </c>
      <c r="C58" s="42">
        <f>'Leden data'!V57+P58</f>
        <v>2.5749999999999999E-2</v>
      </c>
      <c r="D58" s="42">
        <f t="shared" si="5"/>
        <v>2.5749999999999999E-2</v>
      </c>
      <c r="E58" s="42">
        <f t="shared" si="6"/>
        <v>0.46</v>
      </c>
      <c r="F58" s="42">
        <f t="shared" si="7"/>
        <v>0</v>
      </c>
      <c r="G58" s="42">
        <f t="shared" si="8"/>
        <v>0.3961978737997251</v>
      </c>
      <c r="H58" s="42">
        <f t="shared" si="9"/>
        <v>0</v>
      </c>
      <c r="I58" s="42">
        <f t="shared" si="0"/>
        <v>0.43425000000000002</v>
      </c>
      <c r="J58" s="43">
        <f>MIN('Výpočty '!$B$1*0.9, MAX('Výpočty '!$B$1*0.05, J57 + M58 - MIN(O58, MAX(0, J57 - ('Výpočty '!$B$1*0.1))) - P58))</f>
        <v>17.96527743484225</v>
      </c>
      <c r="K58" s="46">
        <f>J58/'Výpočty '!$B$1</f>
        <v>0.89826387174211253</v>
      </c>
      <c r="L58" s="42">
        <f t="shared" si="13"/>
        <v>3.4246913580247451E-2</v>
      </c>
      <c r="M58" s="42">
        <f t="shared" si="14"/>
        <v>3.8052126200274948E-2</v>
      </c>
      <c r="N58" s="42">
        <f t="shared" si="15"/>
        <v>1.8249999999999999E-2</v>
      </c>
      <c r="O58" s="42">
        <f t="shared" si="16"/>
        <v>2.0277777777777777E-2</v>
      </c>
      <c r="P58" s="42">
        <f t="shared" si="17"/>
        <v>1.8249999999999999E-2</v>
      </c>
    </row>
    <row r="59" spans="1:16" x14ac:dyDescent="0.3">
      <c r="A59" s="47">
        <f t="shared" si="11"/>
        <v>46023</v>
      </c>
      <c r="B59" s="49">
        <f t="shared" si="12"/>
        <v>0.58333333333333337</v>
      </c>
      <c r="C59" s="42">
        <f>'Leden data'!V58+P59</f>
        <v>1.0257500000000002</v>
      </c>
      <c r="D59" s="42">
        <f t="shared" si="5"/>
        <v>0.28799999999999998</v>
      </c>
      <c r="E59" s="42">
        <f t="shared" si="6"/>
        <v>0.28799999999999998</v>
      </c>
      <c r="F59" s="42">
        <f t="shared" si="7"/>
        <v>0</v>
      </c>
      <c r="G59" s="42">
        <f t="shared" si="8"/>
        <v>0</v>
      </c>
      <c r="H59" s="42">
        <f t="shared" si="9"/>
        <v>0.73775000000000013</v>
      </c>
      <c r="I59" s="42">
        <f t="shared" si="0"/>
        <v>-0.73775000000000013</v>
      </c>
      <c r="J59" s="43">
        <f>MIN('Výpočty '!$B$1*0.9, MAX('Výpočty '!$B$1*0.05, J58 + M59 - MIN(O59, MAX(0, J58 - ('Výpočty '!$B$1*0.1))) - P59))</f>
        <v>17.107027434842252</v>
      </c>
      <c r="K59" s="46">
        <f>J59/'Výpočty '!$B$1</f>
        <v>0.85535137174211262</v>
      </c>
      <c r="L59" s="42">
        <f t="shared" si="13"/>
        <v>0</v>
      </c>
      <c r="M59" s="42">
        <f t="shared" si="14"/>
        <v>0</v>
      </c>
      <c r="N59" s="42">
        <f t="shared" si="15"/>
        <v>0.75600000000000012</v>
      </c>
      <c r="O59" s="42">
        <f t="shared" si="16"/>
        <v>0.84000000000000008</v>
      </c>
      <c r="P59" s="42">
        <f t="shared" si="17"/>
        <v>1.8249999999999999E-2</v>
      </c>
    </row>
    <row r="60" spans="1:16" x14ac:dyDescent="0.3">
      <c r="A60" s="47">
        <f t="shared" si="11"/>
        <v>46023</v>
      </c>
      <c r="B60" s="49">
        <f t="shared" si="12"/>
        <v>0.59375</v>
      </c>
      <c r="C60" s="42">
        <f>'Leden data'!V59+P60</f>
        <v>2.5749999999999999E-2</v>
      </c>
      <c r="D60" s="42">
        <f t="shared" si="5"/>
        <v>2.5749999999999999E-2</v>
      </c>
      <c r="E60" s="42">
        <f t="shared" si="6"/>
        <v>0.16900000000000001</v>
      </c>
      <c r="F60" s="42">
        <f t="shared" si="7"/>
        <v>0</v>
      </c>
      <c r="G60" s="42">
        <f t="shared" si="8"/>
        <v>0</v>
      </c>
      <c r="H60" s="42">
        <f t="shared" si="9"/>
        <v>0</v>
      </c>
      <c r="I60" s="42">
        <f t="shared" si="0"/>
        <v>0.14325000000000002</v>
      </c>
      <c r="J60" s="43">
        <f>MIN('Výpočty '!$B$1*0.9, MAX('Výpočty '!$B$1*0.05, J59 + M60 - MIN(O60, MAX(0, J59 - ('Výpočty '!$B$1*0.1))) - P60))</f>
        <v>17.211749657064473</v>
      </c>
      <c r="K60" s="46">
        <f>J60/'Výpočty '!$B$1</f>
        <v>0.86058748285322362</v>
      </c>
      <c r="L60" s="42">
        <f t="shared" si="13"/>
        <v>0.12892500000000001</v>
      </c>
      <c r="M60" s="42">
        <f t="shared" si="14"/>
        <v>0.14325000000000002</v>
      </c>
      <c r="N60" s="42">
        <f t="shared" si="15"/>
        <v>1.8249999999999999E-2</v>
      </c>
      <c r="O60" s="42">
        <f t="shared" si="16"/>
        <v>2.0277777777777777E-2</v>
      </c>
      <c r="P60" s="42">
        <f t="shared" si="17"/>
        <v>1.8249999999999999E-2</v>
      </c>
    </row>
    <row r="61" spans="1:16" x14ac:dyDescent="0.3">
      <c r="A61" s="47">
        <f t="shared" si="11"/>
        <v>46023</v>
      </c>
      <c r="B61" s="49">
        <f t="shared" si="12"/>
        <v>0.60416666666666663</v>
      </c>
      <c r="C61" s="42">
        <f>'Leden data'!V60+P61</f>
        <v>2.5749999999999999E-2</v>
      </c>
      <c r="D61" s="42">
        <f t="shared" si="5"/>
        <v>2.5749999999999999E-2</v>
      </c>
      <c r="E61" s="42">
        <f t="shared" si="6"/>
        <v>9.2999999999999999E-2</v>
      </c>
      <c r="F61" s="42">
        <f t="shared" si="7"/>
        <v>0</v>
      </c>
      <c r="G61" s="42">
        <f t="shared" si="8"/>
        <v>0</v>
      </c>
      <c r="H61" s="42">
        <f t="shared" si="9"/>
        <v>0</v>
      </c>
      <c r="I61" s="42">
        <f t="shared" si="0"/>
        <v>6.7250000000000004E-2</v>
      </c>
      <c r="J61" s="43">
        <f>MIN('Výpočty '!$B$1*0.9, MAX('Výpočty '!$B$1*0.05, J60 + M61 - MIN(O61, MAX(0, J60 - ('Výpočty '!$B$1*0.1))) - P61))</f>
        <v>17.240471879286698</v>
      </c>
      <c r="K61" s="46">
        <f>J61/'Výpočty '!$B$1</f>
        <v>0.86202359396433492</v>
      </c>
      <c r="L61" s="42">
        <f t="shared" si="13"/>
        <v>6.0525000000000002E-2</v>
      </c>
      <c r="M61" s="42">
        <f t="shared" si="14"/>
        <v>6.7250000000000004E-2</v>
      </c>
      <c r="N61" s="42">
        <f t="shared" si="15"/>
        <v>1.8249999999999999E-2</v>
      </c>
      <c r="O61" s="42">
        <f t="shared" si="16"/>
        <v>2.0277777777777777E-2</v>
      </c>
      <c r="P61" s="42">
        <f t="shared" si="17"/>
        <v>1.8249999999999999E-2</v>
      </c>
    </row>
    <row r="62" spans="1:16" x14ac:dyDescent="0.3">
      <c r="A62" s="47">
        <f t="shared" si="11"/>
        <v>46023</v>
      </c>
      <c r="B62" s="49">
        <f t="shared" si="12"/>
        <v>0.61458333333333326</v>
      </c>
      <c r="C62" s="42">
        <f>'Leden data'!V61+P62</f>
        <v>2.5749999999999999E-2</v>
      </c>
      <c r="D62" s="42">
        <f t="shared" si="5"/>
        <v>2.5749999999999999E-2</v>
      </c>
      <c r="E62" s="42">
        <f t="shared" si="6"/>
        <v>4.8000000000000001E-2</v>
      </c>
      <c r="F62" s="42">
        <f t="shared" si="7"/>
        <v>0</v>
      </c>
      <c r="G62" s="42">
        <f t="shared" si="8"/>
        <v>0</v>
      </c>
      <c r="H62" s="42">
        <f t="shared" si="9"/>
        <v>0</v>
      </c>
      <c r="I62" s="42">
        <f t="shared" si="0"/>
        <v>2.2250000000000002E-2</v>
      </c>
      <c r="J62" s="43">
        <f>MIN('Výpočty '!$B$1*0.9, MAX('Výpočty '!$B$1*0.05, J61 + M62 - MIN(O62, MAX(0, J61 - ('Výpočty '!$B$1*0.1))) - P62))</f>
        <v>17.224194101508921</v>
      </c>
      <c r="K62" s="46">
        <f>J62/'Výpočty '!$B$1</f>
        <v>0.86120970507544603</v>
      </c>
      <c r="L62" s="42">
        <f t="shared" si="13"/>
        <v>2.0025000000000001E-2</v>
      </c>
      <c r="M62" s="42">
        <f t="shared" si="14"/>
        <v>2.2250000000000002E-2</v>
      </c>
      <c r="N62" s="42">
        <f t="shared" si="15"/>
        <v>1.8249999999999999E-2</v>
      </c>
      <c r="O62" s="42">
        <f t="shared" si="16"/>
        <v>2.0277777777777777E-2</v>
      </c>
      <c r="P62" s="42">
        <f t="shared" si="17"/>
        <v>1.8249999999999999E-2</v>
      </c>
    </row>
    <row r="63" spans="1:16" x14ac:dyDescent="0.3">
      <c r="A63" s="47">
        <f t="shared" si="11"/>
        <v>46023</v>
      </c>
      <c r="B63" s="49">
        <f t="shared" si="12"/>
        <v>0.62499999999999989</v>
      </c>
      <c r="C63" s="42">
        <f>'Leden data'!V62+P63</f>
        <v>2.5749999999999999E-2</v>
      </c>
      <c r="D63" s="42">
        <f t="shared" si="5"/>
        <v>2.4E-2</v>
      </c>
      <c r="E63" s="42">
        <f t="shared" si="6"/>
        <v>2.4E-2</v>
      </c>
      <c r="F63" s="42">
        <f t="shared" si="7"/>
        <v>0</v>
      </c>
      <c r="G63" s="42">
        <f t="shared" si="8"/>
        <v>0</v>
      </c>
      <c r="H63" s="42">
        <f t="shared" si="9"/>
        <v>1.7499999999999981E-3</v>
      </c>
      <c r="I63" s="42">
        <f t="shared" si="0"/>
        <v>-1.7499999999999981E-3</v>
      </c>
      <c r="J63" s="43">
        <f>MIN('Výpočty '!$B$1*0.9, MAX('Výpočty '!$B$1*0.05, J62 + M63 - MIN(O63, MAX(0, J62 - ('Výpočty '!$B$1*0.1))) - P63))</f>
        <v>17.183721879286701</v>
      </c>
      <c r="K63" s="46">
        <f>J63/'Výpočty '!$B$1</f>
        <v>0.85918609396433498</v>
      </c>
      <c r="L63" s="42">
        <f t="shared" si="13"/>
        <v>0</v>
      </c>
      <c r="M63" s="42">
        <f t="shared" si="14"/>
        <v>0</v>
      </c>
      <c r="N63" s="42">
        <f t="shared" si="15"/>
        <v>1.9999999999999997E-2</v>
      </c>
      <c r="O63" s="42">
        <f t="shared" si="16"/>
        <v>2.222222222222222E-2</v>
      </c>
      <c r="P63" s="42">
        <f t="shared" si="17"/>
        <v>1.8249999999999999E-2</v>
      </c>
    </row>
    <row r="64" spans="1:16" x14ac:dyDescent="0.3">
      <c r="A64" s="47">
        <f t="shared" si="11"/>
        <v>46023</v>
      </c>
      <c r="B64" s="49">
        <f t="shared" si="12"/>
        <v>0.63541666666666652</v>
      </c>
      <c r="C64" s="42">
        <f>'Leden data'!V63+P64</f>
        <v>2.5749999999999999E-2</v>
      </c>
      <c r="D64" s="42">
        <f t="shared" si="5"/>
        <v>1.0999999999999999E-2</v>
      </c>
      <c r="E64" s="42">
        <f t="shared" si="6"/>
        <v>1.0999999999999999E-2</v>
      </c>
      <c r="F64" s="42">
        <f t="shared" si="7"/>
        <v>0</v>
      </c>
      <c r="G64" s="42">
        <f t="shared" si="8"/>
        <v>0</v>
      </c>
      <c r="H64" s="42">
        <f t="shared" si="9"/>
        <v>1.4749999999999999E-2</v>
      </c>
      <c r="I64" s="42">
        <f t="shared" si="0"/>
        <v>-1.4749999999999999E-2</v>
      </c>
      <c r="J64" s="43">
        <f>MIN('Výpočty '!$B$1*0.9, MAX('Výpočty '!$B$1*0.05, J63 + M64 - MIN(O64, MAX(0, J63 - ('Výpočty '!$B$1*0.1))) - P64))</f>
        <v>17.128805212620037</v>
      </c>
      <c r="K64" s="46">
        <f>J64/'Výpočty '!$B$1</f>
        <v>0.85644026063100187</v>
      </c>
      <c r="L64" s="42">
        <f t="shared" si="13"/>
        <v>0</v>
      </c>
      <c r="M64" s="42">
        <f t="shared" si="14"/>
        <v>0</v>
      </c>
      <c r="N64" s="42">
        <f t="shared" si="15"/>
        <v>3.3000000000000002E-2</v>
      </c>
      <c r="O64" s="42">
        <f t="shared" si="16"/>
        <v>3.6666666666666667E-2</v>
      </c>
      <c r="P64" s="42">
        <f t="shared" si="17"/>
        <v>1.8249999999999999E-2</v>
      </c>
    </row>
    <row r="65" spans="1:16" x14ac:dyDescent="0.3">
      <c r="A65" s="47">
        <f t="shared" si="11"/>
        <v>46023</v>
      </c>
      <c r="B65" s="49">
        <f t="shared" si="12"/>
        <v>0.64583333333333315</v>
      </c>
      <c r="C65" s="42">
        <f>'Leden data'!V64+P65</f>
        <v>2.5749999999999999E-2</v>
      </c>
      <c r="D65" s="42">
        <f t="shared" si="5"/>
        <v>5.0000000000000001E-3</v>
      </c>
      <c r="E65" s="42">
        <f t="shared" si="6"/>
        <v>5.0000000000000001E-3</v>
      </c>
      <c r="F65" s="42">
        <f t="shared" si="7"/>
        <v>0</v>
      </c>
      <c r="G65" s="42">
        <f t="shared" si="8"/>
        <v>0</v>
      </c>
      <c r="H65" s="42">
        <f t="shared" si="9"/>
        <v>2.0749999999999998E-2</v>
      </c>
      <c r="I65" s="42">
        <f t="shared" si="0"/>
        <v>-2.0749999999999998E-2</v>
      </c>
      <c r="J65" s="43">
        <f>MIN('Výpočty '!$B$1*0.9, MAX('Výpočty '!$B$1*0.05, J64 + M65 - MIN(O65, MAX(0, J64 - ('Výpočty '!$B$1*0.1))) - P65))</f>
        <v>17.067221879286706</v>
      </c>
      <c r="K65" s="46">
        <f>J65/'Výpočty '!$B$1</f>
        <v>0.85336109396433524</v>
      </c>
      <c r="L65" s="42">
        <f t="shared" si="13"/>
        <v>0</v>
      </c>
      <c r="M65" s="42">
        <f t="shared" si="14"/>
        <v>0</v>
      </c>
      <c r="N65" s="42">
        <f t="shared" si="15"/>
        <v>3.8999999999999993E-2</v>
      </c>
      <c r="O65" s="42">
        <f t="shared" si="16"/>
        <v>4.3333333333333328E-2</v>
      </c>
      <c r="P65" s="42">
        <f t="shared" si="17"/>
        <v>1.8249999999999999E-2</v>
      </c>
    </row>
    <row r="66" spans="1:16" x14ac:dyDescent="0.3">
      <c r="A66" s="47">
        <f t="shared" si="11"/>
        <v>46023</v>
      </c>
      <c r="B66" s="49">
        <f t="shared" si="12"/>
        <v>0.65624999999999978</v>
      </c>
      <c r="C66" s="42">
        <f>'Leden data'!V65+P66</f>
        <v>2.5749999999999999E-2</v>
      </c>
      <c r="D66" s="42">
        <f t="shared" si="5"/>
        <v>2E-3</v>
      </c>
      <c r="E66" s="42">
        <f t="shared" si="6"/>
        <v>2E-3</v>
      </c>
      <c r="F66" s="42">
        <f t="shared" si="7"/>
        <v>0</v>
      </c>
      <c r="G66" s="42">
        <f t="shared" si="8"/>
        <v>0</v>
      </c>
      <c r="H66" s="42">
        <f t="shared" si="9"/>
        <v>2.375E-2</v>
      </c>
      <c r="I66" s="42">
        <f t="shared" si="0"/>
        <v>-2.375E-2</v>
      </c>
      <c r="J66" s="43">
        <f>MIN('Výpočty '!$B$1*0.9, MAX('Výpočty '!$B$1*0.05, J65 + M66 - MIN(O66, MAX(0, J65 - ('Výpočty '!$B$1*0.1))) - P66))</f>
        <v>17.00230521262004</v>
      </c>
      <c r="K66" s="46">
        <f>J66/'Výpočty '!$B$1</f>
        <v>0.85011526063100207</v>
      </c>
      <c r="L66" s="42">
        <f t="shared" si="13"/>
        <v>0</v>
      </c>
      <c r="M66" s="42">
        <f t="shared" si="14"/>
        <v>0</v>
      </c>
      <c r="N66" s="42">
        <f t="shared" si="15"/>
        <v>4.1999999999999996E-2</v>
      </c>
      <c r="O66" s="42">
        <f t="shared" si="16"/>
        <v>4.6666666666666662E-2</v>
      </c>
      <c r="P66" s="42">
        <f t="shared" si="17"/>
        <v>1.8249999999999999E-2</v>
      </c>
    </row>
    <row r="67" spans="1:16" x14ac:dyDescent="0.3">
      <c r="A67" s="47">
        <f t="shared" si="11"/>
        <v>46023</v>
      </c>
      <c r="B67" s="49">
        <f t="shared" si="12"/>
        <v>0.66666666666666641</v>
      </c>
      <c r="C67" s="42">
        <f>'Leden data'!V66+P67</f>
        <v>1.0257500000000002</v>
      </c>
      <c r="D67" s="42">
        <f t="shared" si="5"/>
        <v>1E-3</v>
      </c>
      <c r="E67" s="42">
        <f t="shared" si="6"/>
        <v>1E-3</v>
      </c>
      <c r="F67" s="42">
        <f t="shared" si="7"/>
        <v>0</v>
      </c>
      <c r="G67" s="42">
        <f t="shared" si="8"/>
        <v>0</v>
      </c>
      <c r="H67" s="42">
        <f t="shared" si="9"/>
        <v>1.0247500000000003</v>
      </c>
      <c r="I67" s="42">
        <f t="shared" ref="I67:I98" si="18">E67-C67</f>
        <v>-1.0247500000000003</v>
      </c>
      <c r="J67" s="43">
        <f>MIN('Výpočty '!$B$1*0.9, MAX('Výpočty '!$B$1*0.05, J66 + M67 - MIN(O67, MAX(0, J66 - ('Výpočty '!$B$1*0.1))) - P67))</f>
        <v>15.825166323731152</v>
      </c>
      <c r="K67" s="46">
        <f>J67/'Výpočty '!$B$1</f>
        <v>0.79125831618655762</v>
      </c>
      <c r="L67" s="42">
        <f t="shared" ref="L67:L98" si="19">M67 * Účinnost_cyklu</f>
        <v>0</v>
      </c>
      <c r="M67" s="42">
        <f t="shared" ref="M67:M98" si="20">MIN(MAX(0, I67), MAX(0, Kapacita_baterie * Soc_Max - J66) / Účinnost_cyklu, Stridac_limit)</f>
        <v>0</v>
      </c>
      <c r="N67" s="42">
        <f t="shared" ref="N67:N98" si="21">MAX(0, MIN(J66 - (Kapacita_baterie * Soc_Kriticke), C67 - D67 + P67))</f>
        <v>1.0430000000000004</v>
      </c>
      <c r="O67" s="42">
        <f t="shared" ref="O67:O98" si="22">N67 / Účinnost_cyklu</f>
        <v>1.1588888888888893</v>
      </c>
      <c r="P67" s="42">
        <f t="shared" ref="P67:P98" si="23">Vlastní_Spotřeba_kWh</f>
        <v>1.8249999999999999E-2</v>
      </c>
    </row>
    <row r="68" spans="1:16" x14ac:dyDescent="0.3">
      <c r="A68" s="47">
        <f t="shared" ref="A68:A98" si="24">DATE(2026,1,1)</f>
        <v>46023</v>
      </c>
      <c r="B68" s="49">
        <f t="shared" si="12"/>
        <v>0.67708333333333304</v>
      </c>
      <c r="C68" s="42">
        <f>'Leden data'!V67+P68</f>
        <v>1.0307500000000001</v>
      </c>
      <c r="D68" s="42">
        <f t="shared" ref="D68:D98" si="25">MIN(C68, E68)</f>
        <v>0</v>
      </c>
      <c r="E68" s="42">
        <f t="shared" ref="E68:E98" si="26">ROUND(MAX(0, 8.5 * EXP(-((HOUR(B68)+MINUTE(B68)/60 - 12)^2) / 2) * 0.25), 3)</f>
        <v>0</v>
      </c>
      <c r="F68" s="42">
        <f t="shared" ref="F68:F98" si="27">MAX(0, C68 - D68 - H68 )</f>
        <v>0</v>
      </c>
      <c r="G68" s="42">
        <f t="shared" ref="G68:G98" si="28">MAX(0, E68 - D68 - M68)</f>
        <v>0</v>
      </c>
      <c r="H68" s="42">
        <f t="shared" ref="H68:H97" si="29">MAX(0, MIN(C68 - D68, N68 ))</f>
        <v>1.0307500000000001</v>
      </c>
      <c r="I68" s="42">
        <f t="shared" si="18"/>
        <v>-1.0307500000000001</v>
      </c>
      <c r="J68" s="43">
        <f>MIN('Výpočty '!$B$1*0.9, MAX('Výpočty '!$B$1*0.05, J67 + M68 - MIN(O68, MAX(0, J67 - ('Výpočty '!$B$1*0.1))) - P68))</f>
        <v>14.641360768175597</v>
      </c>
      <c r="K68" s="46">
        <f>J68/'Výpočty '!$B$1</f>
        <v>0.73206803840877988</v>
      </c>
      <c r="L68" s="42">
        <f t="shared" si="19"/>
        <v>0</v>
      </c>
      <c r="M68" s="42">
        <f t="shared" si="20"/>
        <v>0</v>
      </c>
      <c r="N68" s="42">
        <f t="shared" si="21"/>
        <v>1.0490000000000002</v>
      </c>
      <c r="O68" s="42">
        <f t="shared" si="22"/>
        <v>1.1655555555555557</v>
      </c>
      <c r="P68" s="42">
        <f t="shared" si="23"/>
        <v>1.8249999999999999E-2</v>
      </c>
    </row>
    <row r="69" spans="1:16" x14ac:dyDescent="0.3">
      <c r="A69" s="47">
        <f t="shared" si="24"/>
        <v>46023</v>
      </c>
      <c r="B69" s="49">
        <f t="shared" ref="B69:B98" si="30">B68+TIME(0,15,0)</f>
        <v>0.68749999999999967</v>
      </c>
      <c r="C69" s="42">
        <f>'Leden data'!V68+P69</f>
        <v>1.0807500000000001</v>
      </c>
      <c r="D69" s="42">
        <f t="shared" si="25"/>
        <v>0</v>
      </c>
      <c r="E69" s="42">
        <f t="shared" si="26"/>
        <v>0</v>
      </c>
      <c r="F69" s="42">
        <f t="shared" si="27"/>
        <v>0</v>
      </c>
      <c r="G69" s="42">
        <f t="shared" si="28"/>
        <v>0</v>
      </c>
      <c r="H69" s="42">
        <f t="shared" si="29"/>
        <v>1.0807500000000001</v>
      </c>
      <c r="I69" s="42">
        <f t="shared" si="18"/>
        <v>-1.0807500000000001</v>
      </c>
      <c r="J69" s="43">
        <f>MIN('Výpočty '!$B$1*0.9, MAX('Výpočty '!$B$1*0.05, J68 + M69 - MIN(O69, MAX(0, J68 - ('Výpočty '!$B$1*0.1))) - P69))</f>
        <v>13.401999657064485</v>
      </c>
      <c r="K69" s="46">
        <f>J69/'Výpočty '!$B$1</f>
        <v>0.67009998285322425</v>
      </c>
      <c r="L69" s="42">
        <f t="shared" si="19"/>
        <v>0</v>
      </c>
      <c r="M69" s="42">
        <f t="shared" si="20"/>
        <v>0</v>
      </c>
      <c r="N69" s="42">
        <f t="shared" si="21"/>
        <v>1.0990000000000002</v>
      </c>
      <c r="O69" s="42">
        <f t="shared" si="22"/>
        <v>1.2211111111111113</v>
      </c>
      <c r="P69" s="42">
        <f t="shared" si="23"/>
        <v>1.8249999999999999E-2</v>
      </c>
    </row>
    <row r="70" spans="1:16" x14ac:dyDescent="0.3">
      <c r="A70" s="47">
        <f t="shared" si="24"/>
        <v>46023</v>
      </c>
      <c r="B70" s="49">
        <f t="shared" si="30"/>
        <v>0.6979166666666663</v>
      </c>
      <c r="C70" s="42">
        <f>'Leden data'!V69+P70</f>
        <v>1.06325</v>
      </c>
      <c r="D70" s="42">
        <f t="shared" si="25"/>
        <v>0</v>
      </c>
      <c r="E70" s="42">
        <f t="shared" si="26"/>
        <v>0</v>
      </c>
      <c r="F70" s="42">
        <f t="shared" si="27"/>
        <v>0</v>
      </c>
      <c r="G70" s="42">
        <f t="shared" si="28"/>
        <v>0</v>
      </c>
      <c r="H70" s="42">
        <f t="shared" si="29"/>
        <v>1.06325</v>
      </c>
      <c r="I70" s="42">
        <f t="shared" si="18"/>
        <v>-1.06325</v>
      </c>
      <c r="J70" s="43">
        <f>MIN('Výpočty '!$B$1*0.9, MAX('Výpočty '!$B$1*0.05, J69 + M70 - MIN(O70, MAX(0, J69 - ('Výpočty '!$B$1*0.1))) - P70))</f>
        <v>12.182082990397818</v>
      </c>
      <c r="K70" s="46">
        <f>J70/'Výpočty '!$B$1</f>
        <v>0.60910414951989089</v>
      </c>
      <c r="L70" s="42">
        <f t="shared" si="19"/>
        <v>0</v>
      </c>
      <c r="M70" s="42">
        <f t="shared" si="20"/>
        <v>0</v>
      </c>
      <c r="N70" s="42">
        <f t="shared" si="21"/>
        <v>1.0815000000000001</v>
      </c>
      <c r="O70" s="42">
        <f t="shared" si="22"/>
        <v>1.2016666666666669</v>
      </c>
      <c r="P70" s="42">
        <f t="shared" si="23"/>
        <v>1.8249999999999999E-2</v>
      </c>
    </row>
    <row r="71" spans="1:16" x14ac:dyDescent="0.3">
      <c r="A71" s="47">
        <f t="shared" si="24"/>
        <v>46023</v>
      </c>
      <c r="B71" s="49">
        <f t="shared" si="30"/>
        <v>0.70833333333333293</v>
      </c>
      <c r="C71" s="42">
        <f>'Leden data'!V70+P71</f>
        <v>1.0707499999999999</v>
      </c>
      <c r="D71" s="42">
        <f t="shared" si="25"/>
        <v>0</v>
      </c>
      <c r="E71" s="42">
        <f t="shared" si="26"/>
        <v>0</v>
      </c>
      <c r="F71" s="42">
        <f t="shared" si="27"/>
        <v>0</v>
      </c>
      <c r="G71" s="42">
        <f t="shared" si="28"/>
        <v>0</v>
      </c>
      <c r="H71" s="42">
        <f t="shared" si="29"/>
        <v>1.0707499999999999</v>
      </c>
      <c r="I71" s="42">
        <f t="shared" si="18"/>
        <v>-1.0707499999999999</v>
      </c>
      <c r="J71" s="43">
        <f>MIN('Výpočty '!$B$1*0.9, MAX('Výpočty '!$B$1*0.05, J70 + M71 - MIN(O71, MAX(0, J70 - ('Výpočty '!$B$1*0.1))) - P71))</f>
        <v>10.953832990397819</v>
      </c>
      <c r="K71" s="46">
        <f>J71/'Výpočty '!$B$1</f>
        <v>0.54769164951989091</v>
      </c>
      <c r="L71" s="42">
        <f t="shared" si="19"/>
        <v>0</v>
      </c>
      <c r="M71" s="42">
        <f t="shared" si="20"/>
        <v>0</v>
      </c>
      <c r="N71" s="42">
        <f t="shared" si="21"/>
        <v>1.089</v>
      </c>
      <c r="O71" s="42">
        <f t="shared" si="22"/>
        <v>1.21</v>
      </c>
      <c r="P71" s="42">
        <f t="shared" si="23"/>
        <v>1.8249999999999999E-2</v>
      </c>
    </row>
    <row r="72" spans="1:16" x14ac:dyDescent="0.3">
      <c r="A72" s="47">
        <f t="shared" si="24"/>
        <v>46023</v>
      </c>
      <c r="B72" s="49">
        <f t="shared" si="30"/>
        <v>0.71874999999999956</v>
      </c>
      <c r="C72" s="42">
        <f>'Leden data'!V71+P72</f>
        <v>1.0707499999999999</v>
      </c>
      <c r="D72" s="42">
        <f t="shared" si="25"/>
        <v>0</v>
      </c>
      <c r="E72" s="42">
        <f t="shared" si="26"/>
        <v>0</v>
      </c>
      <c r="F72" s="42">
        <f t="shared" si="27"/>
        <v>0</v>
      </c>
      <c r="G72" s="42">
        <f t="shared" si="28"/>
        <v>0</v>
      </c>
      <c r="H72" s="42">
        <f t="shared" si="29"/>
        <v>1.0707499999999999</v>
      </c>
      <c r="I72" s="42">
        <f t="shared" si="18"/>
        <v>-1.0707499999999999</v>
      </c>
      <c r="J72" s="43">
        <f>MIN('Výpočty '!$B$1*0.9, MAX('Výpočty '!$B$1*0.05, J71 + M72 - MIN(O72, MAX(0, J71 - ('Výpočty '!$B$1*0.1))) - P72))</f>
        <v>9.7255829903978199</v>
      </c>
      <c r="K72" s="46">
        <f>J72/'Výpočty '!$B$1</f>
        <v>0.48627914951989099</v>
      </c>
      <c r="L72" s="42">
        <f t="shared" si="19"/>
        <v>0</v>
      </c>
      <c r="M72" s="42">
        <f t="shared" si="20"/>
        <v>0</v>
      </c>
      <c r="N72" s="42">
        <f t="shared" si="21"/>
        <v>1.089</v>
      </c>
      <c r="O72" s="42">
        <f t="shared" si="22"/>
        <v>1.21</v>
      </c>
      <c r="P72" s="42">
        <f t="shared" si="23"/>
        <v>1.8249999999999999E-2</v>
      </c>
    </row>
    <row r="73" spans="1:16" x14ac:dyDescent="0.3">
      <c r="A73" s="47">
        <f t="shared" si="24"/>
        <v>46023</v>
      </c>
      <c r="B73" s="49">
        <f t="shared" si="30"/>
        <v>0.72916666666666619</v>
      </c>
      <c r="C73" s="42">
        <f>'Leden data'!V72+P73</f>
        <v>2.5747499999999999</v>
      </c>
      <c r="D73" s="42">
        <f t="shared" si="25"/>
        <v>0</v>
      </c>
      <c r="E73" s="42">
        <f t="shared" si="26"/>
        <v>0</v>
      </c>
      <c r="F73" s="42">
        <f t="shared" si="27"/>
        <v>0</v>
      </c>
      <c r="G73" s="42">
        <f t="shared" si="28"/>
        <v>0</v>
      </c>
      <c r="H73" s="42">
        <f t="shared" si="29"/>
        <v>2.5747499999999999</v>
      </c>
      <c r="I73" s="42">
        <f t="shared" si="18"/>
        <v>-2.5747499999999999</v>
      </c>
      <c r="J73" s="43">
        <f>MIN('Výpočty '!$B$1*0.9, MAX('Výpočty '!$B$1*0.05, J72 + M73 - MIN(O73, MAX(0, J72 - ('Výpočty '!$B$1*0.1))) - P73))</f>
        <v>6.8262218792867086</v>
      </c>
      <c r="K73" s="46">
        <f>J73/'Výpočty '!$B$1</f>
        <v>0.34131109396433545</v>
      </c>
      <c r="L73" s="42">
        <f t="shared" si="19"/>
        <v>0</v>
      </c>
      <c r="M73" s="42">
        <f t="shared" si="20"/>
        <v>0</v>
      </c>
      <c r="N73" s="42">
        <f t="shared" si="21"/>
        <v>2.593</v>
      </c>
      <c r="O73" s="42">
        <f t="shared" si="22"/>
        <v>2.8811111111111112</v>
      </c>
      <c r="P73" s="42">
        <f t="shared" si="23"/>
        <v>1.8249999999999999E-2</v>
      </c>
    </row>
    <row r="74" spans="1:16" x14ac:dyDescent="0.3">
      <c r="A74" s="47">
        <f t="shared" si="24"/>
        <v>46023</v>
      </c>
      <c r="B74" s="49">
        <f t="shared" si="30"/>
        <v>0.73958333333333282</v>
      </c>
      <c r="C74" s="42">
        <f>'Leden data'!V73+P74</f>
        <v>3.3247499999999999</v>
      </c>
      <c r="D74" s="42">
        <f t="shared" si="25"/>
        <v>0</v>
      </c>
      <c r="E74" s="42">
        <f t="shared" si="26"/>
        <v>0</v>
      </c>
      <c r="F74" s="42">
        <f t="shared" si="27"/>
        <v>0</v>
      </c>
      <c r="G74" s="42">
        <f t="shared" si="28"/>
        <v>0</v>
      </c>
      <c r="H74" s="42">
        <f t="shared" si="29"/>
        <v>3.3247499999999999</v>
      </c>
      <c r="I74" s="42">
        <f t="shared" si="18"/>
        <v>-3.3247499999999999</v>
      </c>
      <c r="J74" s="43">
        <f>MIN('Výpočty '!$B$1*0.9, MAX('Výpočty '!$B$1*0.05, J73 + M74 - MIN(O74, MAX(0, J73 - ('Výpočty '!$B$1*0.1))) - P74))</f>
        <v>3.0935274348422643</v>
      </c>
      <c r="K74" s="46">
        <f>J74/'Výpočty '!$B$1</f>
        <v>0.15467637174211321</v>
      </c>
      <c r="L74" s="42">
        <f t="shared" si="19"/>
        <v>0</v>
      </c>
      <c r="M74" s="42">
        <f t="shared" si="20"/>
        <v>0</v>
      </c>
      <c r="N74" s="42">
        <f t="shared" si="21"/>
        <v>3.343</v>
      </c>
      <c r="O74" s="42">
        <f t="shared" si="22"/>
        <v>3.7144444444444442</v>
      </c>
      <c r="P74" s="42">
        <f t="shared" si="23"/>
        <v>1.8249999999999999E-2</v>
      </c>
    </row>
    <row r="75" spans="1:16" x14ac:dyDescent="0.3">
      <c r="A75" s="47">
        <f t="shared" si="24"/>
        <v>46023</v>
      </c>
      <c r="B75" s="49">
        <f t="shared" si="30"/>
        <v>0.74999999999999944</v>
      </c>
      <c r="C75" s="42">
        <f>'Leden data'!V74+P75</f>
        <v>3.3247499999999999</v>
      </c>
      <c r="D75" s="42">
        <f t="shared" si="25"/>
        <v>0</v>
      </c>
      <c r="E75" s="42">
        <f t="shared" si="26"/>
        <v>0</v>
      </c>
      <c r="F75" s="42">
        <f t="shared" si="27"/>
        <v>1.2312225651577355</v>
      </c>
      <c r="G75" s="42">
        <f t="shared" si="28"/>
        <v>0</v>
      </c>
      <c r="H75" s="42">
        <f t="shared" si="29"/>
        <v>2.0935274348422643</v>
      </c>
      <c r="I75" s="42">
        <f t="shared" si="18"/>
        <v>-3.3247499999999999</v>
      </c>
      <c r="J75" s="43">
        <f>MIN('Výpočty '!$B$1*0.9, MAX('Výpočty '!$B$1*0.05, J74 + M75 - MIN(O75, MAX(0, J74 - ('Výpočty '!$B$1*0.1))) - P75))</f>
        <v>1.9817499999999999</v>
      </c>
      <c r="K75" s="46">
        <f>J75/'Výpočty '!$B$1</f>
        <v>9.9087499999999995E-2</v>
      </c>
      <c r="L75" s="42">
        <f t="shared" si="19"/>
        <v>0</v>
      </c>
      <c r="M75" s="42">
        <f t="shared" si="20"/>
        <v>0</v>
      </c>
      <c r="N75" s="42">
        <f t="shared" si="21"/>
        <v>2.0935274348422643</v>
      </c>
      <c r="O75" s="42">
        <f t="shared" si="22"/>
        <v>2.3261415942691825</v>
      </c>
      <c r="P75" s="42">
        <f t="shared" si="23"/>
        <v>1.8249999999999999E-2</v>
      </c>
    </row>
    <row r="76" spans="1:16" x14ac:dyDescent="0.3">
      <c r="A76" s="47">
        <f t="shared" si="24"/>
        <v>46023</v>
      </c>
      <c r="B76" s="49">
        <f t="shared" si="30"/>
        <v>0.76041666666666607</v>
      </c>
      <c r="C76" s="42">
        <f>'Leden data'!V75+P76</f>
        <v>3.3097500000000002</v>
      </c>
      <c r="D76" s="42">
        <f t="shared" si="25"/>
        <v>0</v>
      </c>
      <c r="E76" s="42">
        <f t="shared" si="26"/>
        <v>0</v>
      </c>
      <c r="F76" s="42">
        <f t="shared" si="27"/>
        <v>2.3280000000000003</v>
      </c>
      <c r="G76" s="42">
        <f t="shared" si="28"/>
        <v>0</v>
      </c>
      <c r="H76" s="42">
        <f t="shared" si="29"/>
        <v>0.9817499999999999</v>
      </c>
      <c r="I76" s="42">
        <f t="shared" si="18"/>
        <v>-3.3097500000000002</v>
      </c>
      <c r="J76" s="43">
        <f>MIN('Výpočty '!$B$1*0.9, MAX('Výpočty '!$B$1*0.05, J75 + M76 - MIN(O76, MAX(0, J75 - ('Výpočty '!$B$1*0.1))) - P76))</f>
        <v>1.9634999999999998</v>
      </c>
      <c r="K76" s="46">
        <f>J76/'Výpočty '!$B$1</f>
        <v>9.8174999999999985E-2</v>
      </c>
      <c r="L76" s="42">
        <f t="shared" si="19"/>
        <v>0</v>
      </c>
      <c r="M76" s="42">
        <f t="shared" si="20"/>
        <v>0</v>
      </c>
      <c r="N76" s="42">
        <f t="shared" si="21"/>
        <v>0.9817499999999999</v>
      </c>
      <c r="O76" s="42">
        <f t="shared" si="22"/>
        <v>1.0908333333333331</v>
      </c>
      <c r="P76" s="42">
        <f t="shared" si="23"/>
        <v>1.8249999999999999E-2</v>
      </c>
    </row>
    <row r="77" spans="1:16" x14ac:dyDescent="0.3">
      <c r="A77" s="47">
        <f t="shared" si="24"/>
        <v>46023</v>
      </c>
      <c r="B77" s="49">
        <f t="shared" si="30"/>
        <v>0.7708333333333327</v>
      </c>
      <c r="C77" s="42">
        <f>'Leden data'!V76+P77</f>
        <v>1.80975</v>
      </c>
      <c r="D77" s="42">
        <f t="shared" si="25"/>
        <v>0</v>
      </c>
      <c r="E77" s="42">
        <f t="shared" si="26"/>
        <v>0</v>
      </c>
      <c r="F77" s="42">
        <f t="shared" si="27"/>
        <v>0.84625000000000017</v>
      </c>
      <c r="G77" s="42">
        <f t="shared" si="28"/>
        <v>0</v>
      </c>
      <c r="H77" s="42">
        <f t="shared" si="29"/>
        <v>0.9634999999999998</v>
      </c>
      <c r="I77" s="42">
        <f t="shared" si="18"/>
        <v>-1.80975</v>
      </c>
      <c r="J77" s="43">
        <f>MIN('Výpočty '!$B$1*0.9, MAX('Výpočty '!$B$1*0.05, J76 + M77 - MIN(O77, MAX(0, J76 - ('Výpočty '!$B$1*0.1))) - P77))</f>
        <v>1.9452499999999997</v>
      </c>
      <c r="K77" s="46">
        <f>J77/'Výpočty '!$B$1</f>
        <v>9.7262499999999988E-2</v>
      </c>
      <c r="L77" s="42">
        <f t="shared" si="19"/>
        <v>0</v>
      </c>
      <c r="M77" s="42">
        <f t="shared" si="20"/>
        <v>0</v>
      </c>
      <c r="N77" s="42">
        <f t="shared" si="21"/>
        <v>0.9634999999999998</v>
      </c>
      <c r="O77" s="42">
        <f t="shared" si="22"/>
        <v>1.0705555555555553</v>
      </c>
      <c r="P77" s="42">
        <f t="shared" si="23"/>
        <v>1.8249999999999999E-2</v>
      </c>
    </row>
    <row r="78" spans="1:16" x14ac:dyDescent="0.3">
      <c r="A78" s="47">
        <f t="shared" si="24"/>
        <v>46023</v>
      </c>
      <c r="B78" s="49">
        <f t="shared" si="30"/>
        <v>0.78124999999999933</v>
      </c>
      <c r="C78" s="42">
        <f>'Leden data'!V77+P78</f>
        <v>1.8127500000000001</v>
      </c>
      <c r="D78" s="42">
        <f t="shared" si="25"/>
        <v>0</v>
      </c>
      <c r="E78" s="42">
        <f t="shared" si="26"/>
        <v>0</v>
      </c>
      <c r="F78" s="42">
        <f t="shared" si="27"/>
        <v>0.86750000000000038</v>
      </c>
      <c r="G78" s="42">
        <f t="shared" si="28"/>
        <v>0</v>
      </c>
      <c r="H78" s="42">
        <f t="shared" si="29"/>
        <v>0.9452499999999997</v>
      </c>
      <c r="I78" s="42">
        <f t="shared" si="18"/>
        <v>-1.8127500000000001</v>
      </c>
      <c r="J78" s="43">
        <f>MIN('Výpočty '!$B$1*0.9, MAX('Výpočty '!$B$1*0.05, J77 + M78 - MIN(O78, MAX(0, J77 - ('Výpočty '!$B$1*0.1))) - P78))</f>
        <v>1.9269999999999996</v>
      </c>
      <c r="K78" s="46">
        <f>J78/'Výpočty '!$B$1</f>
        <v>9.6349999999999977E-2</v>
      </c>
      <c r="L78" s="42">
        <f t="shared" si="19"/>
        <v>0</v>
      </c>
      <c r="M78" s="42">
        <f t="shared" si="20"/>
        <v>0</v>
      </c>
      <c r="N78" s="42">
        <f t="shared" si="21"/>
        <v>0.9452499999999997</v>
      </c>
      <c r="O78" s="42">
        <f t="shared" si="22"/>
        <v>1.0502777777777774</v>
      </c>
      <c r="P78" s="42">
        <f t="shared" si="23"/>
        <v>1.8249999999999999E-2</v>
      </c>
    </row>
    <row r="79" spans="1:16" x14ac:dyDescent="0.3">
      <c r="A79" s="47">
        <f t="shared" si="24"/>
        <v>46023</v>
      </c>
      <c r="B79" s="49">
        <f t="shared" si="30"/>
        <v>0.79166666666666596</v>
      </c>
      <c r="C79" s="42">
        <f>'Leden data'!V78+P79</f>
        <v>1.839</v>
      </c>
      <c r="D79" s="42">
        <f t="shared" si="25"/>
        <v>0</v>
      </c>
      <c r="E79" s="42">
        <f t="shared" si="26"/>
        <v>0</v>
      </c>
      <c r="F79" s="42">
        <f t="shared" si="27"/>
        <v>0.91200000000000037</v>
      </c>
      <c r="G79" s="42">
        <f t="shared" si="28"/>
        <v>0</v>
      </c>
      <c r="H79" s="42">
        <f t="shared" si="29"/>
        <v>0.9269999999999996</v>
      </c>
      <c r="I79" s="42">
        <f t="shared" si="18"/>
        <v>-1.839</v>
      </c>
      <c r="J79" s="43">
        <f>MIN('Výpočty '!$B$1*0.9, MAX('Výpočty '!$B$1*0.05, J78 + M79 - MIN(O79, MAX(0, J78 - ('Výpočty '!$B$1*0.1))) - P79))</f>
        <v>1.9087499999999995</v>
      </c>
      <c r="K79" s="46">
        <f>J79/'Výpočty '!$B$1</f>
        <v>9.5437499999999981E-2</v>
      </c>
      <c r="L79" s="42">
        <f t="shared" si="19"/>
        <v>0</v>
      </c>
      <c r="M79" s="42">
        <f t="shared" si="20"/>
        <v>0</v>
      </c>
      <c r="N79" s="42">
        <f t="shared" si="21"/>
        <v>0.9269999999999996</v>
      </c>
      <c r="O79" s="42">
        <f t="shared" si="22"/>
        <v>1.0299999999999996</v>
      </c>
      <c r="P79" s="42">
        <f t="shared" si="23"/>
        <v>1.8249999999999999E-2</v>
      </c>
    </row>
    <row r="80" spans="1:16" x14ac:dyDescent="0.3">
      <c r="A80" s="47">
        <f t="shared" si="24"/>
        <v>46023</v>
      </c>
      <c r="B80" s="49">
        <f t="shared" si="30"/>
        <v>0.80208333333333259</v>
      </c>
      <c r="C80" s="42">
        <f>'Leden data'!V79+P80</f>
        <v>0.56399999999999995</v>
      </c>
      <c r="D80" s="42">
        <f t="shared" si="25"/>
        <v>0</v>
      </c>
      <c r="E80" s="42">
        <f t="shared" si="26"/>
        <v>0</v>
      </c>
      <c r="F80" s="42">
        <f t="shared" si="27"/>
        <v>0</v>
      </c>
      <c r="G80" s="42">
        <f t="shared" si="28"/>
        <v>0</v>
      </c>
      <c r="H80" s="42">
        <f t="shared" si="29"/>
        <v>0.56399999999999995</v>
      </c>
      <c r="I80" s="42">
        <f t="shared" si="18"/>
        <v>-0.56399999999999995</v>
      </c>
      <c r="J80" s="43">
        <f>MIN('Výpočty '!$B$1*0.9, MAX('Výpočty '!$B$1*0.05, J79 + M80 - MIN(O80, MAX(0, J79 - ('Výpočty '!$B$1*0.1))) - P80))</f>
        <v>1.8904999999999994</v>
      </c>
      <c r="K80" s="46">
        <f>J80/'Výpočty '!$B$1</f>
        <v>9.452499999999997E-2</v>
      </c>
      <c r="L80" s="42">
        <f t="shared" si="19"/>
        <v>0</v>
      </c>
      <c r="M80" s="42">
        <f t="shared" si="20"/>
        <v>0</v>
      </c>
      <c r="N80" s="42">
        <f t="shared" si="21"/>
        <v>0.58224999999999993</v>
      </c>
      <c r="O80" s="42">
        <f t="shared" si="22"/>
        <v>0.64694444444444432</v>
      </c>
      <c r="P80" s="42">
        <f t="shared" si="23"/>
        <v>1.8249999999999999E-2</v>
      </c>
    </row>
    <row r="81" spans="1:16" x14ac:dyDescent="0.3">
      <c r="A81" s="47">
        <f t="shared" si="24"/>
        <v>46023</v>
      </c>
      <c r="B81" s="49">
        <f t="shared" si="30"/>
        <v>0.81249999999999922</v>
      </c>
      <c r="C81" s="42">
        <f>'Leden data'!V80+P81</f>
        <v>0.62649999999999995</v>
      </c>
      <c r="D81" s="42">
        <f t="shared" si="25"/>
        <v>0</v>
      </c>
      <c r="E81" s="42">
        <f t="shared" si="26"/>
        <v>0</v>
      </c>
      <c r="F81" s="42">
        <f t="shared" si="27"/>
        <v>0</v>
      </c>
      <c r="G81" s="42">
        <f t="shared" si="28"/>
        <v>0</v>
      </c>
      <c r="H81" s="42">
        <f t="shared" si="29"/>
        <v>0.62649999999999995</v>
      </c>
      <c r="I81" s="42">
        <f t="shared" si="18"/>
        <v>-0.62649999999999995</v>
      </c>
      <c r="J81" s="43">
        <f>MIN('Výpočty '!$B$1*0.9, MAX('Výpočty '!$B$1*0.05, J80 + M81 - MIN(O81, MAX(0, J80 - ('Výpočty '!$B$1*0.1))) - P81))</f>
        <v>1.8722499999999993</v>
      </c>
      <c r="K81" s="46">
        <f>J81/'Výpočty '!$B$1</f>
        <v>9.361249999999996E-2</v>
      </c>
      <c r="L81" s="42">
        <f t="shared" si="19"/>
        <v>0</v>
      </c>
      <c r="M81" s="42">
        <f t="shared" si="20"/>
        <v>0</v>
      </c>
      <c r="N81" s="42">
        <f t="shared" si="21"/>
        <v>0.64474999999999993</v>
      </c>
      <c r="O81" s="42">
        <f t="shared" si="22"/>
        <v>0.71638888888888885</v>
      </c>
      <c r="P81" s="42">
        <f t="shared" si="23"/>
        <v>1.8249999999999999E-2</v>
      </c>
    </row>
    <row r="82" spans="1:16" x14ac:dyDescent="0.3">
      <c r="A82" s="47">
        <f t="shared" si="24"/>
        <v>46023</v>
      </c>
      <c r="B82" s="49">
        <f t="shared" si="30"/>
        <v>0.82291666666666585</v>
      </c>
      <c r="C82" s="42">
        <f>'Leden data'!V81+P82</f>
        <v>0.63049999999999995</v>
      </c>
      <c r="D82" s="42">
        <f t="shared" si="25"/>
        <v>0</v>
      </c>
      <c r="E82" s="42">
        <f t="shared" si="26"/>
        <v>0</v>
      </c>
      <c r="F82" s="42">
        <f t="shared" si="27"/>
        <v>0</v>
      </c>
      <c r="G82" s="42">
        <f t="shared" si="28"/>
        <v>0</v>
      </c>
      <c r="H82" s="42">
        <f t="shared" si="29"/>
        <v>0.63049999999999995</v>
      </c>
      <c r="I82" s="42">
        <f t="shared" si="18"/>
        <v>-0.63049999999999995</v>
      </c>
      <c r="J82" s="43">
        <f>MIN('Výpočty '!$B$1*0.9, MAX('Výpočty '!$B$1*0.05, J81 + M82 - MIN(O82, MAX(0, J81 - ('Výpočty '!$B$1*0.1))) - P82))</f>
        <v>1.8539999999999992</v>
      </c>
      <c r="K82" s="46">
        <f>J82/'Výpočty '!$B$1</f>
        <v>9.2699999999999963E-2</v>
      </c>
      <c r="L82" s="42">
        <f t="shared" si="19"/>
        <v>0</v>
      </c>
      <c r="M82" s="42">
        <f t="shared" si="20"/>
        <v>0</v>
      </c>
      <c r="N82" s="42">
        <f t="shared" si="21"/>
        <v>0.64874999999999994</v>
      </c>
      <c r="O82" s="42">
        <f t="shared" si="22"/>
        <v>0.72083333333333321</v>
      </c>
      <c r="P82" s="42">
        <f t="shared" si="23"/>
        <v>1.8249999999999999E-2</v>
      </c>
    </row>
    <row r="83" spans="1:16" x14ac:dyDescent="0.3">
      <c r="A83" s="47">
        <f t="shared" si="24"/>
        <v>46023</v>
      </c>
      <c r="B83" s="49">
        <f t="shared" si="30"/>
        <v>0.83333333333333248</v>
      </c>
      <c r="C83" s="42">
        <f>'Leden data'!V82+P83</f>
        <v>0.63049999999999995</v>
      </c>
      <c r="D83" s="42">
        <f t="shared" si="25"/>
        <v>0</v>
      </c>
      <c r="E83" s="42">
        <f t="shared" si="26"/>
        <v>0</v>
      </c>
      <c r="F83" s="42">
        <f t="shared" si="27"/>
        <v>0</v>
      </c>
      <c r="G83" s="42">
        <f t="shared" si="28"/>
        <v>0</v>
      </c>
      <c r="H83" s="42">
        <f t="shared" si="29"/>
        <v>0.63049999999999995</v>
      </c>
      <c r="I83" s="42">
        <f t="shared" si="18"/>
        <v>-0.63049999999999995</v>
      </c>
      <c r="J83" s="43">
        <f>MIN('Výpočty '!$B$1*0.9, MAX('Výpočty '!$B$1*0.05, J82 + M83 - MIN(O83, MAX(0, J82 - ('Výpočty '!$B$1*0.1))) - P83))</f>
        <v>1.8357499999999991</v>
      </c>
      <c r="K83" s="46">
        <f>J83/'Výpočty '!$B$1</f>
        <v>9.1787499999999952E-2</v>
      </c>
      <c r="L83" s="42">
        <f t="shared" si="19"/>
        <v>0</v>
      </c>
      <c r="M83" s="42">
        <f t="shared" si="20"/>
        <v>0</v>
      </c>
      <c r="N83" s="42">
        <f t="shared" si="21"/>
        <v>0.64874999999999994</v>
      </c>
      <c r="O83" s="42">
        <f t="shared" si="22"/>
        <v>0.72083333333333321</v>
      </c>
      <c r="P83" s="42">
        <f t="shared" si="23"/>
        <v>1.8249999999999999E-2</v>
      </c>
    </row>
    <row r="84" spans="1:16" x14ac:dyDescent="0.3">
      <c r="A84" s="47">
        <f t="shared" si="24"/>
        <v>46023</v>
      </c>
      <c r="B84" s="49">
        <f t="shared" si="30"/>
        <v>0.84374999999999911</v>
      </c>
      <c r="C84" s="42">
        <f>'Leden data'!V83+P84</f>
        <v>0.63049999999999995</v>
      </c>
      <c r="D84" s="42">
        <f t="shared" si="25"/>
        <v>0</v>
      </c>
      <c r="E84" s="42">
        <f t="shared" si="26"/>
        <v>0</v>
      </c>
      <c r="F84" s="42">
        <f t="shared" si="27"/>
        <v>0</v>
      </c>
      <c r="G84" s="42">
        <f t="shared" si="28"/>
        <v>0</v>
      </c>
      <c r="H84" s="42">
        <f t="shared" si="29"/>
        <v>0.63049999999999995</v>
      </c>
      <c r="I84" s="42">
        <f t="shared" si="18"/>
        <v>-0.63049999999999995</v>
      </c>
      <c r="J84" s="43">
        <f>MIN('Výpočty '!$B$1*0.9, MAX('Výpočty '!$B$1*0.05, J83 + M84 - MIN(O84, MAX(0, J83 - ('Výpočty '!$B$1*0.1))) - P84))</f>
        <v>1.817499999999999</v>
      </c>
      <c r="K84" s="46">
        <f>J84/'Výpočty '!$B$1</f>
        <v>9.0874999999999956E-2</v>
      </c>
      <c r="L84" s="42">
        <f t="shared" si="19"/>
        <v>0</v>
      </c>
      <c r="M84" s="42">
        <f t="shared" si="20"/>
        <v>0</v>
      </c>
      <c r="N84" s="42">
        <f t="shared" si="21"/>
        <v>0.64874999999999994</v>
      </c>
      <c r="O84" s="42">
        <f t="shared" si="22"/>
        <v>0.72083333333333321</v>
      </c>
      <c r="P84" s="42">
        <f t="shared" si="23"/>
        <v>1.8249999999999999E-2</v>
      </c>
    </row>
    <row r="85" spans="1:16" x14ac:dyDescent="0.3">
      <c r="A85" s="47">
        <f t="shared" si="24"/>
        <v>46023</v>
      </c>
      <c r="B85" s="49">
        <f t="shared" si="30"/>
        <v>0.85416666666666574</v>
      </c>
      <c r="C85" s="42">
        <f>'Leden data'!V84+P85</f>
        <v>0.63049999999999995</v>
      </c>
      <c r="D85" s="42">
        <f t="shared" si="25"/>
        <v>0</v>
      </c>
      <c r="E85" s="42">
        <f t="shared" si="26"/>
        <v>0</v>
      </c>
      <c r="F85" s="42">
        <f t="shared" si="27"/>
        <v>0</v>
      </c>
      <c r="G85" s="42">
        <f t="shared" si="28"/>
        <v>0</v>
      </c>
      <c r="H85" s="42">
        <f t="shared" si="29"/>
        <v>0.63049999999999995</v>
      </c>
      <c r="I85" s="42">
        <f t="shared" si="18"/>
        <v>-0.63049999999999995</v>
      </c>
      <c r="J85" s="43">
        <f>MIN('Výpočty '!$B$1*0.9, MAX('Výpočty '!$B$1*0.05, J84 + M85 - MIN(O85, MAX(0, J84 - ('Výpočty '!$B$1*0.1))) - P85))</f>
        <v>1.7992499999999989</v>
      </c>
      <c r="K85" s="46">
        <f>J85/'Výpočty '!$B$1</f>
        <v>8.9962499999999945E-2</v>
      </c>
      <c r="L85" s="42">
        <f t="shared" si="19"/>
        <v>0</v>
      </c>
      <c r="M85" s="42">
        <f t="shared" si="20"/>
        <v>0</v>
      </c>
      <c r="N85" s="42">
        <f t="shared" si="21"/>
        <v>0.64874999999999994</v>
      </c>
      <c r="O85" s="42">
        <f t="shared" si="22"/>
        <v>0.72083333333333321</v>
      </c>
      <c r="P85" s="42">
        <f t="shared" si="23"/>
        <v>1.8249999999999999E-2</v>
      </c>
    </row>
    <row r="86" spans="1:16" x14ac:dyDescent="0.3">
      <c r="A86" s="47">
        <f t="shared" si="24"/>
        <v>46023</v>
      </c>
      <c r="B86" s="49">
        <f t="shared" si="30"/>
        <v>0.86458333333333237</v>
      </c>
      <c r="C86" s="42">
        <f>'Leden data'!V85+P86</f>
        <v>1.1305000000000001</v>
      </c>
      <c r="D86" s="42">
        <f t="shared" si="25"/>
        <v>0</v>
      </c>
      <c r="E86" s="42">
        <f t="shared" si="26"/>
        <v>0</v>
      </c>
      <c r="F86" s="42">
        <f t="shared" si="27"/>
        <v>0.33125000000000115</v>
      </c>
      <c r="G86" s="42">
        <f t="shared" si="28"/>
        <v>0</v>
      </c>
      <c r="H86" s="42">
        <f t="shared" si="29"/>
        <v>0.79924999999999891</v>
      </c>
      <c r="I86" s="42">
        <f t="shared" si="18"/>
        <v>-1.1305000000000001</v>
      </c>
      <c r="J86" s="43">
        <f>MIN('Výpočty '!$B$1*0.9, MAX('Výpočty '!$B$1*0.05, J85 + M86 - MIN(O86, MAX(0, J85 - ('Výpočty '!$B$1*0.1))) - P86))</f>
        <v>1.7809999999999988</v>
      </c>
      <c r="K86" s="46">
        <f>J86/'Výpočty '!$B$1</f>
        <v>8.9049999999999935E-2</v>
      </c>
      <c r="L86" s="42">
        <f t="shared" si="19"/>
        <v>0</v>
      </c>
      <c r="M86" s="42">
        <f t="shared" si="20"/>
        <v>0</v>
      </c>
      <c r="N86" s="42">
        <f t="shared" si="21"/>
        <v>0.79924999999999891</v>
      </c>
      <c r="O86" s="42">
        <f t="shared" si="22"/>
        <v>0.88805555555555427</v>
      </c>
      <c r="P86" s="42">
        <f t="shared" si="23"/>
        <v>1.8249999999999999E-2</v>
      </c>
    </row>
    <row r="87" spans="1:16" x14ac:dyDescent="0.3">
      <c r="A87" s="47">
        <f t="shared" si="24"/>
        <v>46023</v>
      </c>
      <c r="B87" s="49">
        <f t="shared" si="30"/>
        <v>0.874999999999999</v>
      </c>
      <c r="C87" s="42">
        <f>'Leden data'!V86+P87</f>
        <v>1.6805000000000001</v>
      </c>
      <c r="D87" s="42">
        <f t="shared" si="25"/>
        <v>0</v>
      </c>
      <c r="E87" s="42">
        <f t="shared" si="26"/>
        <v>0</v>
      </c>
      <c r="F87" s="42">
        <f t="shared" si="27"/>
        <v>0.8995000000000013</v>
      </c>
      <c r="G87" s="42">
        <f t="shared" si="28"/>
        <v>0</v>
      </c>
      <c r="H87" s="42">
        <f t="shared" si="29"/>
        <v>0.78099999999999881</v>
      </c>
      <c r="I87" s="42">
        <f t="shared" si="18"/>
        <v>-1.6805000000000001</v>
      </c>
      <c r="J87" s="43">
        <f>MIN('Výpočty '!$B$1*0.9, MAX('Výpočty '!$B$1*0.05, J86 + M87 - MIN(O87, MAX(0, J86 - ('Výpočty '!$B$1*0.1))) - P87))</f>
        <v>1.7627499999999987</v>
      </c>
      <c r="K87" s="46">
        <f>J87/'Výpočty '!$B$1</f>
        <v>8.8137499999999938E-2</v>
      </c>
      <c r="L87" s="42">
        <f t="shared" si="19"/>
        <v>0</v>
      </c>
      <c r="M87" s="42">
        <f t="shared" si="20"/>
        <v>0</v>
      </c>
      <c r="N87" s="42">
        <f t="shared" si="21"/>
        <v>0.78099999999999881</v>
      </c>
      <c r="O87" s="42">
        <f t="shared" si="22"/>
        <v>0.86777777777777643</v>
      </c>
      <c r="P87" s="42">
        <f t="shared" si="23"/>
        <v>1.8249999999999999E-2</v>
      </c>
    </row>
    <row r="88" spans="1:16" x14ac:dyDescent="0.3">
      <c r="A88" s="47">
        <f t="shared" si="24"/>
        <v>46023</v>
      </c>
      <c r="B88" s="49">
        <f t="shared" si="30"/>
        <v>0.88541666666666563</v>
      </c>
      <c r="C88" s="42">
        <f>'Leden data'!V87+P88</f>
        <v>1.6745000000000001</v>
      </c>
      <c r="D88" s="42">
        <f t="shared" si="25"/>
        <v>0</v>
      </c>
      <c r="E88" s="42">
        <f t="shared" si="26"/>
        <v>0</v>
      </c>
      <c r="F88" s="42">
        <f t="shared" si="27"/>
        <v>0.91175000000000139</v>
      </c>
      <c r="G88" s="42">
        <f t="shared" si="28"/>
        <v>0</v>
      </c>
      <c r="H88" s="42">
        <f t="shared" si="29"/>
        <v>0.76274999999999871</v>
      </c>
      <c r="I88" s="42">
        <f t="shared" si="18"/>
        <v>-1.6745000000000001</v>
      </c>
      <c r="J88" s="43">
        <f>MIN('Výpočty '!$B$1*0.9, MAX('Výpočty '!$B$1*0.05, J87 + M88 - MIN(O88, MAX(0, J87 - ('Výpočty '!$B$1*0.1))) - P88))</f>
        <v>1.7444999999999986</v>
      </c>
      <c r="K88" s="46">
        <f>J88/'Výpočty '!$B$1</f>
        <v>8.7224999999999928E-2</v>
      </c>
      <c r="L88" s="42">
        <f t="shared" si="19"/>
        <v>0</v>
      </c>
      <c r="M88" s="42">
        <f t="shared" si="20"/>
        <v>0</v>
      </c>
      <c r="N88" s="42">
        <f t="shared" si="21"/>
        <v>0.76274999999999871</v>
      </c>
      <c r="O88" s="42">
        <f t="shared" si="22"/>
        <v>0.84749999999999859</v>
      </c>
      <c r="P88" s="42">
        <f t="shared" si="23"/>
        <v>1.8249999999999999E-2</v>
      </c>
    </row>
    <row r="89" spans="1:16" x14ac:dyDescent="0.3">
      <c r="A89" s="47">
        <f t="shared" si="24"/>
        <v>46023</v>
      </c>
      <c r="B89" s="49">
        <f t="shared" si="30"/>
        <v>0.89583333333333226</v>
      </c>
      <c r="C89" s="42">
        <f>'Leden data'!V88+P89</f>
        <v>1.6820000000000002</v>
      </c>
      <c r="D89" s="42">
        <f t="shared" si="25"/>
        <v>0</v>
      </c>
      <c r="E89" s="42">
        <f t="shared" si="26"/>
        <v>0</v>
      </c>
      <c r="F89" s="42">
        <f t="shared" si="27"/>
        <v>0.93750000000000155</v>
      </c>
      <c r="G89" s="42">
        <f t="shared" si="28"/>
        <v>0</v>
      </c>
      <c r="H89" s="42">
        <f t="shared" si="29"/>
        <v>0.74449999999999861</v>
      </c>
      <c r="I89" s="42">
        <f t="shared" si="18"/>
        <v>-1.6820000000000002</v>
      </c>
      <c r="J89" s="43">
        <f>MIN('Výpočty '!$B$1*0.9, MAX('Výpočty '!$B$1*0.05, J88 + M89 - MIN(O89, MAX(0, J88 - ('Výpočty '!$B$1*0.1))) - P89))</f>
        <v>1.7262499999999985</v>
      </c>
      <c r="K89" s="46">
        <f>J89/'Výpočty '!$B$1</f>
        <v>8.6312499999999931E-2</v>
      </c>
      <c r="L89" s="42">
        <f t="shared" si="19"/>
        <v>0</v>
      </c>
      <c r="M89" s="42">
        <f t="shared" si="20"/>
        <v>0</v>
      </c>
      <c r="N89" s="42">
        <f t="shared" si="21"/>
        <v>0.74449999999999861</v>
      </c>
      <c r="O89" s="42">
        <f t="shared" si="22"/>
        <v>0.82722222222222064</v>
      </c>
      <c r="P89" s="42">
        <f t="shared" si="23"/>
        <v>1.8249999999999999E-2</v>
      </c>
    </row>
    <row r="90" spans="1:16" x14ac:dyDescent="0.3">
      <c r="A90" s="47">
        <f t="shared" si="24"/>
        <v>46023</v>
      </c>
      <c r="B90" s="49">
        <f t="shared" si="30"/>
        <v>0.90624999999999889</v>
      </c>
      <c r="C90" s="42">
        <f>'Leden data'!V89+P90</f>
        <v>1.1819999999999999</v>
      </c>
      <c r="D90" s="42">
        <f t="shared" si="25"/>
        <v>0</v>
      </c>
      <c r="E90" s="42">
        <f t="shared" si="26"/>
        <v>0</v>
      </c>
      <c r="F90" s="42">
        <f t="shared" si="27"/>
        <v>0.45575000000000143</v>
      </c>
      <c r="G90" s="42">
        <f t="shared" si="28"/>
        <v>0</v>
      </c>
      <c r="H90" s="42">
        <f t="shared" si="29"/>
        <v>0.72624999999999851</v>
      </c>
      <c r="I90" s="42">
        <f t="shared" si="18"/>
        <v>-1.1819999999999999</v>
      </c>
      <c r="J90" s="43">
        <f>MIN('Výpočty '!$B$1*0.9, MAX('Výpočty '!$B$1*0.05, J89 + M90 - MIN(O90, MAX(0, J89 - ('Výpočty '!$B$1*0.1))) - P90))</f>
        <v>1.7079999999999984</v>
      </c>
      <c r="K90" s="46">
        <f>J90/'Výpočty '!$B$1</f>
        <v>8.539999999999992E-2</v>
      </c>
      <c r="L90" s="42">
        <f t="shared" si="19"/>
        <v>0</v>
      </c>
      <c r="M90" s="42">
        <f t="shared" si="20"/>
        <v>0</v>
      </c>
      <c r="N90" s="42">
        <f t="shared" si="21"/>
        <v>0.72624999999999851</v>
      </c>
      <c r="O90" s="42">
        <f t="shared" si="22"/>
        <v>0.8069444444444428</v>
      </c>
      <c r="P90" s="42">
        <f t="shared" si="23"/>
        <v>1.8249999999999999E-2</v>
      </c>
    </row>
    <row r="91" spans="1:16" x14ac:dyDescent="0.3">
      <c r="A91" s="47">
        <f t="shared" si="24"/>
        <v>46023</v>
      </c>
      <c r="B91" s="49">
        <f t="shared" si="30"/>
        <v>0.91666666666666552</v>
      </c>
      <c r="C91" s="42">
        <f>'Leden data'!V90+P91</f>
        <v>1.1819999999999999</v>
      </c>
      <c r="D91" s="42">
        <f t="shared" si="25"/>
        <v>0</v>
      </c>
      <c r="E91" s="42">
        <f t="shared" si="26"/>
        <v>0</v>
      </c>
      <c r="F91" s="42">
        <f t="shared" si="27"/>
        <v>0.47400000000000153</v>
      </c>
      <c r="G91" s="42">
        <f t="shared" si="28"/>
        <v>0</v>
      </c>
      <c r="H91" s="42">
        <f t="shared" si="29"/>
        <v>0.70799999999999841</v>
      </c>
      <c r="I91" s="42">
        <f t="shared" si="18"/>
        <v>-1.1819999999999999</v>
      </c>
      <c r="J91" s="43">
        <f>MIN('Výpočty '!$B$1*0.9, MAX('Výpočty '!$B$1*0.05, J90 + M91 - MIN(O91, MAX(0, J90 - ('Výpočty '!$B$1*0.1))) - P91))</f>
        <v>1.6897499999999983</v>
      </c>
      <c r="K91" s="46">
        <f>J91/'Výpočty '!$B$1</f>
        <v>8.448749999999991E-2</v>
      </c>
      <c r="L91" s="42">
        <f t="shared" si="19"/>
        <v>0</v>
      </c>
      <c r="M91" s="42">
        <f t="shared" si="20"/>
        <v>0</v>
      </c>
      <c r="N91" s="42">
        <f t="shared" si="21"/>
        <v>0.70799999999999841</v>
      </c>
      <c r="O91" s="42">
        <f t="shared" si="22"/>
        <v>0.78666666666666485</v>
      </c>
      <c r="P91" s="42">
        <f t="shared" si="23"/>
        <v>1.8249999999999999E-2</v>
      </c>
    </row>
    <row r="92" spans="1:16" x14ac:dyDescent="0.3">
      <c r="A92" s="47">
        <f t="shared" si="24"/>
        <v>46023</v>
      </c>
      <c r="B92" s="49">
        <f t="shared" si="30"/>
        <v>0.92708333333333215</v>
      </c>
      <c r="C92" s="42">
        <f>'Leden data'!V91+P92</f>
        <v>1.1779999999999999</v>
      </c>
      <c r="D92" s="42">
        <f t="shared" si="25"/>
        <v>0</v>
      </c>
      <c r="E92" s="42">
        <f t="shared" si="26"/>
        <v>0</v>
      </c>
      <c r="F92" s="42">
        <f t="shared" si="27"/>
        <v>0.48825000000000163</v>
      </c>
      <c r="G92" s="42">
        <f t="shared" si="28"/>
        <v>0</v>
      </c>
      <c r="H92" s="42">
        <f t="shared" si="29"/>
        <v>0.68974999999999831</v>
      </c>
      <c r="I92" s="42">
        <f t="shared" si="18"/>
        <v>-1.1779999999999999</v>
      </c>
      <c r="J92" s="43">
        <f>MIN('Výpočty '!$B$1*0.9, MAX('Výpočty '!$B$1*0.05, J91 + M92 - MIN(O92, MAX(0, J91 - ('Výpočty '!$B$1*0.1))) - P92))</f>
        <v>1.6714999999999982</v>
      </c>
      <c r="K92" s="46">
        <f>J92/'Výpočty '!$B$1</f>
        <v>8.3574999999999913E-2</v>
      </c>
      <c r="L92" s="42">
        <f t="shared" si="19"/>
        <v>0</v>
      </c>
      <c r="M92" s="42">
        <f t="shared" si="20"/>
        <v>0</v>
      </c>
      <c r="N92" s="42">
        <f t="shared" si="21"/>
        <v>0.68974999999999831</v>
      </c>
      <c r="O92" s="42">
        <f t="shared" si="22"/>
        <v>0.76638888888888701</v>
      </c>
      <c r="P92" s="42">
        <f t="shared" si="23"/>
        <v>1.8249999999999999E-2</v>
      </c>
    </row>
    <row r="93" spans="1:16" x14ac:dyDescent="0.3">
      <c r="A93" s="47">
        <f t="shared" si="24"/>
        <v>46023</v>
      </c>
      <c r="B93" s="49">
        <f t="shared" si="30"/>
        <v>0.93749999999999878</v>
      </c>
      <c r="C93" s="42">
        <f>'Leden data'!V92+P93</f>
        <v>1.1855</v>
      </c>
      <c r="D93" s="42">
        <f t="shared" si="25"/>
        <v>0</v>
      </c>
      <c r="E93" s="42">
        <f t="shared" si="26"/>
        <v>0</v>
      </c>
      <c r="F93" s="42">
        <f t="shared" si="27"/>
        <v>0.51400000000000179</v>
      </c>
      <c r="G93" s="42">
        <f t="shared" si="28"/>
        <v>0</v>
      </c>
      <c r="H93" s="42">
        <f t="shared" si="29"/>
        <v>0.67149999999999821</v>
      </c>
      <c r="I93" s="42">
        <f t="shared" si="18"/>
        <v>-1.1855</v>
      </c>
      <c r="J93" s="43">
        <f>MIN('Výpočty '!$B$1*0.9, MAX('Výpočty '!$B$1*0.05, J92 + M93 - MIN(O93, MAX(0, J92 - ('Výpočty '!$B$1*0.1))) - P93))</f>
        <v>1.6532499999999981</v>
      </c>
      <c r="K93" s="46">
        <f>J93/'Výpočty '!$B$1</f>
        <v>8.2662499999999903E-2</v>
      </c>
      <c r="L93" s="42">
        <f t="shared" si="19"/>
        <v>0</v>
      </c>
      <c r="M93" s="42">
        <f t="shared" si="20"/>
        <v>0</v>
      </c>
      <c r="N93" s="42">
        <f t="shared" si="21"/>
        <v>0.67149999999999821</v>
      </c>
      <c r="O93" s="42">
        <f t="shared" si="22"/>
        <v>0.74611111111110906</v>
      </c>
      <c r="P93" s="42">
        <f t="shared" si="23"/>
        <v>1.8249999999999999E-2</v>
      </c>
    </row>
    <row r="94" spans="1:16" x14ac:dyDescent="0.3">
      <c r="A94" s="47">
        <f t="shared" si="24"/>
        <v>46023</v>
      </c>
      <c r="B94" s="49">
        <f t="shared" si="30"/>
        <v>0.94791666666666541</v>
      </c>
      <c r="C94" s="42">
        <f>'Leden data'!V93+P94</f>
        <v>0.57299999999999995</v>
      </c>
      <c r="D94" s="42">
        <f t="shared" si="25"/>
        <v>0</v>
      </c>
      <c r="E94" s="42">
        <f t="shared" si="26"/>
        <v>0</v>
      </c>
      <c r="F94" s="42">
        <f t="shared" si="27"/>
        <v>0</v>
      </c>
      <c r="G94" s="42">
        <f t="shared" si="28"/>
        <v>0</v>
      </c>
      <c r="H94" s="42">
        <f t="shared" si="29"/>
        <v>0.57299999999999995</v>
      </c>
      <c r="I94" s="42">
        <f t="shared" si="18"/>
        <v>-0.57299999999999995</v>
      </c>
      <c r="J94" s="43">
        <f>MIN('Výpočty '!$B$1*0.9, MAX('Výpočty '!$B$1*0.05, J93 + M94 - MIN(O94, MAX(0, J93 - ('Výpočty '!$B$1*0.1))) - P94))</f>
        <v>1.634999999999998</v>
      </c>
      <c r="K94" s="46">
        <f>J94/'Výpočty '!$B$1</f>
        <v>8.1749999999999906E-2</v>
      </c>
      <c r="L94" s="42">
        <f t="shared" si="19"/>
        <v>0</v>
      </c>
      <c r="M94" s="42">
        <f t="shared" si="20"/>
        <v>0</v>
      </c>
      <c r="N94" s="42">
        <f t="shared" si="21"/>
        <v>0.59124999999999994</v>
      </c>
      <c r="O94" s="42">
        <f t="shared" si="22"/>
        <v>0.65694444444444433</v>
      </c>
      <c r="P94" s="42">
        <f t="shared" si="23"/>
        <v>1.8249999999999999E-2</v>
      </c>
    </row>
    <row r="95" spans="1:16" x14ac:dyDescent="0.3">
      <c r="A95" s="47">
        <f t="shared" si="24"/>
        <v>46023</v>
      </c>
      <c r="B95" s="49">
        <f t="shared" si="30"/>
        <v>0.95833333333333204</v>
      </c>
      <c r="C95" s="42">
        <f>'Leden data'!V94+P95</f>
        <v>1.073</v>
      </c>
      <c r="D95" s="42">
        <f t="shared" si="25"/>
        <v>0</v>
      </c>
      <c r="E95" s="42">
        <f t="shared" si="26"/>
        <v>0</v>
      </c>
      <c r="F95" s="42">
        <f t="shared" si="27"/>
        <v>0.43800000000000194</v>
      </c>
      <c r="G95" s="42">
        <f t="shared" si="28"/>
        <v>0</v>
      </c>
      <c r="H95" s="42">
        <f t="shared" si="29"/>
        <v>0.63499999999999801</v>
      </c>
      <c r="I95" s="42">
        <f t="shared" si="18"/>
        <v>-1.073</v>
      </c>
      <c r="J95" s="43">
        <f>MIN('Výpočty '!$B$1*0.9, MAX('Výpočty '!$B$1*0.05, J94 + M95 - MIN(O95, MAX(0, J94 - ('Výpočty '!$B$1*0.1))) - P95))</f>
        <v>1.6167499999999979</v>
      </c>
      <c r="K95" s="46">
        <f>J95/'Výpočty '!$B$1</f>
        <v>8.0837499999999896E-2</v>
      </c>
      <c r="L95" s="42">
        <f t="shared" si="19"/>
        <v>0</v>
      </c>
      <c r="M95" s="42">
        <f t="shared" si="20"/>
        <v>0</v>
      </c>
      <c r="N95" s="42">
        <f t="shared" si="21"/>
        <v>0.63499999999999801</v>
      </c>
      <c r="O95" s="42">
        <f t="shared" si="22"/>
        <v>0.70555555555555338</v>
      </c>
      <c r="P95" s="42">
        <f t="shared" si="23"/>
        <v>1.8249999999999999E-2</v>
      </c>
    </row>
    <row r="96" spans="1:16" x14ac:dyDescent="0.3">
      <c r="A96" s="47">
        <f t="shared" si="24"/>
        <v>46023</v>
      </c>
      <c r="B96" s="49">
        <f t="shared" si="30"/>
        <v>0.96874999999999867</v>
      </c>
      <c r="C96" s="42">
        <f>'Leden data'!V95+P96</f>
        <v>1.05175</v>
      </c>
      <c r="D96" s="42">
        <f t="shared" si="25"/>
        <v>0</v>
      </c>
      <c r="E96" s="42">
        <f t="shared" si="26"/>
        <v>0</v>
      </c>
      <c r="F96" s="42">
        <f t="shared" si="27"/>
        <v>0.43500000000000205</v>
      </c>
      <c r="G96" s="42">
        <f t="shared" si="28"/>
        <v>0</v>
      </c>
      <c r="H96" s="42">
        <f t="shared" si="29"/>
        <v>0.61674999999999791</v>
      </c>
      <c r="I96" s="42">
        <f t="shared" si="18"/>
        <v>-1.05175</v>
      </c>
      <c r="J96" s="43">
        <f>MIN('Výpočty '!$B$1*0.9, MAX('Výpočty '!$B$1*0.05, J95 + M96 - MIN(O96, MAX(0, J95 - ('Výpočty '!$B$1*0.1))) - P96))</f>
        <v>1.5984999999999978</v>
      </c>
      <c r="K96" s="46">
        <f>J96/'Výpočty '!$B$1</f>
        <v>7.9924999999999885E-2</v>
      </c>
      <c r="L96" s="42">
        <f t="shared" si="19"/>
        <v>0</v>
      </c>
      <c r="M96" s="42">
        <f t="shared" si="20"/>
        <v>0</v>
      </c>
      <c r="N96" s="42">
        <f t="shared" si="21"/>
        <v>0.61674999999999791</v>
      </c>
      <c r="O96" s="42">
        <f t="shared" si="22"/>
        <v>0.68527777777777543</v>
      </c>
      <c r="P96" s="42">
        <f t="shared" si="23"/>
        <v>1.8249999999999999E-2</v>
      </c>
    </row>
    <row r="97" spans="1:16" x14ac:dyDescent="0.3">
      <c r="A97" s="47">
        <f t="shared" si="24"/>
        <v>46023</v>
      </c>
      <c r="B97" s="49">
        <f t="shared" si="30"/>
        <v>0.9791666666666653</v>
      </c>
      <c r="C97" s="42">
        <f>'Leden data'!V96+P97</f>
        <v>0.54574999999999996</v>
      </c>
      <c r="D97" s="42">
        <f t="shared" si="25"/>
        <v>0</v>
      </c>
      <c r="E97" s="42">
        <f t="shared" si="26"/>
        <v>0</v>
      </c>
      <c r="F97" s="42">
        <f t="shared" si="27"/>
        <v>0</v>
      </c>
      <c r="G97" s="42">
        <f t="shared" si="28"/>
        <v>0</v>
      </c>
      <c r="H97" s="42">
        <f t="shared" si="29"/>
        <v>0.54574999999999996</v>
      </c>
      <c r="I97" s="42">
        <f t="shared" si="18"/>
        <v>-0.54574999999999996</v>
      </c>
      <c r="J97" s="43">
        <f>MIN('Výpočty '!$B$1*0.9, MAX('Výpočty '!$B$1*0.05, J96 + M97 - MIN(O97, MAX(0, J96 - ('Výpočty '!$B$1*0.1))) - P97))</f>
        <v>1.5802499999999977</v>
      </c>
      <c r="K97" s="46">
        <f>J97/'Výpočty '!$B$1</f>
        <v>7.9012499999999888E-2</v>
      </c>
      <c r="L97" s="42">
        <f t="shared" si="19"/>
        <v>0</v>
      </c>
      <c r="M97" s="42">
        <f t="shared" si="20"/>
        <v>0</v>
      </c>
      <c r="N97" s="42">
        <f t="shared" si="21"/>
        <v>0.56399999999999995</v>
      </c>
      <c r="O97" s="42">
        <f t="shared" si="22"/>
        <v>0.62666666666666659</v>
      </c>
      <c r="P97" s="42">
        <f t="shared" si="23"/>
        <v>1.8249999999999999E-2</v>
      </c>
    </row>
    <row r="98" spans="1:16" x14ac:dyDescent="0.3">
      <c r="A98" s="47">
        <f t="shared" si="24"/>
        <v>46023</v>
      </c>
      <c r="B98" s="49">
        <f t="shared" si="30"/>
        <v>0.98958333333333193</v>
      </c>
      <c r="C98" s="42">
        <f>'Leden data'!V97+P98</f>
        <v>0.54074999999999995</v>
      </c>
      <c r="D98" s="42">
        <f t="shared" si="25"/>
        <v>0</v>
      </c>
      <c r="E98" s="42">
        <f t="shared" si="26"/>
        <v>0</v>
      </c>
      <c r="F98" s="42">
        <f t="shared" si="27"/>
        <v>0</v>
      </c>
      <c r="G98" s="42">
        <f t="shared" si="28"/>
        <v>0</v>
      </c>
      <c r="H98" s="42">
        <f>MAX(0, MIN(C98 - D98, N98 ))</f>
        <v>0.54074999999999995</v>
      </c>
      <c r="I98" s="42">
        <f t="shared" si="18"/>
        <v>-0.54074999999999995</v>
      </c>
      <c r="J98" s="43">
        <f>MIN('Výpočty '!$B$1*0.9, MAX('Výpočty '!$B$1*0.05, J97 + M98 - MIN(O98, MAX(0, J97 - ('Výpočty '!$B$1*0.1))) - P98))</f>
        <v>1.5619999999999976</v>
      </c>
      <c r="K98" s="46">
        <f>J98/'Výpočty '!$B$1</f>
        <v>7.8099999999999878E-2</v>
      </c>
      <c r="L98" s="42">
        <f t="shared" si="19"/>
        <v>0</v>
      </c>
      <c r="M98" s="42">
        <f t="shared" si="20"/>
        <v>0</v>
      </c>
      <c r="N98" s="42">
        <f t="shared" si="21"/>
        <v>0.55899999999999994</v>
      </c>
      <c r="O98" s="42">
        <f t="shared" si="22"/>
        <v>0.62111111111111106</v>
      </c>
      <c r="P98" s="42">
        <f t="shared" si="23"/>
        <v>1.8249999999999999E-2</v>
      </c>
    </row>
    <row r="99" spans="1:16" x14ac:dyDescent="0.3">
      <c r="A99" s="48" t="s">
        <v>5</v>
      </c>
      <c r="B99" s="48" t="s">
        <v>268</v>
      </c>
      <c r="C99" s="44">
        <f>SUM(C3:C98)</f>
        <v>67.798499999999947</v>
      </c>
      <c r="D99" s="44">
        <f t="shared" ref="D99" si="31">SUM(D3:D98)</f>
        <v>1.940499999999999</v>
      </c>
      <c r="E99" s="44">
        <f>SUM(E3:E98)</f>
        <v>21.309000000000001</v>
      </c>
      <c r="F99" s="44">
        <f t="shared" ref="F99:I99" si="32">SUM(F3:F98)</f>
        <v>16.098222565157755</v>
      </c>
      <c r="G99" s="44">
        <f t="shared" si="32"/>
        <v>1.9992194787379922</v>
      </c>
      <c r="H99" s="44">
        <f t="shared" si="32"/>
        <v>49.759777434842249</v>
      </c>
      <c r="I99" s="44">
        <f t="shared" si="32"/>
        <v>-46.489500000000021</v>
      </c>
      <c r="J99" s="74">
        <f>J98</f>
        <v>1.5619999999999976</v>
      </c>
      <c r="K99" s="51">
        <f>K98</f>
        <v>7.8099999999999878E-2</v>
      </c>
      <c r="L99" s="44">
        <f>SUM(L3:L98)</f>
        <v>15.632352469135808</v>
      </c>
      <c r="M99" s="44">
        <f t="shared" ref="M99:P99" si="33">SUM(M3:M98)</f>
        <v>17.369280521262006</v>
      </c>
      <c r="N99" s="44">
        <f t="shared" si="33"/>
        <v>51.194527434842215</v>
      </c>
      <c r="O99" s="44">
        <f t="shared" si="33"/>
        <v>56.882808260935825</v>
      </c>
      <c r="P99" s="44">
        <f t="shared" si="33"/>
        <v>1.7520000000000036</v>
      </c>
    </row>
    <row r="102" spans="1:16" ht="23.4" x14ac:dyDescent="0.45">
      <c r="D102" s="42">
        <f>F99+H99+D99</f>
        <v>67.798500000000004</v>
      </c>
      <c r="J102" s="70" t="s">
        <v>312</v>
      </c>
      <c r="K102" s="71">
        <f>MAX(J3:J98)</f>
        <v>18</v>
      </c>
      <c r="L102" s="79" t="s">
        <v>316</v>
      </c>
    </row>
    <row r="103" spans="1:16" ht="23.4" x14ac:dyDescent="0.45">
      <c r="J103" s="70" t="s">
        <v>313</v>
      </c>
      <c r="K103" s="71">
        <f>MIN(J3:J98)</f>
        <v>1.5437499999999975</v>
      </c>
      <c r="L103" s="79"/>
    </row>
    <row r="104" spans="1:16" ht="23.4" x14ac:dyDescent="0.45">
      <c r="J104" s="70" t="s">
        <v>314</v>
      </c>
      <c r="K104" s="71">
        <f>J98 -J2</f>
        <v>-8.4380000000000024</v>
      </c>
      <c r="L104" s="79"/>
    </row>
    <row r="105" spans="1:16" ht="23.4" x14ac:dyDescent="0.45">
      <c r="J105" s="70" t="s">
        <v>315</v>
      </c>
      <c r="K105" s="71">
        <f>MAX(J3:J98) - MIN(J3:J98)</f>
        <v>16.456250000000004</v>
      </c>
      <c r="L105" s="79"/>
    </row>
    <row r="108" spans="1:16" x14ac:dyDescent="0.3">
      <c r="D108" s="2" t="s">
        <v>180</v>
      </c>
      <c r="E108" s="72">
        <f ca="1">SUM(OFFSET('Leden data'!$D$2:$D$97, 0, ROW(A1)-1))</f>
        <v>45</v>
      </c>
      <c r="F108" s="80" t="s">
        <v>316</v>
      </c>
    </row>
    <row r="109" spans="1:16" x14ac:dyDescent="0.3">
      <c r="D109" s="2" t="s">
        <v>173</v>
      </c>
      <c r="E109" s="72">
        <f ca="1">SUM(OFFSET('Leden data'!$D$2:$D$97, 0, ROW(A2)-1))</f>
        <v>3.3750000000000002E-2</v>
      </c>
      <c r="F109" s="80"/>
    </row>
    <row r="110" spans="1:16" x14ac:dyDescent="0.3">
      <c r="D110" s="2" t="s">
        <v>36</v>
      </c>
      <c r="E110" s="72">
        <f ca="1">SUM(OFFSET('Leden data'!$D$2:$D$97, 0, ROW(A3)-1))</f>
        <v>0.30000000000000016</v>
      </c>
      <c r="F110" s="80"/>
    </row>
    <row r="111" spans="1:16" x14ac:dyDescent="0.3">
      <c r="D111" s="2" t="s">
        <v>179</v>
      </c>
      <c r="E111" s="72">
        <f ca="1">SUM(OFFSET('Leden data'!$D$2:$D$97, 0, ROW(A4)-1))</f>
        <v>9</v>
      </c>
      <c r="F111" s="80"/>
    </row>
    <row r="112" spans="1:16" x14ac:dyDescent="0.3">
      <c r="D112" s="2" t="s">
        <v>181</v>
      </c>
      <c r="E112" s="72">
        <f ca="1">SUM(OFFSET('Leden data'!$D$2:$D$97, 0, ROW(A5)-1))</f>
        <v>0.375</v>
      </c>
      <c r="F112" s="80"/>
    </row>
    <row r="113" spans="4:6" x14ac:dyDescent="0.3">
      <c r="D113" s="2" t="s">
        <v>174</v>
      </c>
      <c r="E113" s="72">
        <f ca="1">SUM(OFFSET('Leden data'!$D$2:$D$97, 0, ROW(A6)-1))</f>
        <v>4.5</v>
      </c>
      <c r="F113" s="80"/>
    </row>
    <row r="114" spans="4:6" x14ac:dyDescent="0.3">
      <c r="D114" s="2" t="s">
        <v>62</v>
      </c>
      <c r="E114" s="72">
        <f ca="1">SUM(OFFSET('Leden data'!$D$2:$D$97, 0, ROW(A7)-1))</f>
        <v>0.3612499999999999</v>
      </c>
      <c r="F114" s="80"/>
    </row>
    <row r="115" spans="4:6" x14ac:dyDescent="0.3">
      <c r="D115" s="2" t="s">
        <v>39</v>
      </c>
      <c r="E115" s="72">
        <f ca="1">SUM(OFFSET('Leden data'!$D$2:$D$97, 0, ROW(A8)-1))</f>
        <v>0.8125</v>
      </c>
      <c r="F115" s="80"/>
    </row>
    <row r="116" spans="4:6" x14ac:dyDescent="0.3">
      <c r="D116" s="2" t="s">
        <v>171</v>
      </c>
      <c r="E116" s="72">
        <f ca="1">SUM(OFFSET('Leden data'!$D$2:$D$97, 0, ROW(A9)-1))</f>
        <v>0</v>
      </c>
      <c r="F116" s="80"/>
    </row>
    <row r="117" spans="4:6" x14ac:dyDescent="0.3">
      <c r="D117" s="2" t="s">
        <v>177</v>
      </c>
      <c r="E117" s="72">
        <f ca="1">SUM(OFFSET('Leden data'!$D$2:$D$97, 0, ROW(A10)-1))</f>
        <v>0</v>
      </c>
      <c r="F117" s="80"/>
    </row>
    <row r="118" spans="4:6" x14ac:dyDescent="0.3">
      <c r="D118" s="2" t="s">
        <v>178</v>
      </c>
      <c r="E118" s="72">
        <f ca="1">SUM(OFFSET('Leden data'!$D$2:$D$97, 0, ROW(A11)-1))</f>
        <v>3.8499999999999996</v>
      </c>
      <c r="F118" s="80"/>
    </row>
    <row r="119" spans="4:6" x14ac:dyDescent="0.3">
      <c r="D119" s="2" t="s">
        <v>176</v>
      </c>
      <c r="E119" s="72">
        <f ca="1">SUM(OFFSET('Leden data'!$D$2:$D$97, 0, ROW(A12)-1))</f>
        <v>0.38900000000000023</v>
      </c>
      <c r="F119" s="80"/>
    </row>
    <row r="120" spans="4:6" x14ac:dyDescent="0.3">
      <c r="D120" s="2" t="s">
        <v>64</v>
      </c>
      <c r="E120" s="72">
        <f ca="1">SUM(OFFSET('Leden data'!$D$2:$D$97, 0, ROW(A13)-1))</f>
        <v>0.12500000000000003</v>
      </c>
      <c r="F120" s="80"/>
    </row>
    <row r="121" spans="4:6" x14ac:dyDescent="0.3">
      <c r="D121" s="2" t="s">
        <v>60</v>
      </c>
      <c r="E121" s="72">
        <f ca="1">SUM(OFFSET('Leden data'!$D$2:$D$97, 0, ROW(A14)-1))</f>
        <v>0.1</v>
      </c>
      <c r="F121" s="80"/>
    </row>
    <row r="122" spans="4:6" x14ac:dyDescent="0.3">
      <c r="D122" s="2" t="s">
        <v>172</v>
      </c>
      <c r="E122" s="72">
        <f ca="1">SUM(OFFSET('Leden data'!$D$2:$D$97, 0, ROW(A15)-1))</f>
        <v>6.5000000000000002E-2</v>
      </c>
      <c r="F122" s="80"/>
    </row>
    <row r="123" spans="4:6" x14ac:dyDescent="0.3">
      <c r="D123" s="2" t="s">
        <v>175</v>
      </c>
      <c r="E123" s="72">
        <f ca="1">SUM(OFFSET('Leden data'!$D$2:$D$97, 0, ROW(A16)-1))</f>
        <v>0.22499999999999998</v>
      </c>
      <c r="F123" s="80"/>
    </row>
    <row r="124" spans="4:6" x14ac:dyDescent="0.3">
      <c r="D124" s="2" t="s">
        <v>41</v>
      </c>
      <c r="E124" s="72">
        <f ca="1">SUM(OFFSET('Leden data'!$D$2:$D$97, 0, ROW(A17)-1))</f>
        <v>0.16</v>
      </c>
      <c r="F124" s="80"/>
    </row>
    <row r="125" spans="4:6" x14ac:dyDescent="0.3">
      <c r="D125" s="2" t="s">
        <v>72</v>
      </c>
      <c r="E125" s="72">
        <f ca="1">SUM(OFFSET('Leden data'!$D$2:$D$97, 0, ROW(A18)-1))</f>
        <v>0.03</v>
      </c>
      <c r="F125" s="80"/>
    </row>
    <row r="126" spans="4:6" x14ac:dyDescent="0.3">
      <c r="D126" s="73"/>
    </row>
    <row r="127" spans="4:6" x14ac:dyDescent="0.3">
      <c r="D127" s="73"/>
    </row>
  </sheetData>
  <sortState xmlns:xlrd2="http://schemas.microsoft.com/office/spreadsheetml/2017/richdata2" ref="D108:E125">
    <sortCondition ref="E108:E125"/>
  </sortState>
  <mergeCells count="4">
    <mergeCell ref="B1:B2"/>
    <mergeCell ref="A1:A2"/>
    <mergeCell ref="L102:L105"/>
    <mergeCell ref="F108:F125"/>
  </mergeCells>
  <conditionalFormatting sqref="I1:I1048576 J102">
    <cfRule type="cellIs" dxfId="41" priority="7" operator="lessThan">
      <formula>0</formula>
    </cfRule>
  </conditionalFormatting>
  <conditionalFormatting sqref="I3:I99">
    <cfRule type="cellIs" dxfId="40" priority="5" operator="lessThan">
      <formula>0</formula>
    </cfRule>
    <cfRule type="cellIs" dxfId="39" priority="6" operator="greaterThan">
      <formula>0</formula>
    </cfRule>
  </conditionalFormatting>
  <conditionalFormatting sqref="J3:J98">
    <cfRule type="expression" dxfId="38" priority="2">
      <formula>J3&lt;Kapacita_baterie*Soc_Min</formula>
    </cfRule>
    <cfRule type="expression" dxfId="37" priority="3">
      <formula>J3=Kapacita_baterie*Soc_Min</formula>
    </cfRule>
    <cfRule type="expression" dxfId="36" priority="4">
      <formula>J3&gt;=Kapacita_baterie*Soc_Max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CBB0-327B-41E1-A35C-30F7B91313E3}">
  <sheetPr>
    <tabColor theme="4" tint="0.59999389629810485"/>
  </sheetPr>
  <dimension ref="A1:V126"/>
  <sheetViews>
    <sheetView topLeftCell="I1" zoomScale="70" zoomScaleNormal="70" workbookViewId="0">
      <selection activeCell="O107" sqref="O107:O124"/>
    </sheetView>
  </sheetViews>
  <sheetFormatPr defaultRowHeight="14.4" x14ac:dyDescent="0.3"/>
  <cols>
    <col min="1" max="1" width="13.44140625" customWidth="1"/>
    <col min="3" max="3" width="30.33203125" customWidth="1"/>
    <col min="4" max="4" width="32" customWidth="1"/>
    <col min="6" max="6" width="14.5546875" customWidth="1"/>
    <col min="7" max="7" width="17.5546875" customWidth="1"/>
    <col min="8" max="8" width="10.6640625" customWidth="1"/>
    <col min="9" max="9" width="15.88671875" customWidth="1"/>
    <col min="15" max="15" width="14.44140625" customWidth="1"/>
    <col min="17" max="17" width="21.6640625" customWidth="1"/>
    <col min="19" max="20" width="11.6640625" customWidth="1"/>
    <col min="22" max="22" width="19.88671875" customWidth="1"/>
  </cols>
  <sheetData>
    <row r="1" spans="1:22" x14ac:dyDescent="0.3">
      <c r="A1" s="17" t="s">
        <v>184</v>
      </c>
      <c r="B1" s="17" t="s">
        <v>183</v>
      </c>
      <c r="C1" s="17" t="s">
        <v>182</v>
      </c>
      <c r="D1" s="17" t="s">
        <v>72</v>
      </c>
      <c r="E1" s="17" t="s">
        <v>181</v>
      </c>
      <c r="F1" s="17" t="s">
        <v>180</v>
      </c>
      <c r="G1" s="17" t="s">
        <v>179</v>
      </c>
      <c r="H1" s="17" t="s">
        <v>178</v>
      </c>
      <c r="I1" s="17" t="s">
        <v>177</v>
      </c>
      <c r="J1" s="17" t="s">
        <v>60</v>
      </c>
      <c r="K1" s="17" t="s">
        <v>176</v>
      </c>
      <c r="L1" s="17" t="s">
        <v>39</v>
      </c>
      <c r="M1" s="17" t="s">
        <v>36</v>
      </c>
      <c r="N1" s="17" t="s">
        <v>41</v>
      </c>
      <c r="O1" s="17" t="s">
        <v>175</v>
      </c>
      <c r="P1" s="17" t="s">
        <v>64</v>
      </c>
      <c r="Q1" s="17" t="s">
        <v>62</v>
      </c>
      <c r="R1" s="17" t="s">
        <v>174</v>
      </c>
      <c r="S1" s="17" t="s">
        <v>173</v>
      </c>
      <c r="T1" s="17" t="s">
        <v>172</v>
      </c>
      <c r="U1" s="17" t="s">
        <v>171</v>
      </c>
      <c r="V1" s="17" t="s">
        <v>170</v>
      </c>
    </row>
    <row r="2" spans="1:22" x14ac:dyDescent="0.3">
      <c r="A2" s="19">
        <v>46023</v>
      </c>
      <c r="B2" s="4" t="s">
        <v>169</v>
      </c>
      <c r="C2" s="4">
        <v>7.4999999999999997E-3</v>
      </c>
      <c r="D2" s="4">
        <v>0.5</v>
      </c>
      <c r="E2" s="4">
        <v>3.7499999999999999E-3</v>
      </c>
      <c r="F2" s="4">
        <v>1.4999999999999999E-2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13">
        <f>C2+D2+E2+F2+G2+H2+I2+J2+K2+L2+M2+N2+O2+P2+Q2+R2+S2+T2+U2</f>
        <v>0.52625</v>
      </c>
    </row>
    <row r="3" spans="1:22" x14ac:dyDescent="0.3">
      <c r="A3" s="19">
        <v>46023</v>
      </c>
      <c r="B3" s="4" t="s">
        <v>168</v>
      </c>
      <c r="C3" s="4">
        <v>7.4999999999999997E-3</v>
      </c>
      <c r="D3" s="4">
        <v>0.5</v>
      </c>
      <c r="E3" s="4">
        <v>3.7499999999999999E-3</v>
      </c>
      <c r="F3" s="4">
        <v>1.4999999999999999E-2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13">
        <f t="shared" ref="V3:V66" si="0">C3+D3+E3+F3+G3+H3+I3+J3+K3+L3+M3+N3+O3+P3+Q3+R3+S3+T3+U3</f>
        <v>0.52625</v>
      </c>
    </row>
    <row r="4" spans="1:22" x14ac:dyDescent="0.3">
      <c r="A4" s="19">
        <v>46023</v>
      </c>
      <c r="B4" s="4" t="s">
        <v>167</v>
      </c>
      <c r="C4" s="4">
        <v>7.4999999999999997E-3</v>
      </c>
      <c r="D4" s="4">
        <v>0.5</v>
      </c>
      <c r="E4" s="4">
        <v>3.7499999999999999E-3</v>
      </c>
      <c r="F4" s="4">
        <v>1.4999999999999999E-2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13">
        <f t="shared" si="0"/>
        <v>0.52625</v>
      </c>
    </row>
    <row r="5" spans="1:22" x14ac:dyDescent="0.3">
      <c r="A5" s="19">
        <v>46023</v>
      </c>
      <c r="B5" s="4" t="s">
        <v>166</v>
      </c>
      <c r="C5" s="4">
        <v>7.4999999999999997E-3</v>
      </c>
      <c r="D5" s="4">
        <v>0.5</v>
      </c>
      <c r="E5" s="4">
        <v>3.7499999999999999E-3</v>
      </c>
      <c r="F5" s="4">
        <v>1.4999999999999999E-2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13">
        <f t="shared" si="0"/>
        <v>0.52625</v>
      </c>
    </row>
    <row r="6" spans="1:22" x14ac:dyDescent="0.3">
      <c r="A6" s="19">
        <v>46023</v>
      </c>
      <c r="B6" s="4" t="s">
        <v>165</v>
      </c>
      <c r="C6" s="4">
        <v>7.4999999999999997E-3</v>
      </c>
      <c r="D6" s="4">
        <v>0.5</v>
      </c>
      <c r="E6" s="4">
        <v>3.7499999999999999E-3</v>
      </c>
      <c r="F6" s="4">
        <v>1.4999999999999999E-2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13">
        <f t="shared" si="0"/>
        <v>0.52625</v>
      </c>
    </row>
    <row r="7" spans="1:22" x14ac:dyDescent="0.3">
      <c r="A7" s="19">
        <v>46023</v>
      </c>
      <c r="B7" s="4" t="s">
        <v>164</v>
      </c>
      <c r="C7" s="4">
        <v>7.4999999999999997E-3</v>
      </c>
      <c r="D7" s="4">
        <v>0.5</v>
      </c>
      <c r="E7" s="4">
        <v>3.7499999999999999E-3</v>
      </c>
      <c r="F7" s="4">
        <v>1.4999999999999999E-2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13">
        <f t="shared" si="0"/>
        <v>0.52625</v>
      </c>
    </row>
    <row r="8" spans="1:22" x14ac:dyDescent="0.3">
      <c r="A8" s="19">
        <v>46023</v>
      </c>
      <c r="B8" s="4" t="s">
        <v>163</v>
      </c>
      <c r="C8" s="4">
        <v>7.4999999999999997E-3</v>
      </c>
      <c r="D8" s="4">
        <v>0.5</v>
      </c>
      <c r="E8" s="4">
        <v>3.7499999999999999E-3</v>
      </c>
      <c r="F8" s="4">
        <v>1.4999999999999999E-2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13">
        <f t="shared" si="0"/>
        <v>0.52625</v>
      </c>
    </row>
    <row r="9" spans="1:22" x14ac:dyDescent="0.3">
      <c r="A9" s="19">
        <v>46023</v>
      </c>
      <c r="B9" s="4" t="s">
        <v>162</v>
      </c>
      <c r="C9" s="4">
        <v>7.4999999999999997E-3</v>
      </c>
      <c r="D9" s="4">
        <v>0.5</v>
      </c>
      <c r="E9" s="4">
        <v>3.7499999999999999E-3</v>
      </c>
      <c r="F9" s="4">
        <v>1.4999999999999999E-2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13">
        <f t="shared" si="0"/>
        <v>0.52625</v>
      </c>
    </row>
    <row r="10" spans="1:22" x14ac:dyDescent="0.3">
      <c r="A10" s="19">
        <v>46023</v>
      </c>
      <c r="B10" s="62" t="s">
        <v>161</v>
      </c>
      <c r="C10" s="62">
        <v>7.4999999999999997E-3</v>
      </c>
      <c r="D10" s="62">
        <v>0.5</v>
      </c>
      <c r="E10" s="62">
        <v>3.7499999999999999E-3</v>
      </c>
      <c r="F10" s="62">
        <v>1.4999999999999999E-2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13">
        <f t="shared" si="0"/>
        <v>0.52625</v>
      </c>
    </row>
    <row r="11" spans="1:22" x14ac:dyDescent="0.3">
      <c r="A11" s="19">
        <v>46023</v>
      </c>
      <c r="B11" s="62" t="s">
        <v>160</v>
      </c>
      <c r="C11" s="62">
        <v>7.4999999999999997E-3</v>
      </c>
      <c r="D11" s="62">
        <v>0.5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2">
        <v>0</v>
      </c>
      <c r="V11" s="13">
        <f t="shared" si="0"/>
        <v>0.50749999999999995</v>
      </c>
    </row>
    <row r="12" spans="1:22" x14ac:dyDescent="0.3">
      <c r="A12" s="19">
        <v>46023</v>
      </c>
      <c r="B12" s="62" t="s">
        <v>159</v>
      </c>
      <c r="C12" s="62">
        <v>7.4999999999999997E-3</v>
      </c>
      <c r="D12" s="62">
        <v>0.5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13">
        <f t="shared" si="0"/>
        <v>0.50749999999999995</v>
      </c>
    </row>
    <row r="13" spans="1:22" x14ac:dyDescent="0.3">
      <c r="A13" s="19">
        <v>46023</v>
      </c>
      <c r="B13" s="62" t="s">
        <v>158</v>
      </c>
      <c r="C13" s="62">
        <v>7.4999999999999997E-3</v>
      </c>
      <c r="D13" s="62">
        <v>0.5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13">
        <f t="shared" si="0"/>
        <v>0.50749999999999995</v>
      </c>
    </row>
    <row r="14" spans="1:22" x14ac:dyDescent="0.3">
      <c r="A14" s="19">
        <v>46023</v>
      </c>
      <c r="B14" s="62" t="s">
        <v>157</v>
      </c>
      <c r="C14" s="62">
        <v>7.4999999999999997E-3</v>
      </c>
      <c r="D14" s="62">
        <v>0.5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13">
        <f t="shared" si="0"/>
        <v>0.50749999999999995</v>
      </c>
    </row>
    <row r="15" spans="1:22" x14ac:dyDescent="0.3">
      <c r="A15" s="19">
        <v>46023</v>
      </c>
      <c r="B15" s="62" t="s">
        <v>156</v>
      </c>
      <c r="C15" s="62">
        <v>7.4999999999999997E-3</v>
      </c>
      <c r="D15" s="62">
        <v>0.5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13">
        <f t="shared" si="0"/>
        <v>0.50749999999999995</v>
      </c>
    </row>
    <row r="16" spans="1:22" x14ac:dyDescent="0.3">
      <c r="A16" s="19">
        <v>46023</v>
      </c>
      <c r="B16" s="62" t="s">
        <v>155</v>
      </c>
      <c r="C16" s="62">
        <v>7.4999999999999997E-3</v>
      </c>
      <c r="D16" s="62">
        <v>0.5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13">
        <f t="shared" si="0"/>
        <v>0.50749999999999995</v>
      </c>
    </row>
    <row r="17" spans="1:22" x14ac:dyDescent="0.3">
      <c r="A17" s="19">
        <v>46023</v>
      </c>
      <c r="B17" s="62" t="s">
        <v>154</v>
      </c>
      <c r="C17" s="62">
        <v>7.4999999999999997E-3</v>
      </c>
      <c r="D17" s="62">
        <v>0.5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2">
        <v>0</v>
      </c>
      <c r="V17" s="13">
        <f t="shared" si="0"/>
        <v>0.50749999999999995</v>
      </c>
    </row>
    <row r="18" spans="1:22" x14ac:dyDescent="0.3">
      <c r="A18" s="19">
        <v>46023</v>
      </c>
      <c r="B18" s="62" t="s">
        <v>153</v>
      </c>
      <c r="C18" s="62">
        <v>7.4999999999999997E-3</v>
      </c>
      <c r="D18" s="62">
        <v>0.5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13">
        <f t="shared" si="0"/>
        <v>0.50749999999999995</v>
      </c>
    </row>
    <row r="19" spans="1:22" x14ac:dyDescent="0.3">
      <c r="A19" s="19">
        <v>46023</v>
      </c>
      <c r="B19" s="62" t="s">
        <v>152</v>
      </c>
      <c r="C19" s="62">
        <v>7.4999999999999997E-3</v>
      </c>
      <c r="D19" s="62">
        <v>0.5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13">
        <f t="shared" si="0"/>
        <v>0.50749999999999995</v>
      </c>
    </row>
    <row r="20" spans="1:22" x14ac:dyDescent="0.3">
      <c r="A20" s="19">
        <v>46023</v>
      </c>
      <c r="B20" s="62" t="s">
        <v>151</v>
      </c>
      <c r="C20" s="62">
        <v>7.4999999999999997E-3</v>
      </c>
      <c r="D20" s="62">
        <v>0.5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13">
        <f t="shared" si="0"/>
        <v>0.50749999999999995</v>
      </c>
    </row>
    <row r="21" spans="1:22" x14ac:dyDescent="0.3">
      <c r="A21" s="19">
        <v>46023</v>
      </c>
      <c r="B21" s="62" t="s">
        <v>150</v>
      </c>
      <c r="C21" s="62">
        <v>7.4999999999999997E-3</v>
      </c>
      <c r="D21" s="62">
        <v>0.5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13">
        <f t="shared" si="0"/>
        <v>0.50749999999999995</v>
      </c>
    </row>
    <row r="22" spans="1:22" x14ac:dyDescent="0.3">
      <c r="A22" s="19">
        <v>46023</v>
      </c>
      <c r="B22" s="62" t="s">
        <v>149</v>
      </c>
      <c r="C22" s="62">
        <v>7.4999999999999997E-3</v>
      </c>
      <c r="D22" s="62">
        <v>0.5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13">
        <f t="shared" si="0"/>
        <v>0.50749999999999995</v>
      </c>
    </row>
    <row r="23" spans="1:22" x14ac:dyDescent="0.3">
      <c r="A23" s="19">
        <v>46023</v>
      </c>
      <c r="B23" s="62" t="s">
        <v>148</v>
      </c>
      <c r="C23" s="62">
        <v>7.4999999999999997E-3</v>
      </c>
      <c r="D23" s="62">
        <v>0.5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13">
        <f t="shared" si="0"/>
        <v>0.50749999999999995</v>
      </c>
    </row>
    <row r="24" spans="1:22" x14ac:dyDescent="0.3">
      <c r="A24" s="19">
        <v>46023</v>
      </c>
      <c r="B24" s="62" t="s">
        <v>147</v>
      </c>
      <c r="C24" s="62">
        <v>7.4999999999999997E-3</v>
      </c>
      <c r="D24" s="62">
        <v>0.5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13">
        <f t="shared" si="0"/>
        <v>0.50749999999999995</v>
      </c>
    </row>
    <row r="25" spans="1:22" x14ac:dyDescent="0.3">
      <c r="A25" s="19">
        <v>46023</v>
      </c>
      <c r="B25" s="62" t="s">
        <v>146</v>
      </c>
      <c r="C25" s="62">
        <v>7.4999999999999997E-3</v>
      </c>
      <c r="D25" s="62">
        <v>0.5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5.0000000000000001E-3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13">
        <f t="shared" si="0"/>
        <v>0.51249999999999996</v>
      </c>
    </row>
    <row r="26" spans="1:22" x14ac:dyDescent="0.3">
      <c r="A26" s="19">
        <v>46023</v>
      </c>
      <c r="B26" s="62" t="s">
        <v>145</v>
      </c>
      <c r="C26" s="62">
        <v>7.4999999999999997E-3</v>
      </c>
      <c r="D26" s="62">
        <v>0.5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6.0000000000000001E-3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13">
        <f t="shared" si="0"/>
        <v>0.51349999999999996</v>
      </c>
    </row>
    <row r="27" spans="1:22" x14ac:dyDescent="0.3">
      <c r="A27" s="19">
        <v>46023</v>
      </c>
      <c r="B27" s="4" t="s">
        <v>144</v>
      </c>
      <c r="C27" s="4">
        <v>7.4999999999999997E-3</v>
      </c>
      <c r="D27" s="4">
        <v>0.5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0.01</v>
      </c>
      <c r="P27" s="4">
        <v>5.0000000000000001E-3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13">
        <f t="shared" si="0"/>
        <v>0.52249999999999996</v>
      </c>
    </row>
    <row r="28" spans="1:22" x14ac:dyDescent="0.3">
      <c r="A28" s="19">
        <v>46023</v>
      </c>
      <c r="B28" s="4" t="s">
        <v>143</v>
      </c>
      <c r="C28" s="4">
        <v>7.4999999999999997E-3</v>
      </c>
      <c r="D28" s="4">
        <v>0.5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0.01</v>
      </c>
      <c r="P28" s="4">
        <v>5.0000000000000001E-3</v>
      </c>
      <c r="Q28" s="4">
        <v>0</v>
      </c>
      <c r="R28" s="4">
        <v>3.2500000000000001E-2</v>
      </c>
      <c r="S28" s="4">
        <v>0</v>
      </c>
      <c r="T28" s="4">
        <v>0.16</v>
      </c>
      <c r="U28" s="4">
        <v>0</v>
      </c>
      <c r="V28" s="13">
        <f t="shared" si="0"/>
        <v>0.71499999999999997</v>
      </c>
    </row>
    <row r="29" spans="1:22" x14ac:dyDescent="0.3">
      <c r="A29" s="19">
        <v>46023</v>
      </c>
      <c r="B29" s="4" t="s">
        <v>142</v>
      </c>
      <c r="C29" s="4">
        <v>7.4999999999999997E-3</v>
      </c>
      <c r="D29" s="4">
        <v>1</v>
      </c>
      <c r="E29" s="4">
        <v>0</v>
      </c>
      <c r="F29" s="4">
        <v>0</v>
      </c>
      <c r="G29" s="4">
        <v>1.5</v>
      </c>
      <c r="H29" s="4">
        <v>0.375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0.01</v>
      </c>
      <c r="P29" s="4">
        <v>5.0000000000000001E-3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13">
        <f t="shared" si="0"/>
        <v>2.8975</v>
      </c>
    </row>
    <row r="30" spans="1:22" x14ac:dyDescent="0.3">
      <c r="A30" s="19">
        <v>46023</v>
      </c>
      <c r="B30" s="4" t="s">
        <v>141</v>
      </c>
      <c r="C30" s="4">
        <v>7.4999999999999997E-3</v>
      </c>
      <c r="D30" s="4">
        <v>1</v>
      </c>
      <c r="E30" s="4">
        <v>0</v>
      </c>
      <c r="F30" s="4">
        <v>0</v>
      </c>
      <c r="G30" s="4">
        <v>1.5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1.6E-2</v>
      </c>
      <c r="P30" s="4">
        <v>5.0000000000000001E-3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13">
        <f t="shared" si="0"/>
        <v>2.5285000000000002</v>
      </c>
    </row>
    <row r="31" spans="1:22" x14ac:dyDescent="0.3">
      <c r="A31" s="19">
        <v>46023</v>
      </c>
      <c r="B31" s="4" t="s">
        <v>140</v>
      </c>
      <c r="C31" s="4">
        <v>7.4999999999999997E-3</v>
      </c>
      <c r="D31" s="4">
        <v>0.5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1.6E-2</v>
      </c>
      <c r="P31" s="4">
        <v>5.0000000000000001E-3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13">
        <f t="shared" si="0"/>
        <v>0.52849999999999997</v>
      </c>
    </row>
    <row r="32" spans="1:22" x14ac:dyDescent="0.3">
      <c r="A32" s="19">
        <v>46023</v>
      </c>
      <c r="B32" s="4" t="s">
        <v>139</v>
      </c>
      <c r="C32" s="4">
        <v>7.4999999999999997E-3</v>
      </c>
      <c r="D32" s="4">
        <v>0.5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1.6E-2</v>
      </c>
      <c r="P32" s="4">
        <v>5.0000000000000001E-3</v>
      </c>
      <c r="Q32" s="4">
        <v>0.05</v>
      </c>
      <c r="R32" s="4">
        <v>0</v>
      </c>
      <c r="S32" s="4">
        <v>0</v>
      </c>
      <c r="T32" s="4">
        <v>0</v>
      </c>
      <c r="U32" s="4">
        <v>0</v>
      </c>
      <c r="V32" s="13">
        <f t="shared" si="0"/>
        <v>0.57850000000000001</v>
      </c>
    </row>
    <row r="33" spans="1:22" x14ac:dyDescent="0.3">
      <c r="A33" s="19">
        <v>46023</v>
      </c>
      <c r="B33" s="4" t="s">
        <v>138</v>
      </c>
      <c r="C33" s="4">
        <v>7.4999999999999997E-3</v>
      </c>
      <c r="D33" s="4">
        <v>0.5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8.0000000000000002E-3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13">
        <f t="shared" si="0"/>
        <v>0.51549999999999996</v>
      </c>
    </row>
    <row r="34" spans="1:22" x14ac:dyDescent="0.3">
      <c r="A34" s="19">
        <v>46023</v>
      </c>
      <c r="B34" s="4" t="s">
        <v>137</v>
      </c>
      <c r="C34" s="4">
        <v>7.4999999999999997E-3</v>
      </c>
      <c r="D34" s="4">
        <v>0.5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8.0000000000000002E-3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13">
        <f t="shared" si="0"/>
        <v>0.51549999999999996</v>
      </c>
    </row>
    <row r="35" spans="1:22" x14ac:dyDescent="0.3">
      <c r="A35" s="19">
        <v>46023</v>
      </c>
      <c r="B35" s="4" t="s">
        <v>136</v>
      </c>
      <c r="C35" s="4">
        <v>7.4999999999999997E-3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13">
        <f t="shared" si="0"/>
        <v>7.4999999999999997E-3</v>
      </c>
    </row>
    <row r="36" spans="1:22" x14ac:dyDescent="0.3">
      <c r="A36" s="19">
        <v>46023</v>
      </c>
      <c r="B36" s="4" t="s">
        <v>135</v>
      </c>
      <c r="C36" s="4">
        <v>7.4999999999999997E-3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13">
        <f t="shared" si="0"/>
        <v>7.4999999999999997E-3</v>
      </c>
    </row>
    <row r="37" spans="1:22" x14ac:dyDescent="0.3">
      <c r="A37" s="19">
        <v>46023</v>
      </c>
      <c r="B37" s="4" t="s">
        <v>134</v>
      </c>
      <c r="C37" s="4">
        <v>7.4999999999999997E-3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13">
        <f t="shared" si="0"/>
        <v>7.4999999999999997E-3</v>
      </c>
    </row>
    <row r="38" spans="1:22" x14ac:dyDescent="0.3">
      <c r="A38" s="19">
        <v>46023</v>
      </c>
      <c r="B38" s="4" t="s">
        <v>133</v>
      </c>
      <c r="C38" s="4">
        <v>7.4999999999999997E-3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13">
        <f t="shared" si="0"/>
        <v>7.4999999999999997E-3</v>
      </c>
    </row>
    <row r="39" spans="1:22" x14ac:dyDescent="0.3">
      <c r="A39" s="19">
        <v>46023</v>
      </c>
      <c r="B39" s="4" t="s">
        <v>132</v>
      </c>
      <c r="C39" s="4">
        <v>7.4999999999999997E-3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13">
        <f t="shared" si="0"/>
        <v>7.4999999999999997E-3</v>
      </c>
    </row>
    <row r="40" spans="1:22" x14ac:dyDescent="0.3">
      <c r="A40" s="19">
        <v>46023</v>
      </c>
      <c r="B40" s="4" t="s">
        <v>131</v>
      </c>
      <c r="C40" s="4">
        <v>7.4999999999999997E-3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13">
        <f t="shared" si="0"/>
        <v>7.4999999999999997E-3</v>
      </c>
    </row>
    <row r="41" spans="1:22" x14ac:dyDescent="0.3">
      <c r="A41" s="19">
        <v>46023</v>
      </c>
      <c r="B41" s="4" t="s">
        <v>130</v>
      </c>
      <c r="C41" s="4">
        <v>7.4999999999999997E-3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13">
        <f t="shared" si="0"/>
        <v>7.4999999999999997E-3</v>
      </c>
    </row>
    <row r="42" spans="1:22" x14ac:dyDescent="0.3">
      <c r="A42" s="19">
        <v>46023</v>
      </c>
      <c r="B42" s="4" t="s">
        <v>129</v>
      </c>
      <c r="C42" s="4">
        <v>7.4999999999999997E-3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13">
        <f t="shared" si="0"/>
        <v>7.4999999999999997E-3</v>
      </c>
    </row>
    <row r="43" spans="1:22" x14ac:dyDescent="0.3">
      <c r="A43" s="19">
        <v>46023</v>
      </c>
      <c r="B43" s="4" t="s">
        <v>128</v>
      </c>
      <c r="C43" s="4">
        <v>7.4999999999999997E-3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13">
        <f t="shared" si="0"/>
        <v>7.4999999999999997E-3</v>
      </c>
    </row>
    <row r="44" spans="1:22" x14ac:dyDescent="0.3">
      <c r="A44" s="19">
        <v>46023</v>
      </c>
      <c r="B44" s="4" t="s">
        <v>127</v>
      </c>
      <c r="C44" s="4">
        <v>7.4999999999999997E-3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13">
        <f t="shared" si="0"/>
        <v>7.4999999999999997E-3</v>
      </c>
    </row>
    <row r="45" spans="1:22" x14ac:dyDescent="0.3">
      <c r="A45" s="19">
        <v>46023</v>
      </c>
      <c r="B45" s="4" t="s">
        <v>126</v>
      </c>
      <c r="C45" s="4">
        <v>7.4999999999999997E-3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13">
        <f t="shared" si="0"/>
        <v>7.4999999999999997E-3</v>
      </c>
    </row>
    <row r="46" spans="1:22" x14ac:dyDescent="0.3">
      <c r="A46" s="19">
        <v>46023</v>
      </c>
      <c r="B46" s="62" t="s">
        <v>125</v>
      </c>
      <c r="C46" s="62">
        <v>7.4999999999999997E-3</v>
      </c>
      <c r="D46" s="62">
        <v>1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13">
        <f t="shared" si="0"/>
        <v>1.0075000000000001</v>
      </c>
    </row>
    <row r="47" spans="1:22" x14ac:dyDescent="0.3">
      <c r="A47" s="19">
        <v>46023</v>
      </c>
      <c r="B47" s="62" t="s">
        <v>124</v>
      </c>
      <c r="C47" s="62">
        <v>7.4999999999999997E-3</v>
      </c>
      <c r="D47" s="62">
        <v>0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2">
        <v>0</v>
      </c>
      <c r="V47" s="13">
        <f t="shared" si="0"/>
        <v>7.4999999999999997E-3</v>
      </c>
    </row>
    <row r="48" spans="1:22" x14ac:dyDescent="0.3">
      <c r="A48" s="19">
        <v>46023</v>
      </c>
      <c r="B48" s="62" t="s">
        <v>123</v>
      </c>
      <c r="C48" s="62">
        <v>7.4999999999999997E-3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13">
        <f t="shared" si="0"/>
        <v>7.4999999999999997E-3</v>
      </c>
    </row>
    <row r="49" spans="1:22" x14ac:dyDescent="0.3">
      <c r="A49" s="19">
        <v>46023</v>
      </c>
      <c r="B49" s="62" t="s">
        <v>122</v>
      </c>
      <c r="C49" s="62">
        <v>7.4999999999999997E-3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13">
        <f t="shared" si="0"/>
        <v>7.4999999999999997E-3</v>
      </c>
    </row>
    <row r="50" spans="1:22" x14ac:dyDescent="0.3">
      <c r="A50" s="19">
        <v>46023</v>
      </c>
      <c r="B50" s="62" t="s">
        <v>121</v>
      </c>
      <c r="C50" s="62">
        <v>7.4999999999999997E-3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13">
        <f t="shared" si="0"/>
        <v>7.4999999999999997E-3</v>
      </c>
    </row>
    <row r="51" spans="1:22" x14ac:dyDescent="0.3">
      <c r="A51" s="19">
        <v>46023</v>
      </c>
      <c r="B51" s="62" t="s">
        <v>120</v>
      </c>
      <c r="C51" s="62">
        <v>7.4999999999999997E-3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13">
        <f t="shared" si="0"/>
        <v>7.4999999999999997E-3</v>
      </c>
    </row>
    <row r="52" spans="1:22" x14ac:dyDescent="0.3">
      <c r="A52" s="19">
        <v>46023</v>
      </c>
      <c r="B52" s="62" t="s">
        <v>119</v>
      </c>
      <c r="C52" s="62">
        <v>7.4999999999999997E-3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13">
        <f t="shared" si="0"/>
        <v>7.4999999999999997E-3</v>
      </c>
    </row>
    <row r="53" spans="1:22" x14ac:dyDescent="0.3">
      <c r="A53" s="19">
        <v>46023</v>
      </c>
      <c r="B53" s="62" t="s">
        <v>118</v>
      </c>
      <c r="C53" s="62">
        <v>7.4999999999999997E-3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62">
        <v>0</v>
      </c>
      <c r="L53" s="62">
        <v>0</v>
      </c>
      <c r="M53" s="62">
        <v>0</v>
      </c>
      <c r="N53" s="62">
        <v>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13">
        <f t="shared" si="0"/>
        <v>7.4999999999999997E-3</v>
      </c>
    </row>
    <row r="54" spans="1:22" x14ac:dyDescent="0.3">
      <c r="A54" s="19">
        <v>46023</v>
      </c>
      <c r="B54" s="62" t="s">
        <v>117</v>
      </c>
      <c r="C54" s="62">
        <v>7.4999999999999997E-3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13">
        <f t="shared" si="0"/>
        <v>7.4999999999999997E-3</v>
      </c>
    </row>
    <row r="55" spans="1:22" x14ac:dyDescent="0.3">
      <c r="A55" s="19">
        <v>46023</v>
      </c>
      <c r="B55" s="4" t="s">
        <v>116</v>
      </c>
      <c r="C55" s="4">
        <v>7.4999999999999997E-3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13">
        <f t="shared" si="0"/>
        <v>7.4999999999999997E-3</v>
      </c>
    </row>
    <row r="56" spans="1:22" x14ac:dyDescent="0.3">
      <c r="A56" s="19">
        <v>46023</v>
      </c>
      <c r="B56" s="4" t="s">
        <v>115</v>
      </c>
      <c r="C56" s="4">
        <v>7.4999999999999997E-3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13">
        <f t="shared" si="0"/>
        <v>7.4999999999999997E-3</v>
      </c>
    </row>
    <row r="57" spans="1:22" x14ac:dyDescent="0.3">
      <c r="A57" s="19">
        <v>46023</v>
      </c>
      <c r="B57" s="4" t="s">
        <v>114</v>
      </c>
      <c r="C57" s="4">
        <v>7.4999999999999997E-3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13">
        <f t="shared" si="0"/>
        <v>7.4999999999999997E-3</v>
      </c>
    </row>
    <row r="58" spans="1:22" x14ac:dyDescent="0.3">
      <c r="A58" s="19">
        <v>46023</v>
      </c>
      <c r="B58" s="4" t="s">
        <v>113</v>
      </c>
      <c r="C58" s="4">
        <v>7.4999999999999997E-3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13">
        <f t="shared" si="0"/>
        <v>1.0075000000000001</v>
      </c>
    </row>
    <row r="59" spans="1:22" x14ac:dyDescent="0.3">
      <c r="A59" s="19">
        <v>46023</v>
      </c>
      <c r="B59" s="4" t="s">
        <v>112</v>
      </c>
      <c r="C59" s="4">
        <v>7.4999999999999997E-3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13">
        <f t="shared" si="0"/>
        <v>7.4999999999999997E-3</v>
      </c>
    </row>
    <row r="60" spans="1:22" x14ac:dyDescent="0.3">
      <c r="A60" s="19">
        <v>46023</v>
      </c>
      <c r="B60" s="4" t="s">
        <v>111</v>
      </c>
      <c r="C60" s="4">
        <v>7.4999999999999997E-3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13">
        <f t="shared" si="0"/>
        <v>7.4999999999999997E-3</v>
      </c>
    </row>
    <row r="61" spans="1:22" x14ac:dyDescent="0.3">
      <c r="A61" s="19">
        <v>46023</v>
      </c>
      <c r="B61" s="4" t="s">
        <v>110</v>
      </c>
      <c r="C61" s="4">
        <v>7.4999999999999997E-3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13">
        <f t="shared" si="0"/>
        <v>7.4999999999999997E-3</v>
      </c>
    </row>
    <row r="62" spans="1:22" x14ac:dyDescent="0.3">
      <c r="A62" s="19">
        <v>46023</v>
      </c>
      <c r="B62" s="4" t="s">
        <v>109</v>
      </c>
      <c r="C62" s="4">
        <v>7.4999999999999997E-3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13">
        <f t="shared" si="0"/>
        <v>7.4999999999999997E-3</v>
      </c>
    </row>
    <row r="63" spans="1:22" x14ac:dyDescent="0.3">
      <c r="A63" s="19">
        <v>46023</v>
      </c>
      <c r="B63" s="4" t="s">
        <v>108</v>
      </c>
      <c r="C63" s="4">
        <v>7.4999999999999997E-3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13">
        <f t="shared" si="0"/>
        <v>7.4999999999999997E-3</v>
      </c>
    </row>
    <row r="64" spans="1:22" x14ac:dyDescent="0.3">
      <c r="A64" s="19">
        <v>46023</v>
      </c>
      <c r="B64" s="4" t="s">
        <v>107</v>
      </c>
      <c r="C64" s="4">
        <v>7.4999999999999997E-3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13">
        <f t="shared" si="0"/>
        <v>7.4999999999999997E-3</v>
      </c>
    </row>
    <row r="65" spans="1:22" x14ac:dyDescent="0.3">
      <c r="A65" s="19">
        <v>46023</v>
      </c>
      <c r="B65" s="4" t="s">
        <v>106</v>
      </c>
      <c r="C65" s="4">
        <v>7.4999999999999997E-3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13">
        <f t="shared" si="0"/>
        <v>7.4999999999999997E-3</v>
      </c>
    </row>
    <row r="66" spans="1:22" x14ac:dyDescent="0.3">
      <c r="A66" s="19">
        <v>46023</v>
      </c>
      <c r="B66" s="62" t="s">
        <v>105</v>
      </c>
      <c r="C66" s="62">
        <v>7.4999999999999997E-3</v>
      </c>
      <c r="D66" s="62">
        <v>1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13">
        <f t="shared" si="0"/>
        <v>1.0075000000000001</v>
      </c>
    </row>
    <row r="67" spans="1:22" x14ac:dyDescent="0.3">
      <c r="A67" s="19">
        <v>46023</v>
      </c>
      <c r="B67" s="62" t="s">
        <v>104</v>
      </c>
      <c r="C67" s="62">
        <v>7.4999999999999997E-3</v>
      </c>
      <c r="D67" s="62">
        <v>1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5.0000000000000001E-3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13">
        <f t="shared" ref="V67:V97" si="1">C67+D67+E67+F67+G67+H67+I67+J67+K67+L67+M67+N67+O67+P67+Q67+R67+S67+T67+U67</f>
        <v>1.0125</v>
      </c>
    </row>
    <row r="68" spans="1:22" x14ac:dyDescent="0.3">
      <c r="A68" s="19">
        <v>46023</v>
      </c>
      <c r="B68" s="62" t="s">
        <v>103</v>
      </c>
      <c r="C68" s="62">
        <v>7.4999999999999997E-3</v>
      </c>
      <c r="D68" s="62">
        <v>1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5.0000000000000001E-3</v>
      </c>
      <c r="P68" s="62">
        <v>0</v>
      </c>
      <c r="Q68" s="62">
        <v>0.05</v>
      </c>
      <c r="R68" s="62">
        <v>0</v>
      </c>
      <c r="S68" s="62">
        <v>0</v>
      </c>
      <c r="T68" s="62">
        <v>0</v>
      </c>
      <c r="U68" s="62">
        <v>0</v>
      </c>
      <c r="V68" s="13">
        <f t="shared" si="1"/>
        <v>1.0625</v>
      </c>
    </row>
    <row r="69" spans="1:22" x14ac:dyDescent="0.3">
      <c r="A69" s="19">
        <v>46023</v>
      </c>
      <c r="B69" s="62" t="s">
        <v>102</v>
      </c>
      <c r="C69" s="62">
        <v>7.4999999999999997E-3</v>
      </c>
      <c r="D69" s="62">
        <v>1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5.0000000000000001E-3</v>
      </c>
      <c r="P69" s="62">
        <v>0</v>
      </c>
      <c r="Q69" s="62">
        <v>0</v>
      </c>
      <c r="R69" s="62">
        <v>3.2500000000000001E-2</v>
      </c>
      <c r="S69" s="62">
        <v>0</v>
      </c>
      <c r="T69" s="62">
        <v>0</v>
      </c>
      <c r="U69" s="62">
        <v>0</v>
      </c>
      <c r="V69" s="13">
        <f t="shared" si="1"/>
        <v>1.0449999999999999</v>
      </c>
    </row>
    <row r="70" spans="1:22" x14ac:dyDescent="0.3">
      <c r="A70" s="19">
        <v>46023</v>
      </c>
      <c r="B70" s="62" t="s">
        <v>101</v>
      </c>
      <c r="C70" s="62">
        <v>7.4999999999999997E-3</v>
      </c>
      <c r="D70" s="62">
        <v>1</v>
      </c>
      <c r="E70" s="62">
        <v>0</v>
      </c>
      <c r="F70" s="62">
        <v>1.4999999999999999E-2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5.0000000000000001E-3</v>
      </c>
      <c r="P70" s="62">
        <v>0</v>
      </c>
      <c r="Q70" s="62">
        <v>0</v>
      </c>
      <c r="R70" s="62">
        <v>0</v>
      </c>
      <c r="S70" s="62">
        <v>2.5000000000000001E-2</v>
      </c>
      <c r="T70" s="62">
        <v>0</v>
      </c>
      <c r="U70" s="62">
        <v>0</v>
      </c>
      <c r="V70" s="13">
        <f t="shared" si="1"/>
        <v>1.0524999999999998</v>
      </c>
    </row>
    <row r="71" spans="1:22" x14ac:dyDescent="0.3">
      <c r="A71" s="19">
        <v>46023</v>
      </c>
      <c r="B71" s="62" t="s">
        <v>100</v>
      </c>
      <c r="C71" s="62">
        <v>7.4999999999999997E-3</v>
      </c>
      <c r="D71" s="62">
        <v>1</v>
      </c>
      <c r="E71" s="62">
        <v>0</v>
      </c>
      <c r="F71" s="62">
        <v>1.4999999999999999E-2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2">
        <v>0</v>
      </c>
      <c r="N71" s="62">
        <v>0</v>
      </c>
      <c r="O71" s="62">
        <v>5.0000000000000001E-3</v>
      </c>
      <c r="P71" s="62">
        <v>0</v>
      </c>
      <c r="Q71" s="62">
        <v>0</v>
      </c>
      <c r="R71" s="62">
        <v>0</v>
      </c>
      <c r="S71" s="62">
        <v>2.5000000000000001E-2</v>
      </c>
      <c r="T71" s="62">
        <v>0</v>
      </c>
      <c r="U71" s="62">
        <v>0</v>
      </c>
      <c r="V71" s="13">
        <f t="shared" si="1"/>
        <v>1.0524999999999998</v>
      </c>
    </row>
    <row r="72" spans="1:22" x14ac:dyDescent="0.3">
      <c r="A72" s="19">
        <v>46023</v>
      </c>
      <c r="B72" s="62" t="s">
        <v>99</v>
      </c>
      <c r="C72" s="62">
        <v>7.4999999999999997E-3</v>
      </c>
      <c r="D72" s="62">
        <v>1</v>
      </c>
      <c r="E72" s="62">
        <v>0</v>
      </c>
      <c r="F72" s="62">
        <v>1.4999999999999999E-2</v>
      </c>
      <c r="G72" s="62">
        <v>1.5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8.9999999999999993E-3</v>
      </c>
      <c r="P72" s="62">
        <v>0</v>
      </c>
      <c r="Q72" s="62">
        <v>0</v>
      </c>
      <c r="R72" s="62">
        <v>0</v>
      </c>
      <c r="S72" s="62">
        <v>2.5000000000000001E-2</v>
      </c>
      <c r="T72" s="62">
        <v>0</v>
      </c>
      <c r="U72" s="62">
        <v>0</v>
      </c>
      <c r="V72" s="13">
        <f t="shared" si="1"/>
        <v>2.5564999999999998</v>
      </c>
    </row>
    <row r="73" spans="1:22" x14ac:dyDescent="0.3">
      <c r="A73" s="19">
        <v>46023</v>
      </c>
      <c r="B73" s="62" t="s">
        <v>98</v>
      </c>
      <c r="C73" s="62">
        <v>7.4999999999999997E-3</v>
      </c>
      <c r="D73" s="62">
        <v>1</v>
      </c>
      <c r="E73" s="62">
        <v>0</v>
      </c>
      <c r="F73" s="62">
        <v>1.4999999999999999E-2</v>
      </c>
      <c r="G73" s="62">
        <v>1.5</v>
      </c>
      <c r="H73" s="62">
        <v>0</v>
      </c>
      <c r="I73" s="62">
        <v>0.75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8.9999999999999993E-3</v>
      </c>
      <c r="P73" s="62">
        <v>0</v>
      </c>
      <c r="Q73" s="62">
        <v>0</v>
      </c>
      <c r="R73" s="62">
        <v>0</v>
      </c>
      <c r="S73" s="62">
        <v>2.5000000000000001E-2</v>
      </c>
      <c r="T73" s="62">
        <v>0</v>
      </c>
      <c r="U73" s="62">
        <v>0</v>
      </c>
      <c r="V73" s="13">
        <f t="shared" si="1"/>
        <v>3.3064999999999998</v>
      </c>
    </row>
    <row r="74" spans="1:22" x14ac:dyDescent="0.3">
      <c r="A74" s="19">
        <v>46023</v>
      </c>
      <c r="B74" s="62" t="s">
        <v>97</v>
      </c>
      <c r="C74" s="62">
        <v>7.4999999999999997E-3</v>
      </c>
      <c r="D74" s="62">
        <v>1</v>
      </c>
      <c r="E74" s="62">
        <v>0</v>
      </c>
      <c r="F74" s="62">
        <v>1.4999999999999999E-2</v>
      </c>
      <c r="G74" s="62">
        <v>1.5</v>
      </c>
      <c r="H74" s="62">
        <v>0</v>
      </c>
      <c r="I74" s="62">
        <v>0.75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8.9999999999999993E-3</v>
      </c>
      <c r="P74" s="62">
        <v>0</v>
      </c>
      <c r="Q74" s="62">
        <v>0</v>
      </c>
      <c r="R74" s="62">
        <v>0</v>
      </c>
      <c r="S74" s="62">
        <v>2.5000000000000001E-2</v>
      </c>
      <c r="T74" s="62">
        <v>0</v>
      </c>
      <c r="U74" s="62">
        <v>0</v>
      </c>
      <c r="V74" s="13">
        <f t="shared" si="1"/>
        <v>3.3064999999999998</v>
      </c>
    </row>
    <row r="75" spans="1:22" x14ac:dyDescent="0.3">
      <c r="A75" s="19">
        <v>46023</v>
      </c>
      <c r="B75" s="4" t="s">
        <v>96</v>
      </c>
      <c r="C75" s="4">
        <v>7.4999999999999997E-3</v>
      </c>
      <c r="D75" s="4">
        <v>1</v>
      </c>
      <c r="E75" s="4">
        <v>0</v>
      </c>
      <c r="F75" s="4">
        <v>0</v>
      </c>
      <c r="G75" s="4">
        <v>1.5</v>
      </c>
      <c r="H75" s="4">
        <v>0</v>
      </c>
      <c r="I75" s="4">
        <v>0.75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8.9999999999999993E-3</v>
      </c>
      <c r="P75" s="4">
        <v>0</v>
      </c>
      <c r="Q75" s="4">
        <v>0</v>
      </c>
      <c r="R75" s="4">
        <v>0</v>
      </c>
      <c r="S75" s="4">
        <v>2.5000000000000001E-2</v>
      </c>
      <c r="T75" s="4">
        <v>0</v>
      </c>
      <c r="U75" s="4">
        <v>0</v>
      </c>
      <c r="V75" s="13">
        <f t="shared" si="1"/>
        <v>3.2915000000000001</v>
      </c>
    </row>
    <row r="76" spans="1:22" x14ac:dyDescent="0.3">
      <c r="A76" s="19">
        <v>46023</v>
      </c>
      <c r="B76" s="4" t="s">
        <v>95</v>
      </c>
      <c r="C76" s="4">
        <v>7.4999999999999997E-3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0.75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8.9999999999999993E-3</v>
      </c>
      <c r="P76" s="4">
        <v>0</v>
      </c>
      <c r="Q76" s="4">
        <v>0</v>
      </c>
      <c r="R76" s="4">
        <v>0</v>
      </c>
      <c r="S76" s="4">
        <v>2.5000000000000001E-2</v>
      </c>
      <c r="T76" s="4">
        <v>0</v>
      </c>
      <c r="U76" s="4">
        <v>0</v>
      </c>
      <c r="V76" s="13">
        <f t="shared" si="1"/>
        <v>1.7914999999999999</v>
      </c>
    </row>
    <row r="77" spans="1:22" x14ac:dyDescent="0.3">
      <c r="A77" s="19">
        <v>46023</v>
      </c>
      <c r="B77" s="4" t="s">
        <v>94</v>
      </c>
      <c r="C77" s="4">
        <v>7.4999999999999997E-3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  <c r="I77" s="4">
        <v>0.75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1.2E-2</v>
      </c>
      <c r="P77" s="4">
        <v>0</v>
      </c>
      <c r="Q77" s="4">
        <v>0</v>
      </c>
      <c r="R77" s="4">
        <v>0</v>
      </c>
      <c r="S77" s="4">
        <v>2.5000000000000001E-2</v>
      </c>
      <c r="T77" s="4">
        <v>0</v>
      </c>
      <c r="U77" s="4">
        <v>0</v>
      </c>
      <c r="V77" s="13">
        <f t="shared" si="1"/>
        <v>1.7945</v>
      </c>
    </row>
    <row r="78" spans="1:22" x14ac:dyDescent="0.3">
      <c r="A78" s="19">
        <v>46023</v>
      </c>
      <c r="B78" s="4" t="s">
        <v>93</v>
      </c>
      <c r="C78" s="4">
        <v>7.4999999999999997E-3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  <c r="I78" s="4">
        <v>0.75</v>
      </c>
      <c r="J78" s="4">
        <v>2.1250000000000002E-2</v>
      </c>
      <c r="K78" s="4">
        <v>0</v>
      </c>
      <c r="L78" s="4">
        <v>0</v>
      </c>
      <c r="M78" s="4">
        <v>0</v>
      </c>
      <c r="N78" s="4">
        <v>0</v>
      </c>
      <c r="O78" s="4">
        <v>1.2E-2</v>
      </c>
      <c r="P78" s="4">
        <v>5.0000000000000001E-3</v>
      </c>
      <c r="Q78" s="4">
        <v>0</v>
      </c>
      <c r="R78" s="4">
        <v>0</v>
      </c>
      <c r="S78" s="4">
        <v>2.5000000000000001E-2</v>
      </c>
      <c r="T78" s="4">
        <v>0</v>
      </c>
      <c r="U78" s="4">
        <v>0</v>
      </c>
      <c r="V78" s="13">
        <f t="shared" si="1"/>
        <v>1.8207499999999999</v>
      </c>
    </row>
    <row r="79" spans="1:22" x14ac:dyDescent="0.3">
      <c r="A79" s="19">
        <v>46023</v>
      </c>
      <c r="B79" s="4" t="s">
        <v>92</v>
      </c>
      <c r="C79" s="4">
        <v>7.4999999999999997E-3</v>
      </c>
      <c r="D79" s="4">
        <v>0.5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2.1250000000000002E-2</v>
      </c>
      <c r="K79" s="4">
        <v>0</v>
      </c>
      <c r="L79" s="4">
        <v>0</v>
      </c>
      <c r="M79" s="4">
        <v>0</v>
      </c>
      <c r="N79" s="4">
        <v>0</v>
      </c>
      <c r="O79" s="4">
        <v>1.2E-2</v>
      </c>
      <c r="P79" s="4">
        <v>5.0000000000000001E-3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13">
        <f t="shared" si="1"/>
        <v>0.54574999999999996</v>
      </c>
    </row>
    <row r="80" spans="1:22" x14ac:dyDescent="0.3">
      <c r="A80" s="19">
        <v>46023</v>
      </c>
      <c r="B80" s="4" t="s">
        <v>91</v>
      </c>
      <c r="C80" s="4">
        <v>7.4999999999999997E-3</v>
      </c>
      <c r="D80" s="4">
        <v>0.5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2.1250000000000002E-2</v>
      </c>
      <c r="K80" s="4">
        <v>6.25E-2</v>
      </c>
      <c r="L80" s="4">
        <v>0</v>
      </c>
      <c r="M80" s="4">
        <v>0</v>
      </c>
      <c r="N80" s="4">
        <v>0</v>
      </c>
      <c r="O80" s="4">
        <v>1.2E-2</v>
      </c>
      <c r="P80" s="4">
        <v>5.0000000000000001E-3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13">
        <f t="shared" si="1"/>
        <v>0.60824999999999996</v>
      </c>
    </row>
    <row r="81" spans="1:22" x14ac:dyDescent="0.3">
      <c r="A81" s="19">
        <v>46023</v>
      </c>
      <c r="B81" s="4" t="s">
        <v>90</v>
      </c>
      <c r="C81" s="4">
        <v>7.4999999999999997E-3</v>
      </c>
      <c r="D81" s="4">
        <v>0.5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2.1250000000000002E-2</v>
      </c>
      <c r="K81" s="4">
        <v>6.25E-2</v>
      </c>
      <c r="L81" s="4">
        <v>0</v>
      </c>
      <c r="M81" s="4">
        <v>0</v>
      </c>
      <c r="N81" s="4">
        <v>0</v>
      </c>
      <c r="O81" s="4">
        <v>1.6E-2</v>
      </c>
      <c r="P81" s="4">
        <v>5.0000000000000001E-3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13">
        <f t="shared" si="1"/>
        <v>0.61224999999999996</v>
      </c>
    </row>
    <row r="82" spans="1:22" x14ac:dyDescent="0.3">
      <c r="A82" s="19">
        <v>46023</v>
      </c>
      <c r="B82" s="4" t="s">
        <v>89</v>
      </c>
      <c r="C82" s="4">
        <v>7.4999999999999997E-3</v>
      </c>
      <c r="D82" s="4">
        <v>0.5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2.1250000000000002E-2</v>
      </c>
      <c r="K82" s="4">
        <v>6.25E-2</v>
      </c>
      <c r="L82" s="4">
        <v>0</v>
      </c>
      <c r="M82" s="4">
        <v>0</v>
      </c>
      <c r="N82" s="4">
        <v>0</v>
      </c>
      <c r="O82" s="4">
        <v>1.6E-2</v>
      </c>
      <c r="P82" s="4">
        <v>5.0000000000000001E-3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13">
        <f t="shared" si="1"/>
        <v>0.61224999999999996</v>
      </c>
    </row>
    <row r="83" spans="1:22" x14ac:dyDescent="0.3">
      <c r="A83" s="19">
        <v>46023</v>
      </c>
      <c r="B83" s="4" t="s">
        <v>88</v>
      </c>
      <c r="C83" s="4">
        <v>7.4999999999999997E-3</v>
      </c>
      <c r="D83" s="4">
        <v>0.5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2.1250000000000002E-2</v>
      </c>
      <c r="K83" s="4">
        <v>6.25E-2</v>
      </c>
      <c r="L83" s="4">
        <v>0</v>
      </c>
      <c r="M83" s="4">
        <v>0</v>
      </c>
      <c r="N83" s="4">
        <v>0</v>
      </c>
      <c r="O83" s="4">
        <v>1.6E-2</v>
      </c>
      <c r="P83" s="4">
        <v>5.0000000000000001E-3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13">
        <f t="shared" si="1"/>
        <v>0.61224999999999996</v>
      </c>
    </row>
    <row r="84" spans="1:22" x14ac:dyDescent="0.3">
      <c r="A84" s="19">
        <v>46023</v>
      </c>
      <c r="B84" s="4" t="s">
        <v>87</v>
      </c>
      <c r="C84" s="4">
        <v>7.4999999999999997E-3</v>
      </c>
      <c r="D84" s="4">
        <v>0.5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2.1250000000000002E-2</v>
      </c>
      <c r="K84" s="4">
        <v>6.25E-2</v>
      </c>
      <c r="L84" s="4">
        <v>0</v>
      </c>
      <c r="M84" s="4">
        <v>0</v>
      </c>
      <c r="N84" s="4">
        <v>0</v>
      </c>
      <c r="O84" s="4">
        <v>1.6E-2</v>
      </c>
      <c r="P84" s="4">
        <v>5.0000000000000001E-3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13">
        <f t="shared" si="1"/>
        <v>0.61224999999999996</v>
      </c>
    </row>
    <row r="85" spans="1:22" x14ac:dyDescent="0.3">
      <c r="A85" s="19">
        <v>46023</v>
      </c>
      <c r="B85" s="4" t="s">
        <v>86</v>
      </c>
      <c r="C85" s="4">
        <v>7.4999999999999997E-3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2.1250000000000002E-2</v>
      </c>
      <c r="K85" s="4">
        <v>6.25E-2</v>
      </c>
      <c r="L85" s="4">
        <v>0</v>
      </c>
      <c r="M85" s="4">
        <v>0</v>
      </c>
      <c r="N85" s="4">
        <v>0</v>
      </c>
      <c r="O85" s="4">
        <v>1.6E-2</v>
      </c>
      <c r="P85" s="4">
        <v>5.0000000000000001E-3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13">
        <f t="shared" si="1"/>
        <v>1.11225</v>
      </c>
    </row>
    <row r="86" spans="1:22" x14ac:dyDescent="0.3">
      <c r="A86" s="19">
        <v>46023</v>
      </c>
      <c r="B86" s="4" t="s">
        <v>85</v>
      </c>
      <c r="C86" s="4">
        <v>7.4999999999999997E-3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2.1250000000000002E-2</v>
      </c>
      <c r="K86" s="4">
        <v>6.25E-2</v>
      </c>
      <c r="L86" s="4">
        <v>0</v>
      </c>
      <c r="M86" s="4">
        <v>0</v>
      </c>
      <c r="N86" s="4">
        <v>0.55000000000000004</v>
      </c>
      <c r="O86" s="4">
        <v>1.6E-2</v>
      </c>
      <c r="P86" s="4">
        <v>5.0000000000000001E-3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13">
        <f t="shared" si="1"/>
        <v>1.66225</v>
      </c>
    </row>
    <row r="87" spans="1:22" x14ac:dyDescent="0.3">
      <c r="A87" s="19">
        <v>46023</v>
      </c>
      <c r="B87" s="4" t="s">
        <v>84</v>
      </c>
      <c r="C87" s="4">
        <v>7.4999999999999997E-3</v>
      </c>
      <c r="D87" s="4">
        <v>1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2.1250000000000002E-2</v>
      </c>
      <c r="K87" s="4">
        <v>6.25E-2</v>
      </c>
      <c r="L87" s="4">
        <v>0</v>
      </c>
      <c r="M87" s="4">
        <v>0</v>
      </c>
      <c r="N87" s="4">
        <v>0.55000000000000004</v>
      </c>
      <c r="O87" s="4">
        <v>0.01</v>
      </c>
      <c r="P87" s="4">
        <v>5.0000000000000001E-3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13">
        <f t="shared" si="1"/>
        <v>1.65625</v>
      </c>
    </row>
    <row r="88" spans="1:22" x14ac:dyDescent="0.3">
      <c r="A88" s="19">
        <v>46023</v>
      </c>
      <c r="B88" s="4" t="s">
        <v>83</v>
      </c>
      <c r="C88" s="4">
        <v>7.4999999999999997E-3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2.1250000000000002E-2</v>
      </c>
      <c r="K88" s="4">
        <v>6.25E-2</v>
      </c>
      <c r="L88" s="4">
        <v>0</v>
      </c>
      <c r="M88" s="4">
        <v>0</v>
      </c>
      <c r="N88" s="4">
        <v>0.55000000000000004</v>
      </c>
      <c r="O88" s="4">
        <v>0.01</v>
      </c>
      <c r="P88" s="4">
        <v>5.0000000000000001E-3</v>
      </c>
      <c r="Q88" s="4">
        <v>0</v>
      </c>
      <c r="R88" s="4">
        <v>0</v>
      </c>
      <c r="S88" s="4">
        <v>0</v>
      </c>
      <c r="T88" s="4">
        <v>0</v>
      </c>
      <c r="U88" s="4">
        <v>7.4999999999999997E-3</v>
      </c>
      <c r="V88" s="13">
        <f t="shared" si="1"/>
        <v>1.6637500000000001</v>
      </c>
    </row>
    <row r="89" spans="1:22" x14ac:dyDescent="0.3">
      <c r="A89" s="19">
        <v>46023</v>
      </c>
      <c r="B89" s="4" t="s">
        <v>82</v>
      </c>
      <c r="C89" s="4">
        <v>7.4999999999999997E-3</v>
      </c>
      <c r="D89" s="4">
        <v>0.5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2.1250000000000002E-2</v>
      </c>
      <c r="K89" s="4">
        <v>6.25E-2</v>
      </c>
      <c r="L89" s="4">
        <v>0</v>
      </c>
      <c r="M89" s="4">
        <v>0</v>
      </c>
      <c r="N89" s="4">
        <v>0.55000000000000004</v>
      </c>
      <c r="O89" s="4">
        <v>0.01</v>
      </c>
      <c r="P89" s="4">
        <v>5.0000000000000001E-3</v>
      </c>
      <c r="Q89" s="4">
        <v>0</v>
      </c>
      <c r="R89" s="4">
        <v>0</v>
      </c>
      <c r="S89" s="4">
        <v>0</v>
      </c>
      <c r="T89" s="4">
        <v>0</v>
      </c>
      <c r="U89" s="4">
        <v>7.4999999999999997E-3</v>
      </c>
      <c r="V89" s="13">
        <f t="shared" si="1"/>
        <v>1.1637499999999998</v>
      </c>
    </row>
    <row r="90" spans="1:22" x14ac:dyDescent="0.3">
      <c r="A90" s="19">
        <v>46023</v>
      </c>
      <c r="B90" s="4" t="s">
        <v>81</v>
      </c>
      <c r="C90" s="4">
        <v>7.4999999999999997E-3</v>
      </c>
      <c r="D90" s="4">
        <v>0.5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2.1250000000000002E-2</v>
      </c>
      <c r="K90" s="4">
        <v>6.25E-2</v>
      </c>
      <c r="L90" s="4">
        <v>0</v>
      </c>
      <c r="M90" s="4">
        <v>0</v>
      </c>
      <c r="N90" s="4">
        <v>0.55000000000000004</v>
      </c>
      <c r="O90" s="4">
        <v>0.01</v>
      </c>
      <c r="P90" s="4">
        <v>5.0000000000000001E-3</v>
      </c>
      <c r="Q90" s="4">
        <v>0</v>
      </c>
      <c r="R90" s="4">
        <v>0</v>
      </c>
      <c r="S90" s="4">
        <v>0</v>
      </c>
      <c r="T90" s="4">
        <v>0</v>
      </c>
      <c r="U90" s="4">
        <v>7.4999999999999997E-3</v>
      </c>
      <c r="V90" s="13">
        <f t="shared" si="1"/>
        <v>1.1637499999999998</v>
      </c>
    </row>
    <row r="91" spans="1:22" x14ac:dyDescent="0.3">
      <c r="A91" s="19">
        <v>46023</v>
      </c>
      <c r="B91" s="4" t="s">
        <v>80</v>
      </c>
      <c r="C91" s="4">
        <v>7.4999999999999997E-3</v>
      </c>
      <c r="D91" s="4">
        <v>0.5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2.1250000000000002E-2</v>
      </c>
      <c r="K91" s="4">
        <v>6.25E-2</v>
      </c>
      <c r="L91" s="4">
        <v>0</v>
      </c>
      <c r="M91" s="4">
        <v>0</v>
      </c>
      <c r="N91" s="4">
        <v>0.55000000000000004</v>
      </c>
      <c r="O91" s="4">
        <v>6.0000000000000001E-3</v>
      </c>
      <c r="P91" s="4">
        <v>5.0000000000000001E-3</v>
      </c>
      <c r="Q91" s="4">
        <v>0</v>
      </c>
      <c r="R91" s="4">
        <v>0</v>
      </c>
      <c r="S91" s="4">
        <v>0</v>
      </c>
      <c r="T91" s="4">
        <v>0</v>
      </c>
      <c r="U91" s="4">
        <v>7.4999999999999997E-3</v>
      </c>
      <c r="V91" s="13">
        <f t="shared" si="1"/>
        <v>1.1597499999999998</v>
      </c>
    </row>
    <row r="92" spans="1:22" x14ac:dyDescent="0.3">
      <c r="A92" s="19">
        <v>46023</v>
      </c>
      <c r="B92" s="4" t="s">
        <v>79</v>
      </c>
      <c r="C92" s="4">
        <v>7.4999999999999997E-3</v>
      </c>
      <c r="D92" s="4">
        <v>0.5</v>
      </c>
      <c r="E92" s="4">
        <v>0</v>
      </c>
      <c r="F92" s="4">
        <v>1.4999999999999999E-2</v>
      </c>
      <c r="G92" s="4">
        <v>0</v>
      </c>
      <c r="H92" s="4">
        <v>0</v>
      </c>
      <c r="I92" s="4">
        <v>0</v>
      </c>
      <c r="J92" s="4">
        <v>2.1250000000000002E-2</v>
      </c>
      <c r="K92" s="4">
        <v>6.25E-2</v>
      </c>
      <c r="L92" s="4">
        <v>0</v>
      </c>
      <c r="M92" s="4">
        <v>0</v>
      </c>
      <c r="N92" s="4">
        <v>0.55000000000000004</v>
      </c>
      <c r="O92" s="4">
        <v>6.0000000000000001E-3</v>
      </c>
      <c r="P92" s="4">
        <v>5.0000000000000001E-3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13">
        <f t="shared" si="1"/>
        <v>1.1672499999999999</v>
      </c>
    </row>
    <row r="93" spans="1:22" x14ac:dyDescent="0.3">
      <c r="A93" s="19">
        <v>46023</v>
      </c>
      <c r="B93" s="4" t="s">
        <v>78</v>
      </c>
      <c r="C93" s="4">
        <v>7.4999999999999997E-3</v>
      </c>
      <c r="D93" s="4">
        <v>0.5</v>
      </c>
      <c r="E93" s="4">
        <v>0</v>
      </c>
      <c r="F93" s="4">
        <v>1.4999999999999999E-2</v>
      </c>
      <c r="G93" s="4">
        <v>0</v>
      </c>
      <c r="H93" s="4">
        <v>0</v>
      </c>
      <c r="I93" s="4">
        <v>0</v>
      </c>
      <c r="J93" s="4">
        <v>2.1250000000000002E-2</v>
      </c>
      <c r="K93" s="4">
        <v>0</v>
      </c>
      <c r="L93" s="4">
        <v>0</v>
      </c>
      <c r="M93" s="4">
        <v>0</v>
      </c>
      <c r="N93" s="4">
        <v>0</v>
      </c>
      <c r="O93" s="4">
        <v>6.0000000000000001E-3</v>
      </c>
      <c r="P93" s="4">
        <v>5.0000000000000001E-3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13">
        <f t="shared" si="1"/>
        <v>0.55474999999999997</v>
      </c>
    </row>
    <row r="94" spans="1:22" x14ac:dyDescent="0.3">
      <c r="A94" s="19">
        <v>46023</v>
      </c>
      <c r="B94" s="4" t="s">
        <v>77</v>
      </c>
      <c r="C94" s="4">
        <v>7.4999999999999997E-3</v>
      </c>
      <c r="D94" s="4">
        <v>1</v>
      </c>
      <c r="E94" s="4">
        <v>0</v>
      </c>
      <c r="F94" s="4">
        <v>1.4999999999999999E-2</v>
      </c>
      <c r="G94" s="4">
        <v>0</v>
      </c>
      <c r="H94" s="4">
        <v>0</v>
      </c>
      <c r="I94" s="4">
        <v>0</v>
      </c>
      <c r="J94" s="4">
        <v>2.1250000000000002E-2</v>
      </c>
      <c r="K94" s="4">
        <v>0</v>
      </c>
      <c r="L94" s="4">
        <v>0</v>
      </c>
      <c r="M94" s="4">
        <v>0</v>
      </c>
      <c r="N94" s="4">
        <v>0</v>
      </c>
      <c r="O94" s="4">
        <v>6.0000000000000001E-3</v>
      </c>
      <c r="P94" s="4">
        <v>5.0000000000000001E-3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13">
        <f t="shared" si="1"/>
        <v>1.0547499999999999</v>
      </c>
    </row>
    <row r="95" spans="1:22" x14ac:dyDescent="0.3">
      <c r="A95" s="19">
        <v>46023</v>
      </c>
      <c r="B95" s="4" t="s">
        <v>76</v>
      </c>
      <c r="C95" s="4">
        <v>7.4999999999999997E-3</v>
      </c>
      <c r="D95" s="4">
        <v>1</v>
      </c>
      <c r="E95" s="4">
        <v>0</v>
      </c>
      <c r="F95" s="4">
        <v>1.4999999999999999E-2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6.0000000000000001E-3</v>
      </c>
      <c r="P95" s="4">
        <v>5.0000000000000001E-3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13">
        <f t="shared" si="1"/>
        <v>1.0334999999999999</v>
      </c>
    </row>
    <row r="96" spans="1:22" x14ac:dyDescent="0.3">
      <c r="A96" s="19">
        <v>46023</v>
      </c>
      <c r="B96" s="4" t="s">
        <v>75</v>
      </c>
      <c r="C96" s="4">
        <v>7.4999999999999997E-3</v>
      </c>
      <c r="D96" s="4">
        <v>0.5</v>
      </c>
      <c r="E96" s="4">
        <v>0</v>
      </c>
      <c r="F96" s="4">
        <v>1.4999999999999999E-2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5.0000000000000001E-3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13">
        <f t="shared" si="1"/>
        <v>0.52749999999999997</v>
      </c>
    </row>
    <row r="97" spans="1:22" x14ac:dyDescent="0.3">
      <c r="A97" s="19">
        <v>46023</v>
      </c>
      <c r="B97" s="4" t="s">
        <v>74</v>
      </c>
      <c r="C97" s="4">
        <v>7.4999999999999997E-3</v>
      </c>
      <c r="D97" s="4">
        <v>0.5</v>
      </c>
      <c r="E97" s="4">
        <v>0</v>
      </c>
      <c r="F97" s="4">
        <v>1.4999999999999999E-2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13">
        <f t="shared" si="1"/>
        <v>0.52249999999999996</v>
      </c>
    </row>
    <row r="98" spans="1:22" x14ac:dyDescent="0.3">
      <c r="C98">
        <f>SUM(C2:C97)</f>
        <v>0.71999999999999897</v>
      </c>
      <c r="D98">
        <f t="shared" ref="D98:U98" si="2">SUM(D2:D97)</f>
        <v>45</v>
      </c>
      <c r="F98">
        <f t="shared" si="2"/>
        <v>0.30000000000000016</v>
      </c>
      <c r="G98">
        <f t="shared" si="2"/>
        <v>9</v>
      </c>
      <c r="H98">
        <f t="shared" si="2"/>
        <v>0.375</v>
      </c>
      <c r="I98">
        <f t="shared" si="2"/>
        <v>4.5</v>
      </c>
      <c r="J98">
        <f t="shared" si="2"/>
        <v>0.3612499999999999</v>
      </c>
      <c r="K98">
        <f t="shared" si="2"/>
        <v>0.8125</v>
      </c>
      <c r="L98">
        <f t="shared" si="2"/>
        <v>0</v>
      </c>
      <c r="M98">
        <f t="shared" si="2"/>
        <v>0</v>
      </c>
      <c r="N98">
        <f t="shared" si="2"/>
        <v>3.8499999999999996</v>
      </c>
      <c r="O98">
        <f t="shared" si="2"/>
        <v>0.38900000000000023</v>
      </c>
      <c r="P98">
        <f t="shared" si="2"/>
        <v>0.12500000000000003</v>
      </c>
      <c r="Q98">
        <f t="shared" si="2"/>
        <v>0.1</v>
      </c>
      <c r="R98">
        <f t="shared" si="2"/>
        <v>6.5000000000000002E-2</v>
      </c>
      <c r="S98">
        <f t="shared" si="2"/>
        <v>0.22499999999999998</v>
      </c>
      <c r="T98">
        <f t="shared" si="2"/>
        <v>0.16</v>
      </c>
      <c r="U98">
        <f t="shared" si="2"/>
        <v>0.03</v>
      </c>
      <c r="V98" s="18">
        <f>SUM(V2:V97)</f>
        <v>66.046500000000009</v>
      </c>
    </row>
    <row r="106" spans="1:22" x14ac:dyDescent="0.3">
      <c r="C106" s="17" t="s">
        <v>73</v>
      </c>
    </row>
    <row r="107" spans="1:22" x14ac:dyDescent="0.3">
      <c r="C107" s="16" t="s">
        <v>72</v>
      </c>
      <c r="D107" s="15" t="s">
        <v>71</v>
      </c>
      <c r="E107" s="14"/>
      <c r="K107" s="16" t="s">
        <v>72</v>
      </c>
      <c r="O107" s="17" t="s">
        <v>72</v>
      </c>
    </row>
    <row r="108" spans="1:22" x14ac:dyDescent="0.3">
      <c r="B108">
        <v>13</v>
      </c>
      <c r="C108" s="16" t="s">
        <v>70</v>
      </c>
      <c r="D108" s="15">
        <v>90</v>
      </c>
      <c r="E108" s="14" t="s">
        <v>69</v>
      </c>
      <c r="F108">
        <v>22.5</v>
      </c>
      <c r="G108">
        <v>2.2499999999999999E-2</v>
      </c>
      <c r="I108" t="s">
        <v>37</v>
      </c>
      <c r="K108" s="17" t="s">
        <v>181</v>
      </c>
      <c r="O108" s="17" t="s">
        <v>181</v>
      </c>
    </row>
    <row r="109" spans="1:22" x14ac:dyDescent="0.3">
      <c r="B109">
        <v>3</v>
      </c>
      <c r="C109" s="16" t="s">
        <v>68</v>
      </c>
      <c r="D109" s="15">
        <v>60</v>
      </c>
      <c r="E109" s="14" t="s">
        <v>67</v>
      </c>
      <c r="F109">
        <v>15</v>
      </c>
      <c r="G109">
        <v>1.4999999999999999E-2</v>
      </c>
      <c r="I109" t="s">
        <v>37</v>
      </c>
      <c r="K109" s="17" t="s">
        <v>180</v>
      </c>
      <c r="O109" s="17" t="s">
        <v>180</v>
      </c>
    </row>
    <row r="110" spans="1:22" x14ac:dyDescent="0.3">
      <c r="B110">
        <v>1</v>
      </c>
      <c r="C110" s="16" t="s">
        <v>66</v>
      </c>
      <c r="D110" s="15">
        <v>15</v>
      </c>
      <c r="E110" s="14" t="s">
        <v>65</v>
      </c>
      <c r="F110">
        <v>3.75</v>
      </c>
      <c r="G110">
        <v>3.7499999999999999E-3</v>
      </c>
      <c r="I110" t="s">
        <v>37</v>
      </c>
      <c r="K110" s="17" t="s">
        <v>179</v>
      </c>
      <c r="O110" s="17" t="s">
        <v>179</v>
      </c>
    </row>
    <row r="111" spans="1:22" x14ac:dyDescent="0.3">
      <c r="B111">
        <v>2</v>
      </c>
      <c r="C111" s="16" t="s">
        <v>64</v>
      </c>
      <c r="D111" s="15">
        <v>20</v>
      </c>
      <c r="E111" s="14" t="s">
        <v>63</v>
      </c>
      <c r="F111">
        <v>5</v>
      </c>
      <c r="G111">
        <v>5.0000000000000001E-3</v>
      </c>
      <c r="I111" t="s">
        <v>37</v>
      </c>
      <c r="K111" s="17" t="s">
        <v>178</v>
      </c>
      <c r="O111" s="17" t="s">
        <v>178</v>
      </c>
    </row>
    <row r="112" spans="1:22" x14ac:dyDescent="0.3">
      <c r="C112" s="16" t="s">
        <v>62</v>
      </c>
      <c r="D112" s="15">
        <v>200</v>
      </c>
      <c r="E112" s="14" t="s">
        <v>61</v>
      </c>
      <c r="F112">
        <v>50</v>
      </c>
      <c r="G112">
        <v>0.05</v>
      </c>
      <c r="I112" t="s">
        <v>37</v>
      </c>
      <c r="K112" s="17" t="s">
        <v>177</v>
      </c>
      <c r="O112" s="17" t="s">
        <v>177</v>
      </c>
    </row>
    <row r="113" spans="2:15" x14ac:dyDescent="0.3">
      <c r="B113">
        <v>1</v>
      </c>
      <c r="C113" s="16" t="s">
        <v>60</v>
      </c>
      <c r="D113" s="15">
        <v>85</v>
      </c>
      <c r="E113" s="14" t="s">
        <v>59</v>
      </c>
      <c r="F113" t="s">
        <v>58</v>
      </c>
      <c r="G113">
        <v>2.1250000000000002E-2</v>
      </c>
      <c r="I113" t="s">
        <v>37</v>
      </c>
      <c r="K113" s="17" t="s">
        <v>36</v>
      </c>
      <c r="O113" s="17" t="s">
        <v>60</v>
      </c>
    </row>
    <row r="114" spans="2:15" x14ac:dyDescent="0.3">
      <c r="B114">
        <v>1</v>
      </c>
      <c r="C114" s="16" t="s">
        <v>57</v>
      </c>
      <c r="D114" s="15">
        <v>250</v>
      </c>
      <c r="E114" s="14" t="s">
        <v>56</v>
      </c>
      <c r="F114">
        <v>62.5</v>
      </c>
      <c r="G114">
        <v>6.25E-2</v>
      </c>
      <c r="I114" t="s">
        <v>37</v>
      </c>
      <c r="K114" s="17" t="s">
        <v>41</v>
      </c>
      <c r="O114" s="17" t="s">
        <v>176</v>
      </c>
    </row>
    <row r="115" spans="2:15" x14ac:dyDescent="0.3">
      <c r="B115">
        <v>1</v>
      </c>
      <c r="C115" s="16" t="s">
        <v>55</v>
      </c>
      <c r="D115" s="15">
        <v>100</v>
      </c>
      <c r="E115" s="14" t="s">
        <v>54</v>
      </c>
      <c r="F115">
        <v>25</v>
      </c>
      <c r="G115">
        <v>2.5000000000000001E-2</v>
      </c>
      <c r="I115" t="s">
        <v>37</v>
      </c>
      <c r="K115" s="17" t="s">
        <v>175</v>
      </c>
      <c r="O115" s="17" t="s">
        <v>39</v>
      </c>
    </row>
    <row r="116" spans="2:15" x14ac:dyDescent="0.3">
      <c r="B116">
        <v>1</v>
      </c>
      <c r="C116" s="16" t="s">
        <v>53</v>
      </c>
      <c r="D116" s="15">
        <v>1300</v>
      </c>
      <c r="E116" s="14" t="s">
        <v>52</v>
      </c>
      <c r="F116">
        <v>325</v>
      </c>
      <c r="G116">
        <v>0.32500000000000001</v>
      </c>
      <c r="I116" t="s">
        <v>37</v>
      </c>
      <c r="K116" s="17" t="s">
        <v>64</v>
      </c>
      <c r="O116" s="17" t="s">
        <v>36</v>
      </c>
    </row>
    <row r="117" spans="2:15" x14ac:dyDescent="0.3">
      <c r="B117">
        <v>1</v>
      </c>
      <c r="C117" s="16" t="s">
        <v>51</v>
      </c>
      <c r="D117" s="15">
        <v>800</v>
      </c>
      <c r="E117" s="14" t="s">
        <v>50</v>
      </c>
      <c r="F117">
        <v>160</v>
      </c>
      <c r="G117">
        <v>0.16</v>
      </c>
      <c r="K117" s="17" t="s">
        <v>62</v>
      </c>
      <c r="O117" s="17" t="s">
        <v>41</v>
      </c>
    </row>
    <row r="118" spans="2:15" x14ac:dyDescent="0.3">
      <c r="B118">
        <v>1</v>
      </c>
      <c r="C118" s="16" t="s">
        <v>49</v>
      </c>
      <c r="D118" s="15">
        <v>1500</v>
      </c>
      <c r="E118" s="14" t="s">
        <v>35</v>
      </c>
      <c r="F118">
        <v>375</v>
      </c>
      <c r="G118">
        <v>0.375</v>
      </c>
      <c r="K118" s="17" t="s">
        <v>174</v>
      </c>
      <c r="O118" s="17" t="s">
        <v>175</v>
      </c>
    </row>
    <row r="119" spans="2:15" x14ac:dyDescent="0.3">
      <c r="B119">
        <v>1</v>
      </c>
      <c r="C119" s="16" t="s">
        <v>48</v>
      </c>
      <c r="D119" s="15">
        <v>120</v>
      </c>
      <c r="E119" s="14" t="s">
        <v>47</v>
      </c>
      <c r="F119">
        <v>30</v>
      </c>
      <c r="G119">
        <v>0.03</v>
      </c>
      <c r="K119" s="17" t="s">
        <v>173</v>
      </c>
      <c r="O119" s="17" t="s">
        <v>64</v>
      </c>
    </row>
    <row r="120" spans="2:15" x14ac:dyDescent="0.3">
      <c r="B120">
        <v>1</v>
      </c>
      <c r="C120" s="16" t="s">
        <v>46</v>
      </c>
      <c r="D120" s="15">
        <v>3000</v>
      </c>
      <c r="E120" s="14" t="s">
        <v>45</v>
      </c>
      <c r="F120">
        <v>750</v>
      </c>
      <c r="G120">
        <v>0.75</v>
      </c>
      <c r="K120" s="17" t="s">
        <v>172</v>
      </c>
      <c r="O120" s="17" t="s">
        <v>62</v>
      </c>
    </row>
    <row r="121" spans="2:15" x14ac:dyDescent="0.3">
      <c r="B121">
        <v>1</v>
      </c>
      <c r="C121" s="16" t="s">
        <v>44</v>
      </c>
      <c r="D121" s="15">
        <v>6000</v>
      </c>
      <c r="E121" s="14" t="s">
        <v>43</v>
      </c>
      <c r="F121">
        <v>1500</v>
      </c>
      <c r="G121" t="s">
        <v>42</v>
      </c>
      <c r="H121">
        <v>1.5</v>
      </c>
      <c r="K121" s="17" t="s">
        <v>171</v>
      </c>
      <c r="O121" s="17" t="s">
        <v>174</v>
      </c>
    </row>
    <row r="122" spans="2:15" x14ac:dyDescent="0.3">
      <c r="B122">
        <v>1</v>
      </c>
      <c r="C122" s="16" t="s">
        <v>41</v>
      </c>
      <c r="D122" s="15">
        <v>2200</v>
      </c>
      <c r="E122" s="14" t="s">
        <v>40</v>
      </c>
      <c r="F122">
        <v>550</v>
      </c>
      <c r="H122">
        <v>0.55000000000000004</v>
      </c>
      <c r="I122" t="s">
        <v>37</v>
      </c>
      <c r="O122" s="17" t="s">
        <v>173</v>
      </c>
    </row>
    <row r="123" spans="2:15" x14ac:dyDescent="0.3">
      <c r="B123">
        <v>1</v>
      </c>
      <c r="C123" s="16" t="s">
        <v>39</v>
      </c>
      <c r="D123" s="15">
        <v>2100</v>
      </c>
      <c r="E123" s="14" t="s">
        <v>38</v>
      </c>
      <c r="F123">
        <v>525</v>
      </c>
      <c r="H123">
        <v>0.52500000000000002</v>
      </c>
      <c r="I123" t="s">
        <v>37</v>
      </c>
      <c r="O123" s="17" t="s">
        <v>172</v>
      </c>
    </row>
    <row r="124" spans="2:15" x14ac:dyDescent="0.3">
      <c r="B124">
        <v>1</v>
      </c>
      <c r="C124" s="16" t="s">
        <v>36</v>
      </c>
      <c r="D124" s="15">
        <v>1500</v>
      </c>
      <c r="E124" s="14" t="s">
        <v>35</v>
      </c>
      <c r="F124">
        <v>375</v>
      </c>
      <c r="H124">
        <v>0.375</v>
      </c>
      <c r="O124" s="17" t="s">
        <v>171</v>
      </c>
    </row>
    <row r="125" spans="2:15" x14ac:dyDescent="0.3">
      <c r="B125">
        <v>1</v>
      </c>
      <c r="C125" s="16" t="s">
        <v>34</v>
      </c>
      <c r="D125" s="15">
        <v>30</v>
      </c>
      <c r="E125" s="14" t="s">
        <v>33</v>
      </c>
      <c r="F125">
        <v>7.5</v>
      </c>
      <c r="H125">
        <v>7.4999999999999997E-3</v>
      </c>
    </row>
    <row r="126" spans="2:15" x14ac:dyDescent="0.3">
      <c r="B126">
        <v>1</v>
      </c>
      <c r="C126" s="16" t="s">
        <v>32</v>
      </c>
      <c r="D126" s="15">
        <v>1000</v>
      </c>
      <c r="E126" s="14" t="s">
        <v>31</v>
      </c>
      <c r="F126">
        <v>250</v>
      </c>
      <c r="H126">
        <v>0.25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8863-FD84-45BA-95CB-1A542F7DCF43}">
  <sheetPr>
    <tabColor theme="4" tint="0.59999389629810485"/>
  </sheetPr>
  <dimension ref="A1:P125"/>
  <sheetViews>
    <sheetView zoomScale="70" zoomScaleNormal="70" workbookViewId="0">
      <selection activeCell="J4" sqref="J4"/>
    </sheetView>
  </sheetViews>
  <sheetFormatPr defaultRowHeight="14.4" x14ac:dyDescent="0.3"/>
  <cols>
    <col min="1" max="2" width="16.88671875" customWidth="1"/>
    <col min="3" max="3" width="13.5546875" customWidth="1"/>
    <col min="4" max="4" width="18.88671875" customWidth="1"/>
    <col min="5" max="5" width="12.44140625" customWidth="1"/>
    <col min="6" max="6" width="13.88671875" customWidth="1"/>
    <col min="7" max="7" width="12" customWidth="1"/>
    <col min="8" max="8" width="12.33203125" bestFit="1" customWidth="1"/>
    <col min="9" max="9" width="15.6640625" bestFit="1" customWidth="1"/>
    <col min="10" max="10" width="16.109375" bestFit="1" customWidth="1"/>
    <col min="11" max="11" width="15.44140625" bestFit="1" customWidth="1"/>
    <col min="12" max="12" width="15.88671875" bestFit="1" customWidth="1"/>
    <col min="13" max="13" width="15.6640625" bestFit="1" customWidth="1"/>
    <col min="14" max="14" width="15.88671875" customWidth="1"/>
    <col min="15" max="15" width="17.5546875" customWidth="1"/>
    <col min="16" max="16" width="18.109375" customWidth="1"/>
  </cols>
  <sheetData>
    <row r="1" spans="1:16" x14ac:dyDescent="0.3">
      <c r="A1" s="77" t="s">
        <v>184</v>
      </c>
      <c r="B1" s="75" t="s">
        <v>183</v>
      </c>
      <c r="C1" s="1" t="s">
        <v>0</v>
      </c>
      <c r="D1" s="22" t="s">
        <v>203</v>
      </c>
      <c r="E1" s="52" t="s">
        <v>1</v>
      </c>
      <c r="F1" s="52" t="s">
        <v>2</v>
      </c>
      <c r="G1" s="52" t="s">
        <v>3</v>
      </c>
      <c r="H1" s="52" t="s">
        <v>200</v>
      </c>
      <c r="I1" s="22" t="s">
        <v>6</v>
      </c>
      <c r="J1" s="22" t="s">
        <v>7</v>
      </c>
      <c r="K1" s="52" t="s">
        <v>201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191</v>
      </c>
    </row>
    <row r="2" spans="1:16" x14ac:dyDescent="0.3">
      <c r="A2" s="78"/>
      <c r="B2" s="76"/>
      <c r="C2" s="2" t="s">
        <v>4</v>
      </c>
      <c r="D2" s="2" t="s">
        <v>309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>
        <v>7</v>
      </c>
      <c r="K2" s="53" t="s">
        <v>202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</row>
    <row r="3" spans="1:16" x14ac:dyDescent="0.3">
      <c r="A3" s="47">
        <f>DATE(2026,1,2)</f>
        <v>46024</v>
      </c>
      <c r="B3" s="49">
        <f>TIME(0,0,0)</f>
        <v>0</v>
      </c>
      <c r="C3" s="42">
        <f>'Leden vík data'!V2+P3</f>
        <v>0.54574999999999996</v>
      </c>
      <c r="D3" s="42">
        <f>MIN(C3, E3)</f>
        <v>0</v>
      </c>
      <c r="E3" s="42">
        <f>ROUND(MAX(0, 6.9 * EXP(-((HOUR(B3)+MINUTE(B3)/60 - 12)^2) / 2) * 0.25), 3)</f>
        <v>0</v>
      </c>
      <c r="F3" s="42">
        <f>MAX(0, C3 - D3 - H3 )</f>
        <v>0</v>
      </c>
      <c r="G3" s="42">
        <f>MAX(0, E3 - D3 - M3)</f>
        <v>0</v>
      </c>
      <c r="H3" s="42">
        <f>MAX(0, MIN(C3 - D3, N3 ))</f>
        <v>0.54574999999999996</v>
      </c>
      <c r="I3" s="42">
        <f t="shared" ref="I3:I66" si="0">E3-C3</f>
        <v>-0.54574999999999996</v>
      </c>
      <c r="J3" s="43">
        <f>MIN('Výpočty '!$B$1*0.9, MAX('Výpočty '!$B$1*0.05, J2 + M3 - MIN(O3, MAX(0, J2 - ('Výpočty '!$B$1*0.1))) - P3))</f>
        <v>6.355083333333333</v>
      </c>
      <c r="K3" s="46">
        <f>J3/'Výpočty '!$B$1</f>
        <v>0.31775416666666667</v>
      </c>
      <c r="L3" s="42">
        <f t="shared" ref="L3:L66" si="1">M3 * Účinnost_cyklu</f>
        <v>0</v>
      </c>
      <c r="M3" s="42">
        <f t="shared" ref="M3:M66" si="2">MIN(MAX(0, I3), MAX(0, Kapacita_baterie * Soc_Max - J2) / Účinnost_cyklu, Stridac_limit)</f>
        <v>0</v>
      </c>
      <c r="N3" s="42">
        <f t="shared" ref="N3:N66" si="3">MAX(0, MIN(J2 - (Kapacita_baterie * Soc_Kriticke), C3 - D3 + P3))</f>
        <v>0.56399999999999995</v>
      </c>
      <c r="O3" s="42">
        <f>N3 / Účinnost_cyklu</f>
        <v>0.62666666666666659</v>
      </c>
      <c r="P3" s="42">
        <f t="shared" ref="P3:P66" si="4">Vlastní_Spotřeba_kWh</f>
        <v>1.8249999999999999E-2</v>
      </c>
    </row>
    <row r="4" spans="1:16" x14ac:dyDescent="0.3">
      <c r="A4" s="47">
        <f>DATE(2026,1,2)</f>
        <v>46024</v>
      </c>
      <c r="B4" s="49">
        <f>B3+TIME(0,15,0)</f>
        <v>1.0416666666666666E-2</v>
      </c>
      <c r="C4" s="42">
        <f>'Leden vík data'!V3+P4</f>
        <v>0.54574999999999996</v>
      </c>
      <c r="D4" s="42">
        <f t="shared" ref="D4:D67" si="5">MIN(C4, E4)</f>
        <v>0</v>
      </c>
      <c r="E4" s="42">
        <f t="shared" ref="E4:E67" si="6">ROUND(MAX(0, 6.9 * EXP(-((HOUR(B4)+MINUTE(B4)/60 - 12)^2) / 2) * 0.25), 3)</f>
        <v>0</v>
      </c>
      <c r="F4" s="42">
        <f t="shared" ref="F4:F67" si="7">MAX(0, C4 - D4 - H4 )</f>
        <v>0</v>
      </c>
      <c r="G4" s="42">
        <f t="shared" ref="G4:G67" si="8">MAX(0, E4 - D4 - M4)</f>
        <v>0</v>
      </c>
      <c r="H4" s="42">
        <f t="shared" ref="H4:H67" si="9">MAX(0, MIN(C4 - D4, N4 ))</f>
        <v>0.54574999999999996</v>
      </c>
      <c r="I4" s="42">
        <f t="shared" si="0"/>
        <v>-0.54574999999999996</v>
      </c>
      <c r="J4" s="43">
        <f>MIN('Výpočty '!$B$1*0.9, MAX('Výpočty '!$B$1*0.05, J3 + M4 - MIN(O4, MAX(0, J3 - ('Výpočty '!$B$1*0.1))) - P4))</f>
        <v>5.7101666666666659</v>
      </c>
      <c r="K4" s="46">
        <f>J4/'Výpočty '!$B$1</f>
        <v>0.28550833333333331</v>
      </c>
      <c r="L4" s="42">
        <f t="shared" si="1"/>
        <v>0</v>
      </c>
      <c r="M4" s="42">
        <f t="shared" si="2"/>
        <v>0</v>
      </c>
      <c r="N4" s="42">
        <f t="shared" si="3"/>
        <v>0.56399999999999995</v>
      </c>
      <c r="O4" s="42">
        <f t="shared" ref="O4:O67" si="10">N4 / Účinnost_cyklu</f>
        <v>0.62666666666666659</v>
      </c>
      <c r="P4" s="42">
        <f t="shared" si="4"/>
        <v>1.8249999999999999E-2</v>
      </c>
    </row>
    <row r="5" spans="1:16" x14ac:dyDescent="0.3">
      <c r="A5" s="47">
        <f t="shared" ref="A5:A68" si="11">DATE(2026,1,2)</f>
        <v>46024</v>
      </c>
      <c r="B5" s="49">
        <f t="shared" ref="B5:B68" si="12">B4+TIME(0,15,0)</f>
        <v>2.0833333333333332E-2</v>
      </c>
      <c r="C5" s="42">
        <f>'Leden vík data'!V4+P5</f>
        <v>0.54574999999999996</v>
      </c>
      <c r="D5" s="42">
        <f t="shared" si="5"/>
        <v>0</v>
      </c>
      <c r="E5" s="42">
        <f t="shared" si="6"/>
        <v>0</v>
      </c>
      <c r="F5" s="42">
        <f t="shared" si="7"/>
        <v>0</v>
      </c>
      <c r="G5" s="42">
        <f t="shared" si="8"/>
        <v>0</v>
      </c>
      <c r="H5" s="42">
        <f t="shared" si="9"/>
        <v>0.54574999999999996</v>
      </c>
      <c r="I5" s="42">
        <f t="shared" si="0"/>
        <v>-0.54574999999999996</v>
      </c>
      <c r="J5" s="43">
        <f>MIN('Výpočty '!$B$1*0.9, MAX('Výpočty '!$B$1*0.05, J4 + M5 - MIN(O5, MAX(0, J4 - ('Výpočty '!$B$1*0.1))) - P5))</f>
        <v>5.0652499999999989</v>
      </c>
      <c r="K5" s="46">
        <f>J5/'Výpočty '!$B$1</f>
        <v>0.25326249999999995</v>
      </c>
      <c r="L5" s="42">
        <f t="shared" si="1"/>
        <v>0</v>
      </c>
      <c r="M5" s="42">
        <f t="shared" si="2"/>
        <v>0</v>
      </c>
      <c r="N5" s="42">
        <f t="shared" si="3"/>
        <v>0.56399999999999995</v>
      </c>
      <c r="O5" s="42">
        <f t="shared" si="10"/>
        <v>0.62666666666666659</v>
      </c>
      <c r="P5" s="42">
        <f t="shared" si="4"/>
        <v>1.8249999999999999E-2</v>
      </c>
    </row>
    <row r="6" spans="1:16" x14ac:dyDescent="0.3">
      <c r="A6" s="47">
        <f t="shared" si="11"/>
        <v>46024</v>
      </c>
      <c r="B6" s="49">
        <f t="shared" si="12"/>
        <v>3.125E-2</v>
      </c>
      <c r="C6" s="42">
        <f>'Leden vík data'!V5+P6</f>
        <v>0.54574999999999996</v>
      </c>
      <c r="D6" s="42">
        <f t="shared" si="5"/>
        <v>0</v>
      </c>
      <c r="E6" s="42">
        <f t="shared" si="6"/>
        <v>0</v>
      </c>
      <c r="F6" s="42">
        <f t="shared" si="7"/>
        <v>0</v>
      </c>
      <c r="G6" s="42">
        <f t="shared" si="8"/>
        <v>0</v>
      </c>
      <c r="H6" s="42">
        <f t="shared" si="9"/>
        <v>0.54574999999999996</v>
      </c>
      <c r="I6" s="42">
        <f t="shared" si="0"/>
        <v>-0.54574999999999996</v>
      </c>
      <c r="J6" s="43">
        <f>MIN('Výpočty '!$B$1*0.9, MAX('Výpočty '!$B$1*0.05, J5 + M6 - MIN(O6, MAX(0, J5 - ('Výpočty '!$B$1*0.1))) - P6))</f>
        <v>4.4203333333333319</v>
      </c>
      <c r="K6" s="46">
        <f>J6/'Výpočty '!$B$1</f>
        <v>0.22101666666666658</v>
      </c>
      <c r="L6" s="42">
        <f t="shared" si="1"/>
        <v>0</v>
      </c>
      <c r="M6" s="42">
        <f t="shared" si="2"/>
        <v>0</v>
      </c>
      <c r="N6" s="42">
        <f t="shared" si="3"/>
        <v>0.56399999999999995</v>
      </c>
      <c r="O6" s="42">
        <f t="shared" si="10"/>
        <v>0.62666666666666659</v>
      </c>
      <c r="P6" s="42">
        <f t="shared" si="4"/>
        <v>1.8249999999999999E-2</v>
      </c>
    </row>
    <row r="7" spans="1:16" x14ac:dyDescent="0.3">
      <c r="A7" s="47">
        <f t="shared" si="11"/>
        <v>46024</v>
      </c>
      <c r="B7" s="49">
        <f t="shared" si="12"/>
        <v>4.1666666666666664E-2</v>
      </c>
      <c r="C7" s="42">
        <f>'Leden vík data'!V6+P7</f>
        <v>0.54574999999999996</v>
      </c>
      <c r="D7" s="42">
        <f t="shared" si="5"/>
        <v>0</v>
      </c>
      <c r="E7" s="42">
        <f t="shared" si="6"/>
        <v>0</v>
      </c>
      <c r="F7" s="42">
        <f t="shared" si="7"/>
        <v>0</v>
      </c>
      <c r="G7" s="42">
        <f t="shared" si="8"/>
        <v>0</v>
      </c>
      <c r="H7" s="42">
        <f t="shared" si="9"/>
        <v>0.54574999999999996</v>
      </c>
      <c r="I7" s="42">
        <f t="shared" si="0"/>
        <v>-0.54574999999999996</v>
      </c>
      <c r="J7" s="43">
        <f>MIN('Výpočty '!$B$1*0.9, MAX('Výpočty '!$B$1*0.05, J6 + M7 - MIN(O7, MAX(0, J6 - ('Výpočty '!$B$1*0.1))) - P7))</f>
        <v>3.7754166666666653</v>
      </c>
      <c r="K7" s="46">
        <f>J7/'Výpočty '!$B$1</f>
        <v>0.18877083333333328</v>
      </c>
      <c r="L7" s="42">
        <f t="shared" si="1"/>
        <v>0</v>
      </c>
      <c r="M7" s="42">
        <f t="shared" si="2"/>
        <v>0</v>
      </c>
      <c r="N7" s="42">
        <f t="shared" si="3"/>
        <v>0.56399999999999995</v>
      </c>
      <c r="O7" s="42">
        <f t="shared" si="10"/>
        <v>0.62666666666666659</v>
      </c>
      <c r="P7" s="42">
        <f t="shared" si="4"/>
        <v>1.8249999999999999E-2</v>
      </c>
    </row>
    <row r="8" spans="1:16" x14ac:dyDescent="0.3">
      <c r="A8" s="47">
        <f t="shared" si="11"/>
        <v>46024</v>
      </c>
      <c r="B8" s="49">
        <f t="shared" si="12"/>
        <v>5.2083333333333329E-2</v>
      </c>
      <c r="C8" s="42">
        <f>'Leden vík data'!V7+P8</f>
        <v>0.54574999999999996</v>
      </c>
      <c r="D8" s="42">
        <f t="shared" si="5"/>
        <v>0</v>
      </c>
      <c r="E8" s="42">
        <f t="shared" si="6"/>
        <v>0</v>
      </c>
      <c r="F8" s="42">
        <f t="shared" si="7"/>
        <v>0</v>
      </c>
      <c r="G8" s="42">
        <f t="shared" si="8"/>
        <v>0</v>
      </c>
      <c r="H8" s="42">
        <f t="shared" si="9"/>
        <v>0.54574999999999996</v>
      </c>
      <c r="I8" s="42">
        <f t="shared" si="0"/>
        <v>-0.54574999999999996</v>
      </c>
      <c r="J8" s="43">
        <f>MIN('Výpočty '!$B$1*0.9, MAX('Výpočty '!$B$1*0.05, J7 + M8 - MIN(O8, MAX(0, J7 - ('Výpočty '!$B$1*0.1))) - P8))</f>
        <v>3.1304999999999987</v>
      </c>
      <c r="K8" s="46">
        <f>J8/'Výpočty '!$B$1</f>
        <v>0.15652499999999994</v>
      </c>
      <c r="L8" s="42">
        <f t="shared" si="1"/>
        <v>0</v>
      </c>
      <c r="M8" s="42">
        <f t="shared" si="2"/>
        <v>0</v>
      </c>
      <c r="N8" s="42">
        <f t="shared" si="3"/>
        <v>0.56399999999999995</v>
      </c>
      <c r="O8" s="42">
        <f t="shared" si="10"/>
        <v>0.62666666666666659</v>
      </c>
      <c r="P8" s="42">
        <f t="shared" si="4"/>
        <v>1.8249999999999999E-2</v>
      </c>
    </row>
    <row r="9" spans="1:16" x14ac:dyDescent="0.3">
      <c r="A9" s="47">
        <f t="shared" si="11"/>
        <v>46024</v>
      </c>
      <c r="B9" s="49">
        <f t="shared" si="12"/>
        <v>6.2499999999999993E-2</v>
      </c>
      <c r="C9" s="42">
        <f>'Leden vík data'!V8+P9</f>
        <v>0.54574999999999996</v>
      </c>
      <c r="D9" s="42">
        <f t="shared" si="5"/>
        <v>0</v>
      </c>
      <c r="E9" s="42">
        <f t="shared" si="6"/>
        <v>0</v>
      </c>
      <c r="F9" s="42">
        <f t="shared" si="7"/>
        <v>0</v>
      </c>
      <c r="G9" s="42">
        <f t="shared" si="8"/>
        <v>0</v>
      </c>
      <c r="H9" s="42">
        <f t="shared" si="9"/>
        <v>0.54574999999999996</v>
      </c>
      <c r="I9" s="42">
        <f t="shared" si="0"/>
        <v>-0.54574999999999996</v>
      </c>
      <c r="J9" s="43">
        <f>MIN('Výpočty '!$B$1*0.9, MAX('Výpočty '!$B$1*0.05, J8 + M9 - MIN(O9, MAX(0, J8 - ('Výpočty '!$B$1*0.1))) - P9))</f>
        <v>2.4855833333333321</v>
      </c>
      <c r="K9" s="46">
        <f>J9/'Výpočty '!$B$1</f>
        <v>0.12427916666666661</v>
      </c>
      <c r="L9" s="42">
        <f t="shared" si="1"/>
        <v>0</v>
      </c>
      <c r="M9" s="42">
        <f t="shared" si="2"/>
        <v>0</v>
      </c>
      <c r="N9" s="42">
        <f t="shared" si="3"/>
        <v>0.56399999999999995</v>
      </c>
      <c r="O9" s="42">
        <f t="shared" si="10"/>
        <v>0.62666666666666659</v>
      </c>
      <c r="P9" s="42">
        <f t="shared" si="4"/>
        <v>1.8249999999999999E-2</v>
      </c>
    </row>
    <row r="10" spans="1:16" x14ac:dyDescent="0.3">
      <c r="A10" s="47">
        <f t="shared" si="11"/>
        <v>46024</v>
      </c>
      <c r="B10" s="49">
        <f t="shared" si="12"/>
        <v>7.2916666666666657E-2</v>
      </c>
      <c r="C10" s="42">
        <f>'Leden vík data'!V9+P10</f>
        <v>0.54074999999999995</v>
      </c>
      <c r="D10" s="42">
        <f t="shared" si="5"/>
        <v>0</v>
      </c>
      <c r="E10" s="42">
        <f t="shared" si="6"/>
        <v>0</v>
      </c>
      <c r="F10" s="42">
        <f t="shared" si="7"/>
        <v>0</v>
      </c>
      <c r="G10" s="42">
        <f t="shared" si="8"/>
        <v>0</v>
      </c>
      <c r="H10" s="42">
        <f t="shared" si="9"/>
        <v>0.54074999999999995</v>
      </c>
      <c r="I10" s="42">
        <f t="shared" si="0"/>
        <v>-0.54074999999999995</v>
      </c>
      <c r="J10" s="43">
        <f>MIN('Výpočty '!$B$1*0.9, MAX('Výpočty '!$B$1*0.05, J9 + M10 - MIN(O10, MAX(0, J9 - ('Výpočty '!$B$1*0.1))) - P10))</f>
        <v>1.9817499999999999</v>
      </c>
      <c r="K10" s="46">
        <f>J10/'Výpočty '!$B$1</f>
        <v>9.9087499999999995E-2</v>
      </c>
      <c r="L10" s="42">
        <f t="shared" si="1"/>
        <v>0</v>
      </c>
      <c r="M10" s="42">
        <f t="shared" si="2"/>
        <v>0</v>
      </c>
      <c r="N10" s="42">
        <f t="shared" si="3"/>
        <v>0.55899999999999994</v>
      </c>
      <c r="O10" s="42">
        <f t="shared" si="10"/>
        <v>0.62111111111111106</v>
      </c>
      <c r="P10" s="42">
        <f t="shared" si="4"/>
        <v>1.8249999999999999E-2</v>
      </c>
    </row>
    <row r="11" spans="1:16" x14ac:dyDescent="0.3">
      <c r="A11" s="47">
        <f t="shared" si="11"/>
        <v>46024</v>
      </c>
      <c r="B11" s="49">
        <f t="shared" si="12"/>
        <v>8.3333333333333329E-2</v>
      </c>
      <c r="C11" s="42">
        <f>'Leden vík data'!V10+P11</f>
        <v>0.54074999999999995</v>
      </c>
      <c r="D11" s="42">
        <f t="shared" si="5"/>
        <v>0</v>
      </c>
      <c r="E11" s="42">
        <f t="shared" si="6"/>
        <v>0</v>
      </c>
      <c r="F11" s="42">
        <f t="shared" si="7"/>
        <v>0</v>
      </c>
      <c r="G11" s="42">
        <f t="shared" si="8"/>
        <v>0</v>
      </c>
      <c r="H11" s="42">
        <f t="shared" si="9"/>
        <v>0.54074999999999995</v>
      </c>
      <c r="I11" s="42">
        <f t="shared" si="0"/>
        <v>-0.54074999999999995</v>
      </c>
      <c r="J11" s="43">
        <f>MIN('Výpočty '!$B$1*0.9, MAX('Výpočty '!$B$1*0.05, J10 + M11 - MIN(O11, MAX(0, J10 - ('Výpočty '!$B$1*0.1))) - P11))</f>
        <v>1.9634999999999998</v>
      </c>
      <c r="K11" s="46">
        <f>J11/'Výpočty '!$B$1</f>
        <v>9.8174999999999985E-2</v>
      </c>
      <c r="L11" s="42">
        <f t="shared" si="1"/>
        <v>0</v>
      </c>
      <c r="M11" s="42">
        <f t="shared" si="2"/>
        <v>0</v>
      </c>
      <c r="N11" s="42">
        <f t="shared" si="3"/>
        <v>0.55899999999999994</v>
      </c>
      <c r="O11" s="42">
        <f t="shared" si="10"/>
        <v>0.62111111111111106</v>
      </c>
      <c r="P11" s="42">
        <f t="shared" si="4"/>
        <v>1.8249999999999999E-2</v>
      </c>
    </row>
    <row r="12" spans="1:16" x14ac:dyDescent="0.3">
      <c r="A12" s="47">
        <f t="shared" si="11"/>
        <v>46024</v>
      </c>
      <c r="B12" s="49">
        <f t="shared" si="12"/>
        <v>9.375E-2</v>
      </c>
      <c r="C12" s="42">
        <f>'Leden vík data'!V11+P12</f>
        <v>0.52574999999999994</v>
      </c>
      <c r="D12" s="42">
        <f t="shared" si="5"/>
        <v>0</v>
      </c>
      <c r="E12" s="42">
        <f t="shared" si="6"/>
        <v>0</v>
      </c>
      <c r="F12" s="42">
        <f t="shared" si="7"/>
        <v>0</v>
      </c>
      <c r="G12" s="42">
        <f t="shared" si="8"/>
        <v>0</v>
      </c>
      <c r="H12" s="42">
        <f t="shared" si="9"/>
        <v>0.52574999999999994</v>
      </c>
      <c r="I12" s="42">
        <f t="shared" si="0"/>
        <v>-0.52574999999999994</v>
      </c>
      <c r="J12" s="43">
        <f>MIN('Výpočty '!$B$1*0.9, MAX('Výpočty '!$B$1*0.05, J11 + M12 - MIN(O12, MAX(0, J11 - ('Výpočty '!$B$1*0.1))) - P12))</f>
        <v>1.9452499999999997</v>
      </c>
      <c r="K12" s="46">
        <f>J12/'Výpočty '!$B$1</f>
        <v>9.7262499999999988E-2</v>
      </c>
      <c r="L12" s="42">
        <f t="shared" si="1"/>
        <v>0</v>
      </c>
      <c r="M12" s="42">
        <f t="shared" si="2"/>
        <v>0</v>
      </c>
      <c r="N12" s="42">
        <f t="shared" si="3"/>
        <v>0.54399999999999993</v>
      </c>
      <c r="O12" s="42">
        <f t="shared" si="10"/>
        <v>0.60444444444444434</v>
      </c>
      <c r="P12" s="42">
        <f t="shared" si="4"/>
        <v>1.8249999999999999E-2</v>
      </c>
    </row>
    <row r="13" spans="1:16" x14ac:dyDescent="0.3">
      <c r="A13" s="47">
        <f t="shared" si="11"/>
        <v>46024</v>
      </c>
      <c r="B13" s="49">
        <f t="shared" si="12"/>
        <v>0.10416666666666667</v>
      </c>
      <c r="C13" s="42">
        <f>'Leden vík data'!V12+P13</f>
        <v>0.52574999999999994</v>
      </c>
      <c r="D13" s="42">
        <f t="shared" si="5"/>
        <v>0</v>
      </c>
      <c r="E13" s="42">
        <f t="shared" si="6"/>
        <v>0</v>
      </c>
      <c r="F13" s="42">
        <f t="shared" si="7"/>
        <v>0</v>
      </c>
      <c r="G13" s="42">
        <f t="shared" si="8"/>
        <v>0</v>
      </c>
      <c r="H13" s="42">
        <f t="shared" si="9"/>
        <v>0.52574999999999994</v>
      </c>
      <c r="I13" s="42">
        <f t="shared" si="0"/>
        <v>-0.52574999999999994</v>
      </c>
      <c r="J13" s="43">
        <f>MIN('Výpočty '!$B$1*0.9, MAX('Výpočty '!$B$1*0.05, J12 + M13 - MIN(O13, MAX(0, J12 - ('Výpočty '!$B$1*0.1))) - P13))</f>
        <v>1.9269999999999996</v>
      </c>
      <c r="K13" s="46">
        <f>J13/'Výpočty '!$B$1</f>
        <v>9.6349999999999977E-2</v>
      </c>
      <c r="L13" s="42">
        <f t="shared" si="1"/>
        <v>0</v>
      </c>
      <c r="M13" s="42">
        <f t="shared" si="2"/>
        <v>0</v>
      </c>
      <c r="N13" s="42">
        <f t="shared" si="3"/>
        <v>0.54399999999999993</v>
      </c>
      <c r="O13" s="42">
        <f t="shared" si="10"/>
        <v>0.60444444444444434</v>
      </c>
      <c r="P13" s="42">
        <f t="shared" si="4"/>
        <v>1.8249999999999999E-2</v>
      </c>
    </row>
    <row r="14" spans="1:16" x14ac:dyDescent="0.3">
      <c r="A14" s="47">
        <f t="shared" si="11"/>
        <v>46024</v>
      </c>
      <c r="B14" s="49">
        <f t="shared" si="12"/>
        <v>0.11458333333333334</v>
      </c>
      <c r="C14" s="42">
        <f>'Leden vík data'!V13+P14</f>
        <v>0.52574999999999994</v>
      </c>
      <c r="D14" s="42">
        <f t="shared" si="5"/>
        <v>0</v>
      </c>
      <c r="E14" s="42">
        <f t="shared" si="6"/>
        <v>0</v>
      </c>
      <c r="F14" s="42">
        <f t="shared" si="7"/>
        <v>0</v>
      </c>
      <c r="G14" s="42">
        <f t="shared" si="8"/>
        <v>0</v>
      </c>
      <c r="H14" s="42">
        <f t="shared" si="9"/>
        <v>0.52574999999999994</v>
      </c>
      <c r="I14" s="42">
        <f t="shared" si="0"/>
        <v>-0.52574999999999994</v>
      </c>
      <c r="J14" s="43">
        <f>MIN('Výpočty '!$B$1*0.9, MAX('Výpočty '!$B$1*0.05, J13 + M14 - MIN(O14, MAX(0, J13 - ('Výpočty '!$B$1*0.1))) - P14))</f>
        <v>1.9087499999999995</v>
      </c>
      <c r="K14" s="46">
        <f>J14/'Výpočty '!$B$1</f>
        <v>9.5437499999999981E-2</v>
      </c>
      <c r="L14" s="42">
        <f t="shared" si="1"/>
        <v>0</v>
      </c>
      <c r="M14" s="42">
        <f t="shared" si="2"/>
        <v>0</v>
      </c>
      <c r="N14" s="42">
        <f t="shared" si="3"/>
        <v>0.54399999999999993</v>
      </c>
      <c r="O14" s="42">
        <f t="shared" si="10"/>
        <v>0.60444444444444434</v>
      </c>
      <c r="P14" s="42">
        <f t="shared" si="4"/>
        <v>1.8249999999999999E-2</v>
      </c>
    </row>
    <row r="15" spans="1:16" x14ac:dyDescent="0.3">
      <c r="A15" s="47">
        <f t="shared" si="11"/>
        <v>46024</v>
      </c>
      <c r="B15" s="49">
        <f t="shared" si="12"/>
        <v>0.125</v>
      </c>
      <c r="C15" s="42">
        <f>'Leden vík data'!V14+P15</f>
        <v>0.52574999999999994</v>
      </c>
      <c r="D15" s="42">
        <f t="shared" si="5"/>
        <v>0</v>
      </c>
      <c r="E15" s="42">
        <f t="shared" si="6"/>
        <v>0</v>
      </c>
      <c r="F15" s="42">
        <f t="shared" si="7"/>
        <v>0</v>
      </c>
      <c r="G15" s="42">
        <f t="shared" si="8"/>
        <v>0</v>
      </c>
      <c r="H15" s="42">
        <f t="shared" si="9"/>
        <v>0.52574999999999994</v>
      </c>
      <c r="I15" s="42">
        <f t="shared" si="0"/>
        <v>-0.52574999999999994</v>
      </c>
      <c r="J15" s="43">
        <f>MIN('Výpočty '!$B$1*0.9, MAX('Výpočty '!$B$1*0.05, J14 + M15 - MIN(O15, MAX(0, J14 - ('Výpočty '!$B$1*0.1))) - P15))</f>
        <v>1.8904999999999994</v>
      </c>
      <c r="K15" s="46">
        <f>J15/'Výpočty '!$B$1</f>
        <v>9.452499999999997E-2</v>
      </c>
      <c r="L15" s="42">
        <f t="shared" si="1"/>
        <v>0</v>
      </c>
      <c r="M15" s="42">
        <f t="shared" si="2"/>
        <v>0</v>
      </c>
      <c r="N15" s="42">
        <f t="shared" si="3"/>
        <v>0.54399999999999993</v>
      </c>
      <c r="O15" s="42">
        <f t="shared" si="10"/>
        <v>0.60444444444444434</v>
      </c>
      <c r="P15" s="42">
        <f t="shared" si="4"/>
        <v>1.8249999999999999E-2</v>
      </c>
    </row>
    <row r="16" spans="1:16" x14ac:dyDescent="0.3">
      <c r="A16" s="47">
        <f t="shared" si="11"/>
        <v>46024</v>
      </c>
      <c r="B16" s="49">
        <f t="shared" si="12"/>
        <v>0.13541666666666666</v>
      </c>
      <c r="C16" s="42">
        <f>'Leden vík data'!V15+P16</f>
        <v>0.52574999999999994</v>
      </c>
      <c r="D16" s="42">
        <f t="shared" si="5"/>
        <v>0</v>
      </c>
      <c r="E16" s="42">
        <f t="shared" si="6"/>
        <v>0</v>
      </c>
      <c r="F16" s="42">
        <f t="shared" si="7"/>
        <v>0</v>
      </c>
      <c r="G16" s="42">
        <f t="shared" si="8"/>
        <v>0</v>
      </c>
      <c r="H16" s="42">
        <f t="shared" si="9"/>
        <v>0.52574999999999994</v>
      </c>
      <c r="I16" s="42">
        <f t="shared" si="0"/>
        <v>-0.52574999999999994</v>
      </c>
      <c r="J16" s="43">
        <f>MIN('Výpočty '!$B$1*0.9, MAX('Výpočty '!$B$1*0.05, J15 + M16 - MIN(O16, MAX(0, J15 - ('Výpočty '!$B$1*0.1))) - P16))</f>
        <v>1.8722499999999993</v>
      </c>
      <c r="K16" s="46">
        <f>J16/'Výpočty '!$B$1</f>
        <v>9.361249999999996E-2</v>
      </c>
      <c r="L16" s="42">
        <f t="shared" si="1"/>
        <v>0</v>
      </c>
      <c r="M16" s="42">
        <f t="shared" si="2"/>
        <v>0</v>
      </c>
      <c r="N16" s="42">
        <f t="shared" si="3"/>
        <v>0.54399999999999993</v>
      </c>
      <c r="O16" s="42">
        <f t="shared" si="10"/>
        <v>0.60444444444444434</v>
      </c>
      <c r="P16" s="42">
        <f t="shared" si="4"/>
        <v>1.8249999999999999E-2</v>
      </c>
    </row>
    <row r="17" spans="1:16" x14ac:dyDescent="0.3">
      <c r="A17" s="47">
        <f t="shared" si="11"/>
        <v>46024</v>
      </c>
      <c r="B17" s="49">
        <f t="shared" si="12"/>
        <v>0.14583333333333331</v>
      </c>
      <c r="C17" s="42">
        <f>'Leden vík data'!V16+P17</f>
        <v>0.52574999999999994</v>
      </c>
      <c r="D17" s="42">
        <f t="shared" si="5"/>
        <v>0</v>
      </c>
      <c r="E17" s="42">
        <f t="shared" si="6"/>
        <v>0</v>
      </c>
      <c r="F17" s="42">
        <f t="shared" si="7"/>
        <v>0</v>
      </c>
      <c r="G17" s="42">
        <f t="shared" si="8"/>
        <v>0</v>
      </c>
      <c r="H17" s="42">
        <f t="shared" si="9"/>
        <v>0.52574999999999994</v>
      </c>
      <c r="I17" s="42">
        <f t="shared" si="0"/>
        <v>-0.52574999999999994</v>
      </c>
      <c r="J17" s="43">
        <f>MIN('Výpočty '!$B$1*0.9, MAX('Výpočty '!$B$1*0.05, J16 + M17 - MIN(O17, MAX(0, J16 - ('Výpočty '!$B$1*0.1))) - P17))</f>
        <v>1.8539999999999992</v>
      </c>
      <c r="K17" s="46">
        <f>J17/'Výpočty '!$B$1</f>
        <v>9.2699999999999963E-2</v>
      </c>
      <c r="L17" s="42">
        <f t="shared" si="1"/>
        <v>0</v>
      </c>
      <c r="M17" s="42">
        <f t="shared" si="2"/>
        <v>0</v>
      </c>
      <c r="N17" s="42">
        <f t="shared" si="3"/>
        <v>0.54399999999999993</v>
      </c>
      <c r="O17" s="42">
        <f t="shared" si="10"/>
        <v>0.60444444444444434</v>
      </c>
      <c r="P17" s="42">
        <f t="shared" si="4"/>
        <v>1.8249999999999999E-2</v>
      </c>
    </row>
    <row r="18" spans="1:16" x14ac:dyDescent="0.3">
      <c r="A18" s="47">
        <f t="shared" si="11"/>
        <v>46024</v>
      </c>
      <c r="B18" s="49">
        <f t="shared" si="12"/>
        <v>0.15624999999999997</v>
      </c>
      <c r="C18" s="42">
        <f>'Leden vík data'!V17+P18</f>
        <v>0.52574999999999994</v>
      </c>
      <c r="D18" s="42">
        <f t="shared" si="5"/>
        <v>0</v>
      </c>
      <c r="E18" s="42">
        <f t="shared" si="6"/>
        <v>0</v>
      </c>
      <c r="F18" s="42">
        <f t="shared" si="7"/>
        <v>0</v>
      </c>
      <c r="G18" s="42">
        <f t="shared" si="8"/>
        <v>0</v>
      </c>
      <c r="H18" s="42">
        <f t="shared" si="9"/>
        <v>0.52574999999999994</v>
      </c>
      <c r="I18" s="42">
        <f t="shared" si="0"/>
        <v>-0.52574999999999994</v>
      </c>
      <c r="J18" s="43">
        <f>MIN('Výpočty '!$B$1*0.9, MAX('Výpočty '!$B$1*0.05, J17 + M18 - MIN(O18, MAX(0, J17 - ('Výpočty '!$B$1*0.1))) - P18))</f>
        <v>1.8357499999999991</v>
      </c>
      <c r="K18" s="46">
        <f>J18/'Výpočty '!$B$1</f>
        <v>9.1787499999999952E-2</v>
      </c>
      <c r="L18" s="42">
        <f t="shared" si="1"/>
        <v>0</v>
      </c>
      <c r="M18" s="42">
        <f t="shared" si="2"/>
        <v>0</v>
      </c>
      <c r="N18" s="42">
        <f t="shared" si="3"/>
        <v>0.54399999999999993</v>
      </c>
      <c r="O18" s="42">
        <f t="shared" si="10"/>
        <v>0.60444444444444434</v>
      </c>
      <c r="P18" s="42">
        <f t="shared" si="4"/>
        <v>1.8249999999999999E-2</v>
      </c>
    </row>
    <row r="19" spans="1:16" x14ac:dyDescent="0.3">
      <c r="A19" s="47">
        <f t="shared" si="11"/>
        <v>46024</v>
      </c>
      <c r="B19" s="49">
        <f t="shared" si="12"/>
        <v>0.16666666666666663</v>
      </c>
      <c r="C19" s="42">
        <f>'Leden vík data'!V18+P19</f>
        <v>0.52574999999999994</v>
      </c>
      <c r="D19" s="42">
        <f t="shared" si="5"/>
        <v>0</v>
      </c>
      <c r="E19" s="42">
        <f t="shared" si="6"/>
        <v>0</v>
      </c>
      <c r="F19" s="42">
        <f t="shared" si="7"/>
        <v>0</v>
      </c>
      <c r="G19" s="42">
        <f t="shared" si="8"/>
        <v>0</v>
      </c>
      <c r="H19" s="42">
        <f t="shared" si="9"/>
        <v>0.52574999999999994</v>
      </c>
      <c r="I19" s="42">
        <f t="shared" si="0"/>
        <v>-0.52574999999999994</v>
      </c>
      <c r="J19" s="43">
        <f>MIN('Výpočty '!$B$1*0.9, MAX('Výpočty '!$B$1*0.05, J18 + M19 - MIN(O19, MAX(0, J18 - ('Výpočty '!$B$1*0.1))) - P19))</f>
        <v>1.817499999999999</v>
      </c>
      <c r="K19" s="46">
        <f>J19/'Výpočty '!$B$1</f>
        <v>9.0874999999999956E-2</v>
      </c>
      <c r="L19" s="42">
        <f t="shared" si="1"/>
        <v>0</v>
      </c>
      <c r="M19" s="42">
        <f t="shared" si="2"/>
        <v>0</v>
      </c>
      <c r="N19" s="42">
        <f t="shared" si="3"/>
        <v>0.54399999999999993</v>
      </c>
      <c r="O19" s="42">
        <f t="shared" si="10"/>
        <v>0.60444444444444434</v>
      </c>
      <c r="P19" s="42">
        <f t="shared" si="4"/>
        <v>1.8249999999999999E-2</v>
      </c>
    </row>
    <row r="20" spans="1:16" x14ac:dyDescent="0.3">
      <c r="A20" s="47">
        <f t="shared" si="11"/>
        <v>46024</v>
      </c>
      <c r="B20" s="49">
        <f t="shared" si="12"/>
        <v>0.17708333333333329</v>
      </c>
      <c r="C20" s="42">
        <f>'Leden vík data'!V19+P20</f>
        <v>0.52574999999999994</v>
      </c>
      <c r="D20" s="42">
        <f t="shared" si="5"/>
        <v>0</v>
      </c>
      <c r="E20" s="42">
        <f t="shared" si="6"/>
        <v>0</v>
      </c>
      <c r="F20" s="42">
        <f t="shared" si="7"/>
        <v>0</v>
      </c>
      <c r="G20" s="42">
        <f t="shared" si="8"/>
        <v>0</v>
      </c>
      <c r="H20" s="42">
        <f t="shared" si="9"/>
        <v>0.52574999999999994</v>
      </c>
      <c r="I20" s="42">
        <f t="shared" si="0"/>
        <v>-0.52574999999999994</v>
      </c>
      <c r="J20" s="43">
        <f>MIN('Výpočty '!$B$1*0.9, MAX('Výpočty '!$B$1*0.05, J19 + M20 - MIN(O20, MAX(0, J19 - ('Výpočty '!$B$1*0.1))) - P20))</f>
        <v>1.7992499999999989</v>
      </c>
      <c r="K20" s="46">
        <f>J20/'Výpočty '!$B$1</f>
        <v>8.9962499999999945E-2</v>
      </c>
      <c r="L20" s="42">
        <f t="shared" si="1"/>
        <v>0</v>
      </c>
      <c r="M20" s="42">
        <f t="shared" si="2"/>
        <v>0</v>
      </c>
      <c r="N20" s="42">
        <f t="shared" si="3"/>
        <v>0.54399999999999993</v>
      </c>
      <c r="O20" s="42">
        <f t="shared" si="10"/>
        <v>0.60444444444444434</v>
      </c>
      <c r="P20" s="42">
        <f t="shared" si="4"/>
        <v>1.8249999999999999E-2</v>
      </c>
    </row>
    <row r="21" spans="1:16" x14ac:dyDescent="0.3">
      <c r="A21" s="47">
        <f t="shared" si="11"/>
        <v>46024</v>
      </c>
      <c r="B21" s="49">
        <f t="shared" si="12"/>
        <v>0.18749999999999994</v>
      </c>
      <c r="C21" s="42">
        <f>'Leden vík data'!V20+P21</f>
        <v>0.57574999999999998</v>
      </c>
      <c r="D21" s="42">
        <f t="shared" si="5"/>
        <v>0</v>
      </c>
      <c r="E21" s="42">
        <f t="shared" si="6"/>
        <v>0</v>
      </c>
      <c r="F21" s="42">
        <f t="shared" si="7"/>
        <v>0</v>
      </c>
      <c r="G21" s="42">
        <f t="shared" si="8"/>
        <v>0</v>
      </c>
      <c r="H21" s="42">
        <f t="shared" si="9"/>
        <v>0.57574999999999998</v>
      </c>
      <c r="I21" s="42">
        <f t="shared" si="0"/>
        <v>-0.57574999999999998</v>
      </c>
      <c r="J21" s="43">
        <f>MIN('Výpočty '!$B$1*0.9, MAX('Výpočty '!$B$1*0.05, J20 + M21 - MIN(O21, MAX(0, J20 - ('Výpočty '!$B$1*0.1))) - P21))</f>
        <v>1.7809999999999988</v>
      </c>
      <c r="K21" s="46">
        <f>J21/'Výpočty '!$B$1</f>
        <v>8.9049999999999935E-2</v>
      </c>
      <c r="L21" s="42">
        <f t="shared" si="1"/>
        <v>0</v>
      </c>
      <c r="M21" s="42">
        <f t="shared" si="2"/>
        <v>0</v>
      </c>
      <c r="N21" s="42">
        <f t="shared" si="3"/>
        <v>0.59399999999999997</v>
      </c>
      <c r="O21" s="42">
        <f t="shared" si="10"/>
        <v>0.65999999999999992</v>
      </c>
      <c r="P21" s="42">
        <f t="shared" si="4"/>
        <v>1.8249999999999999E-2</v>
      </c>
    </row>
    <row r="22" spans="1:16" x14ac:dyDescent="0.3">
      <c r="A22" s="47">
        <f t="shared" si="11"/>
        <v>46024</v>
      </c>
      <c r="B22" s="49">
        <f t="shared" si="12"/>
        <v>0.1979166666666666</v>
      </c>
      <c r="C22" s="42">
        <f>'Leden vík data'!V21+P22</f>
        <v>0.52574999999999994</v>
      </c>
      <c r="D22" s="42">
        <f t="shared" si="5"/>
        <v>0</v>
      </c>
      <c r="E22" s="42">
        <f t="shared" si="6"/>
        <v>0</v>
      </c>
      <c r="F22" s="42">
        <f t="shared" si="7"/>
        <v>0</v>
      </c>
      <c r="G22" s="42">
        <f t="shared" si="8"/>
        <v>0</v>
      </c>
      <c r="H22" s="42">
        <f t="shared" si="9"/>
        <v>0.52574999999999994</v>
      </c>
      <c r="I22" s="42">
        <f t="shared" si="0"/>
        <v>-0.52574999999999994</v>
      </c>
      <c r="J22" s="43">
        <f>MIN('Výpočty '!$B$1*0.9, MAX('Výpočty '!$B$1*0.05, J21 + M22 - MIN(O22, MAX(0, J21 - ('Výpočty '!$B$1*0.1))) - P22))</f>
        <v>1.7627499999999987</v>
      </c>
      <c r="K22" s="46">
        <f>J22/'Výpočty '!$B$1</f>
        <v>8.8137499999999938E-2</v>
      </c>
      <c r="L22" s="42">
        <f t="shared" si="1"/>
        <v>0</v>
      </c>
      <c r="M22" s="42">
        <f t="shared" si="2"/>
        <v>0</v>
      </c>
      <c r="N22" s="42">
        <f t="shared" si="3"/>
        <v>0.54399999999999993</v>
      </c>
      <c r="O22" s="42">
        <f t="shared" si="10"/>
        <v>0.60444444444444434</v>
      </c>
      <c r="P22" s="42">
        <f t="shared" si="4"/>
        <v>1.8249999999999999E-2</v>
      </c>
    </row>
    <row r="23" spans="1:16" x14ac:dyDescent="0.3">
      <c r="A23" s="47">
        <f t="shared" si="11"/>
        <v>46024</v>
      </c>
      <c r="B23" s="49">
        <f t="shared" si="12"/>
        <v>0.20833333333333326</v>
      </c>
      <c r="C23" s="42">
        <f>'Leden vík data'!V22+P23</f>
        <v>0.52574999999999994</v>
      </c>
      <c r="D23" s="42">
        <f t="shared" si="5"/>
        <v>0</v>
      </c>
      <c r="E23" s="42">
        <f t="shared" si="6"/>
        <v>0</v>
      </c>
      <c r="F23" s="42">
        <f t="shared" si="7"/>
        <v>0</v>
      </c>
      <c r="G23" s="42">
        <f t="shared" si="8"/>
        <v>0</v>
      </c>
      <c r="H23" s="42">
        <f t="shared" si="9"/>
        <v>0.52574999999999994</v>
      </c>
      <c r="I23" s="42">
        <f t="shared" si="0"/>
        <v>-0.52574999999999994</v>
      </c>
      <c r="J23" s="43">
        <f>MIN('Výpočty '!$B$1*0.9, MAX('Výpočty '!$B$1*0.05, J22 + M23 - MIN(O23, MAX(0, J22 - ('Výpočty '!$B$1*0.1))) - P23))</f>
        <v>1.7444999999999986</v>
      </c>
      <c r="K23" s="46">
        <f>J23/'Výpočty '!$B$1</f>
        <v>8.7224999999999928E-2</v>
      </c>
      <c r="L23" s="42">
        <f t="shared" si="1"/>
        <v>0</v>
      </c>
      <c r="M23" s="42">
        <f t="shared" si="2"/>
        <v>0</v>
      </c>
      <c r="N23" s="42">
        <f t="shared" si="3"/>
        <v>0.54399999999999993</v>
      </c>
      <c r="O23" s="42">
        <f t="shared" si="10"/>
        <v>0.60444444444444434</v>
      </c>
      <c r="P23" s="42">
        <f t="shared" si="4"/>
        <v>1.8249999999999999E-2</v>
      </c>
    </row>
    <row r="24" spans="1:16" x14ac:dyDescent="0.3">
      <c r="A24" s="47">
        <f t="shared" si="11"/>
        <v>46024</v>
      </c>
      <c r="B24" s="49">
        <f t="shared" si="12"/>
        <v>0.21874999999999992</v>
      </c>
      <c r="C24" s="42">
        <f>'Leden vík data'!V23+P24</f>
        <v>0.52574999999999994</v>
      </c>
      <c r="D24" s="42">
        <f t="shared" si="5"/>
        <v>0</v>
      </c>
      <c r="E24" s="42">
        <f t="shared" si="6"/>
        <v>0</v>
      </c>
      <c r="F24" s="42">
        <f t="shared" si="7"/>
        <v>0</v>
      </c>
      <c r="G24" s="42">
        <f t="shared" si="8"/>
        <v>0</v>
      </c>
      <c r="H24" s="42">
        <f t="shared" si="9"/>
        <v>0.52574999999999994</v>
      </c>
      <c r="I24" s="42">
        <f t="shared" si="0"/>
        <v>-0.52574999999999994</v>
      </c>
      <c r="J24" s="43">
        <f>MIN('Výpočty '!$B$1*0.9, MAX('Výpočty '!$B$1*0.05, J23 + M24 - MIN(O24, MAX(0, J23 - ('Výpočty '!$B$1*0.1))) - P24))</f>
        <v>1.7262499999999985</v>
      </c>
      <c r="K24" s="46">
        <f>J24/'Výpočty '!$B$1</f>
        <v>8.6312499999999931E-2</v>
      </c>
      <c r="L24" s="42">
        <f t="shared" si="1"/>
        <v>0</v>
      </c>
      <c r="M24" s="42">
        <f t="shared" si="2"/>
        <v>0</v>
      </c>
      <c r="N24" s="42">
        <f t="shared" si="3"/>
        <v>0.54399999999999993</v>
      </c>
      <c r="O24" s="42">
        <f t="shared" si="10"/>
        <v>0.60444444444444434</v>
      </c>
      <c r="P24" s="42">
        <f t="shared" si="4"/>
        <v>1.8249999999999999E-2</v>
      </c>
    </row>
    <row r="25" spans="1:16" x14ac:dyDescent="0.3">
      <c r="A25" s="47">
        <f t="shared" si="11"/>
        <v>46024</v>
      </c>
      <c r="B25" s="49">
        <f t="shared" si="12"/>
        <v>0.22916666666666657</v>
      </c>
      <c r="C25" s="42">
        <f>'Leden vík data'!V24+P25</f>
        <v>0.52574999999999994</v>
      </c>
      <c r="D25" s="42">
        <f t="shared" si="5"/>
        <v>0</v>
      </c>
      <c r="E25" s="42">
        <f t="shared" si="6"/>
        <v>0</v>
      </c>
      <c r="F25" s="42">
        <f t="shared" si="7"/>
        <v>0</v>
      </c>
      <c r="G25" s="42">
        <f t="shared" si="8"/>
        <v>0</v>
      </c>
      <c r="H25" s="42">
        <f t="shared" si="9"/>
        <v>0.52574999999999994</v>
      </c>
      <c r="I25" s="42">
        <f t="shared" si="0"/>
        <v>-0.52574999999999994</v>
      </c>
      <c r="J25" s="43">
        <f>MIN('Výpočty '!$B$1*0.9, MAX('Výpočty '!$B$1*0.05, J24 + M25 - MIN(O25, MAX(0, J24 - ('Výpočty '!$B$1*0.1))) - P25))</f>
        <v>1.7079999999999984</v>
      </c>
      <c r="K25" s="46">
        <f>J25/'Výpočty '!$B$1</f>
        <v>8.539999999999992E-2</v>
      </c>
      <c r="L25" s="42">
        <f t="shared" si="1"/>
        <v>0</v>
      </c>
      <c r="M25" s="42">
        <f t="shared" si="2"/>
        <v>0</v>
      </c>
      <c r="N25" s="42">
        <f t="shared" si="3"/>
        <v>0.54399999999999993</v>
      </c>
      <c r="O25" s="42">
        <f t="shared" si="10"/>
        <v>0.60444444444444434</v>
      </c>
      <c r="P25" s="42">
        <f t="shared" si="4"/>
        <v>1.8249999999999999E-2</v>
      </c>
    </row>
    <row r="26" spans="1:16" x14ac:dyDescent="0.3">
      <c r="A26" s="47">
        <f t="shared" si="11"/>
        <v>46024</v>
      </c>
      <c r="B26" s="49">
        <f t="shared" si="12"/>
        <v>0.23958333333333323</v>
      </c>
      <c r="C26" s="42">
        <f>'Leden vík data'!V25+P26</f>
        <v>0.52574999999999994</v>
      </c>
      <c r="D26" s="42">
        <f t="shared" si="5"/>
        <v>0</v>
      </c>
      <c r="E26" s="42">
        <f t="shared" si="6"/>
        <v>0</v>
      </c>
      <c r="F26" s="42">
        <f t="shared" si="7"/>
        <v>0</v>
      </c>
      <c r="G26" s="42">
        <f t="shared" si="8"/>
        <v>0</v>
      </c>
      <c r="H26" s="42">
        <f t="shared" si="9"/>
        <v>0.52574999999999994</v>
      </c>
      <c r="I26" s="42">
        <f t="shared" si="0"/>
        <v>-0.52574999999999994</v>
      </c>
      <c r="J26" s="43">
        <f>MIN('Výpočty '!$B$1*0.9, MAX('Výpočty '!$B$1*0.05, J25 + M26 - MIN(O26, MAX(0, J25 - ('Výpočty '!$B$1*0.1))) - P26))</f>
        <v>1.6897499999999983</v>
      </c>
      <c r="K26" s="46">
        <f>J26/'Výpočty '!$B$1</f>
        <v>8.448749999999991E-2</v>
      </c>
      <c r="L26" s="42">
        <f t="shared" si="1"/>
        <v>0</v>
      </c>
      <c r="M26" s="42">
        <f t="shared" si="2"/>
        <v>0</v>
      </c>
      <c r="N26" s="42">
        <f t="shared" si="3"/>
        <v>0.54399999999999993</v>
      </c>
      <c r="O26" s="42">
        <f t="shared" si="10"/>
        <v>0.60444444444444434</v>
      </c>
      <c r="P26" s="42">
        <f t="shared" si="4"/>
        <v>1.8249999999999999E-2</v>
      </c>
    </row>
    <row r="27" spans="1:16" x14ac:dyDescent="0.3">
      <c r="A27" s="47">
        <f t="shared" si="11"/>
        <v>46024</v>
      </c>
      <c r="B27" s="49">
        <f t="shared" si="12"/>
        <v>0.24999999999999989</v>
      </c>
      <c r="C27" s="42">
        <f>'Leden vík data'!V26+P27</f>
        <v>0.52574999999999994</v>
      </c>
      <c r="D27" s="42">
        <f t="shared" si="5"/>
        <v>0</v>
      </c>
      <c r="E27" s="42">
        <f t="shared" si="6"/>
        <v>0</v>
      </c>
      <c r="F27" s="42">
        <f t="shared" si="7"/>
        <v>0</v>
      </c>
      <c r="G27" s="42">
        <f t="shared" si="8"/>
        <v>0</v>
      </c>
      <c r="H27" s="42">
        <f t="shared" si="9"/>
        <v>0.52574999999999994</v>
      </c>
      <c r="I27" s="42">
        <f t="shared" si="0"/>
        <v>-0.52574999999999994</v>
      </c>
      <c r="J27" s="43">
        <f>MIN('Výpočty '!$B$1*0.9, MAX('Výpočty '!$B$1*0.05, J26 + M27 - MIN(O27, MAX(0, J26 - ('Výpočty '!$B$1*0.1))) - P27))</f>
        <v>1.6714999999999982</v>
      </c>
      <c r="K27" s="46">
        <f>J27/'Výpočty '!$B$1</f>
        <v>8.3574999999999913E-2</v>
      </c>
      <c r="L27" s="42">
        <f t="shared" si="1"/>
        <v>0</v>
      </c>
      <c r="M27" s="42">
        <f t="shared" si="2"/>
        <v>0</v>
      </c>
      <c r="N27" s="42">
        <f t="shared" si="3"/>
        <v>0.54399999999999993</v>
      </c>
      <c r="O27" s="42">
        <f t="shared" si="10"/>
        <v>0.60444444444444434</v>
      </c>
      <c r="P27" s="42">
        <f t="shared" si="4"/>
        <v>1.8249999999999999E-2</v>
      </c>
    </row>
    <row r="28" spans="1:16" x14ac:dyDescent="0.3">
      <c r="A28" s="47">
        <f t="shared" si="11"/>
        <v>46024</v>
      </c>
      <c r="B28" s="49">
        <f t="shared" si="12"/>
        <v>0.26041666666666657</v>
      </c>
      <c r="C28" s="42">
        <f>'Leden vík data'!V27+P28</f>
        <v>0.52574999999999994</v>
      </c>
      <c r="D28" s="42">
        <f t="shared" si="5"/>
        <v>0</v>
      </c>
      <c r="E28" s="42">
        <f t="shared" si="6"/>
        <v>0</v>
      </c>
      <c r="F28" s="42">
        <f t="shared" si="7"/>
        <v>0</v>
      </c>
      <c r="G28" s="42">
        <f t="shared" si="8"/>
        <v>0</v>
      </c>
      <c r="H28" s="42">
        <f t="shared" si="9"/>
        <v>0.52574999999999994</v>
      </c>
      <c r="I28" s="42">
        <f t="shared" si="0"/>
        <v>-0.52574999999999994</v>
      </c>
      <c r="J28" s="43">
        <f>MIN('Výpočty '!$B$1*0.9, MAX('Výpočty '!$B$1*0.05, J27 + M28 - MIN(O28, MAX(0, J27 - ('Výpočty '!$B$1*0.1))) - P28))</f>
        <v>1.6532499999999981</v>
      </c>
      <c r="K28" s="46">
        <f>J28/'Výpočty '!$B$1</f>
        <v>8.2662499999999903E-2</v>
      </c>
      <c r="L28" s="42">
        <f t="shared" si="1"/>
        <v>0</v>
      </c>
      <c r="M28" s="42">
        <f t="shared" si="2"/>
        <v>0</v>
      </c>
      <c r="N28" s="42">
        <f t="shared" si="3"/>
        <v>0.54399999999999993</v>
      </c>
      <c r="O28" s="42">
        <f t="shared" si="10"/>
        <v>0.60444444444444434</v>
      </c>
      <c r="P28" s="42">
        <f t="shared" si="4"/>
        <v>1.8249999999999999E-2</v>
      </c>
    </row>
    <row r="29" spans="1:16" x14ac:dyDescent="0.3">
      <c r="A29" s="47">
        <f t="shared" si="11"/>
        <v>46024</v>
      </c>
      <c r="B29" s="49">
        <f t="shared" si="12"/>
        <v>0.27083333333333326</v>
      </c>
      <c r="C29" s="42">
        <f>'Leden vík data'!V28+P29</f>
        <v>0.52574999999999994</v>
      </c>
      <c r="D29" s="42">
        <f t="shared" si="5"/>
        <v>0</v>
      </c>
      <c r="E29" s="42">
        <f t="shared" si="6"/>
        <v>0</v>
      </c>
      <c r="F29" s="42">
        <f t="shared" si="7"/>
        <v>0</v>
      </c>
      <c r="G29" s="42">
        <f t="shared" si="8"/>
        <v>0</v>
      </c>
      <c r="H29" s="42">
        <f t="shared" si="9"/>
        <v>0.52574999999999994</v>
      </c>
      <c r="I29" s="42">
        <f t="shared" si="0"/>
        <v>-0.52574999999999994</v>
      </c>
      <c r="J29" s="43">
        <f>MIN('Výpočty '!$B$1*0.9, MAX('Výpočty '!$B$1*0.05, J28 + M29 - MIN(O29, MAX(0, J28 - ('Výpočty '!$B$1*0.1))) - P29))</f>
        <v>1.634999999999998</v>
      </c>
      <c r="K29" s="46">
        <f>J29/'Výpočty '!$B$1</f>
        <v>8.1749999999999906E-2</v>
      </c>
      <c r="L29" s="42">
        <f t="shared" si="1"/>
        <v>0</v>
      </c>
      <c r="M29" s="42">
        <f t="shared" si="2"/>
        <v>0</v>
      </c>
      <c r="N29" s="42">
        <f t="shared" si="3"/>
        <v>0.54399999999999993</v>
      </c>
      <c r="O29" s="42">
        <f t="shared" si="10"/>
        <v>0.60444444444444434</v>
      </c>
      <c r="P29" s="42">
        <f t="shared" si="4"/>
        <v>1.8249999999999999E-2</v>
      </c>
    </row>
    <row r="30" spans="1:16" x14ac:dyDescent="0.3">
      <c r="A30" s="47">
        <f t="shared" si="11"/>
        <v>46024</v>
      </c>
      <c r="B30" s="49">
        <f t="shared" si="12"/>
        <v>0.28124999999999994</v>
      </c>
      <c r="C30" s="42">
        <f>'Leden vík data'!V29+P30</f>
        <v>0.52574999999999994</v>
      </c>
      <c r="D30" s="42">
        <f t="shared" si="5"/>
        <v>0</v>
      </c>
      <c r="E30" s="42">
        <f t="shared" si="6"/>
        <v>0</v>
      </c>
      <c r="F30" s="42">
        <f t="shared" si="7"/>
        <v>0</v>
      </c>
      <c r="G30" s="42">
        <f t="shared" si="8"/>
        <v>0</v>
      </c>
      <c r="H30" s="42">
        <f t="shared" si="9"/>
        <v>0.52574999999999994</v>
      </c>
      <c r="I30" s="42">
        <f t="shared" si="0"/>
        <v>-0.52574999999999994</v>
      </c>
      <c r="J30" s="43">
        <f>MIN('Výpočty '!$B$1*0.9, MAX('Výpočty '!$B$1*0.05, J29 + M30 - MIN(O30, MAX(0, J29 - ('Výpočty '!$B$1*0.1))) - P30))</f>
        <v>1.6167499999999979</v>
      </c>
      <c r="K30" s="46">
        <f>J30/'Výpočty '!$B$1</f>
        <v>8.0837499999999896E-2</v>
      </c>
      <c r="L30" s="42">
        <f t="shared" si="1"/>
        <v>0</v>
      </c>
      <c r="M30" s="42">
        <f t="shared" si="2"/>
        <v>0</v>
      </c>
      <c r="N30" s="42">
        <f t="shared" si="3"/>
        <v>0.54399999999999993</v>
      </c>
      <c r="O30" s="42">
        <f t="shared" si="10"/>
        <v>0.60444444444444434</v>
      </c>
      <c r="P30" s="42">
        <f t="shared" si="4"/>
        <v>1.8249999999999999E-2</v>
      </c>
    </row>
    <row r="31" spans="1:16" x14ac:dyDescent="0.3">
      <c r="A31" s="47">
        <f t="shared" si="11"/>
        <v>46024</v>
      </c>
      <c r="B31" s="49">
        <f t="shared" si="12"/>
        <v>0.29166666666666663</v>
      </c>
      <c r="C31" s="42">
        <f>'Leden vík data'!V30+P31</f>
        <v>0.53574999999999995</v>
      </c>
      <c r="D31" s="42">
        <f t="shared" si="5"/>
        <v>0</v>
      </c>
      <c r="E31" s="42">
        <f t="shared" si="6"/>
        <v>0</v>
      </c>
      <c r="F31" s="42">
        <f t="shared" si="7"/>
        <v>0</v>
      </c>
      <c r="G31" s="42">
        <f t="shared" si="8"/>
        <v>0</v>
      </c>
      <c r="H31" s="42">
        <f t="shared" si="9"/>
        <v>0.53574999999999995</v>
      </c>
      <c r="I31" s="42">
        <f t="shared" si="0"/>
        <v>-0.53574999999999995</v>
      </c>
      <c r="J31" s="43">
        <f>MIN('Výpočty '!$B$1*0.9, MAX('Výpočty '!$B$1*0.05, J30 + M31 - MIN(O31, MAX(0, J30 - ('Výpočty '!$B$1*0.1))) - P31))</f>
        <v>1.5984999999999978</v>
      </c>
      <c r="K31" s="46">
        <f>J31/'Výpočty '!$B$1</f>
        <v>7.9924999999999885E-2</v>
      </c>
      <c r="L31" s="42">
        <f t="shared" si="1"/>
        <v>0</v>
      </c>
      <c r="M31" s="42">
        <f t="shared" si="2"/>
        <v>0</v>
      </c>
      <c r="N31" s="42">
        <f t="shared" si="3"/>
        <v>0.55399999999999994</v>
      </c>
      <c r="O31" s="42">
        <f t="shared" si="10"/>
        <v>0.61555555555555552</v>
      </c>
      <c r="P31" s="42">
        <f t="shared" si="4"/>
        <v>1.8249999999999999E-2</v>
      </c>
    </row>
    <row r="32" spans="1:16" x14ac:dyDescent="0.3">
      <c r="A32" s="47">
        <f t="shared" si="11"/>
        <v>46024</v>
      </c>
      <c r="B32" s="49">
        <f t="shared" si="12"/>
        <v>0.30208333333333331</v>
      </c>
      <c r="C32" s="42">
        <f>'Leden vík data'!V31+P32</f>
        <v>0.53574999999999995</v>
      </c>
      <c r="D32" s="42">
        <f t="shared" si="5"/>
        <v>0</v>
      </c>
      <c r="E32" s="42">
        <f t="shared" si="6"/>
        <v>0</v>
      </c>
      <c r="F32" s="42">
        <f t="shared" si="7"/>
        <v>0</v>
      </c>
      <c r="G32" s="42">
        <f t="shared" si="8"/>
        <v>0</v>
      </c>
      <c r="H32" s="42">
        <f t="shared" si="9"/>
        <v>0.53574999999999995</v>
      </c>
      <c r="I32" s="42">
        <f t="shared" si="0"/>
        <v>-0.53574999999999995</v>
      </c>
      <c r="J32" s="43">
        <f>MIN('Výpočty '!$B$1*0.9, MAX('Výpočty '!$B$1*0.05, J31 + M32 - MIN(O32, MAX(0, J31 - ('Výpočty '!$B$1*0.1))) - P32))</f>
        <v>1.5802499999999977</v>
      </c>
      <c r="K32" s="46">
        <f>J32/'Výpočty '!$B$1</f>
        <v>7.9012499999999888E-2</v>
      </c>
      <c r="L32" s="42">
        <f t="shared" si="1"/>
        <v>0</v>
      </c>
      <c r="M32" s="42">
        <f t="shared" si="2"/>
        <v>0</v>
      </c>
      <c r="N32" s="42">
        <f t="shared" si="3"/>
        <v>0.55399999999999994</v>
      </c>
      <c r="O32" s="42">
        <f t="shared" si="10"/>
        <v>0.61555555555555552</v>
      </c>
      <c r="P32" s="42">
        <f t="shared" si="4"/>
        <v>1.8249999999999999E-2</v>
      </c>
    </row>
    <row r="33" spans="1:16" x14ac:dyDescent="0.3">
      <c r="A33" s="47">
        <f t="shared" si="11"/>
        <v>46024</v>
      </c>
      <c r="B33" s="49">
        <f t="shared" si="12"/>
        <v>0.3125</v>
      </c>
      <c r="C33" s="42">
        <f>'Leden vík data'!V32+P33</f>
        <v>0.53574999999999995</v>
      </c>
      <c r="D33" s="42">
        <f t="shared" si="5"/>
        <v>0</v>
      </c>
      <c r="E33" s="42">
        <f t="shared" si="6"/>
        <v>0</v>
      </c>
      <c r="F33" s="42">
        <f t="shared" si="7"/>
        <v>0</v>
      </c>
      <c r="G33" s="42">
        <f t="shared" si="8"/>
        <v>0</v>
      </c>
      <c r="H33" s="42">
        <f t="shared" si="9"/>
        <v>0.53574999999999995</v>
      </c>
      <c r="I33" s="42">
        <f t="shared" si="0"/>
        <v>-0.53574999999999995</v>
      </c>
      <c r="J33" s="43">
        <f>MIN('Výpočty '!$B$1*0.9, MAX('Výpočty '!$B$1*0.05, J32 + M33 - MIN(O33, MAX(0, J32 - ('Výpočty '!$B$1*0.1))) - P33))</f>
        <v>1.5619999999999976</v>
      </c>
      <c r="K33" s="46">
        <f>J33/'Výpočty '!$B$1</f>
        <v>7.8099999999999878E-2</v>
      </c>
      <c r="L33" s="42">
        <f t="shared" si="1"/>
        <v>0</v>
      </c>
      <c r="M33" s="42">
        <f t="shared" si="2"/>
        <v>0</v>
      </c>
      <c r="N33" s="42">
        <f t="shared" si="3"/>
        <v>0.55399999999999994</v>
      </c>
      <c r="O33" s="42">
        <f t="shared" si="10"/>
        <v>0.61555555555555552</v>
      </c>
      <c r="P33" s="42">
        <f t="shared" si="4"/>
        <v>1.8249999999999999E-2</v>
      </c>
    </row>
    <row r="34" spans="1:16" x14ac:dyDescent="0.3">
      <c r="A34" s="47">
        <f t="shared" si="11"/>
        <v>46024</v>
      </c>
      <c r="B34" s="49">
        <f t="shared" si="12"/>
        <v>0.32291666666666669</v>
      </c>
      <c r="C34" s="42">
        <f>'Leden vík data'!V33+P34</f>
        <v>0.55324999999999991</v>
      </c>
      <c r="D34" s="42">
        <f t="shared" si="5"/>
        <v>0</v>
      </c>
      <c r="E34" s="42">
        <f t="shared" si="6"/>
        <v>0</v>
      </c>
      <c r="F34" s="42">
        <f t="shared" si="7"/>
        <v>0</v>
      </c>
      <c r="G34" s="42">
        <f t="shared" si="8"/>
        <v>0</v>
      </c>
      <c r="H34" s="42">
        <f t="shared" si="9"/>
        <v>0.55324999999999991</v>
      </c>
      <c r="I34" s="42">
        <f t="shared" si="0"/>
        <v>-0.55324999999999991</v>
      </c>
      <c r="J34" s="43">
        <f>MIN('Výpočty '!$B$1*0.9, MAX('Výpočty '!$B$1*0.05, J33 + M34 - MIN(O34, MAX(0, J33 - ('Výpočty '!$B$1*0.1))) - P34))</f>
        <v>1.5437499999999975</v>
      </c>
      <c r="K34" s="46">
        <f>J34/'Výpočty '!$B$1</f>
        <v>7.7187499999999881E-2</v>
      </c>
      <c r="L34" s="42">
        <f t="shared" si="1"/>
        <v>0</v>
      </c>
      <c r="M34" s="42">
        <f t="shared" si="2"/>
        <v>0</v>
      </c>
      <c r="N34" s="42">
        <f t="shared" si="3"/>
        <v>0.56199999999999761</v>
      </c>
      <c r="O34" s="42">
        <f t="shared" si="10"/>
        <v>0.6244444444444418</v>
      </c>
      <c r="P34" s="42">
        <f t="shared" si="4"/>
        <v>1.8249999999999999E-2</v>
      </c>
    </row>
    <row r="35" spans="1:16" x14ac:dyDescent="0.3">
      <c r="A35" s="47">
        <f t="shared" si="11"/>
        <v>46024</v>
      </c>
      <c r="B35" s="49">
        <f t="shared" si="12"/>
        <v>0.33333333333333337</v>
      </c>
      <c r="C35" s="42">
        <f>'Leden vík data'!V34+P35</f>
        <v>0.58574999999999988</v>
      </c>
      <c r="D35" s="42">
        <f t="shared" si="5"/>
        <v>1E-3</v>
      </c>
      <c r="E35" s="42">
        <f t="shared" si="6"/>
        <v>1E-3</v>
      </c>
      <c r="F35" s="42">
        <f t="shared" si="7"/>
        <v>4.1000000000002368E-2</v>
      </c>
      <c r="G35" s="42">
        <f t="shared" si="8"/>
        <v>0</v>
      </c>
      <c r="H35" s="42">
        <f t="shared" si="9"/>
        <v>0.54374999999999751</v>
      </c>
      <c r="I35" s="42">
        <f t="shared" si="0"/>
        <v>-0.58474999999999988</v>
      </c>
      <c r="J35" s="43">
        <f>MIN('Výpočty '!$B$1*0.9, MAX('Výpočty '!$B$1*0.05, J34 + M35 - MIN(O35, MAX(0, J34 - ('Výpočty '!$B$1*0.1))) - P35))</f>
        <v>1.5254999999999974</v>
      </c>
      <c r="K35" s="46">
        <f>J35/'Výpočty '!$B$1</f>
        <v>7.6274999999999871E-2</v>
      </c>
      <c r="L35" s="42">
        <f t="shared" si="1"/>
        <v>0</v>
      </c>
      <c r="M35" s="42">
        <f t="shared" si="2"/>
        <v>0</v>
      </c>
      <c r="N35" s="42">
        <f t="shared" si="3"/>
        <v>0.54374999999999751</v>
      </c>
      <c r="O35" s="42">
        <f t="shared" si="10"/>
        <v>0.60416666666666385</v>
      </c>
      <c r="P35" s="42">
        <f t="shared" si="4"/>
        <v>1.8249999999999999E-2</v>
      </c>
    </row>
    <row r="36" spans="1:16" x14ac:dyDescent="0.3">
      <c r="A36" s="47">
        <f t="shared" si="11"/>
        <v>46024</v>
      </c>
      <c r="B36" s="49">
        <f t="shared" si="12"/>
        <v>0.34375000000000006</v>
      </c>
      <c r="C36" s="42">
        <f>'Leden vík data'!V35+P36</f>
        <v>1.20875</v>
      </c>
      <c r="D36" s="42">
        <f t="shared" si="5"/>
        <v>2E-3</v>
      </c>
      <c r="E36" s="42">
        <f t="shared" si="6"/>
        <v>2E-3</v>
      </c>
      <c r="F36" s="42">
        <f t="shared" si="7"/>
        <v>0.68125000000000258</v>
      </c>
      <c r="G36" s="42">
        <f t="shared" si="8"/>
        <v>0</v>
      </c>
      <c r="H36" s="42">
        <f t="shared" si="9"/>
        <v>0.52549999999999741</v>
      </c>
      <c r="I36" s="42">
        <f t="shared" si="0"/>
        <v>-1.20675</v>
      </c>
      <c r="J36" s="43">
        <f>MIN('Výpočty '!$B$1*0.9, MAX('Výpočty '!$B$1*0.05, J35 + M36 - MIN(O36, MAX(0, J35 - ('Výpočty '!$B$1*0.1))) - P36))</f>
        <v>1.5072499999999973</v>
      </c>
      <c r="K36" s="46">
        <f>J36/'Výpočty '!$B$1</f>
        <v>7.536249999999986E-2</v>
      </c>
      <c r="L36" s="42">
        <f t="shared" si="1"/>
        <v>0</v>
      </c>
      <c r="M36" s="42">
        <f t="shared" si="2"/>
        <v>0</v>
      </c>
      <c r="N36" s="42">
        <f t="shared" si="3"/>
        <v>0.52549999999999741</v>
      </c>
      <c r="O36" s="42">
        <f t="shared" si="10"/>
        <v>0.58388888888888602</v>
      </c>
      <c r="P36" s="42">
        <f t="shared" si="4"/>
        <v>1.8249999999999999E-2</v>
      </c>
    </row>
    <row r="37" spans="1:16" x14ac:dyDescent="0.3">
      <c r="A37" s="47">
        <f t="shared" si="11"/>
        <v>46024</v>
      </c>
      <c r="B37" s="49">
        <f t="shared" si="12"/>
        <v>0.35416666666666674</v>
      </c>
      <c r="C37" s="42">
        <f>'Leden vík data'!V36+P37</f>
        <v>2.5487500000000001</v>
      </c>
      <c r="D37" s="42">
        <f t="shared" si="5"/>
        <v>4.0000000000000001E-3</v>
      </c>
      <c r="E37" s="42">
        <f t="shared" si="6"/>
        <v>4.0000000000000001E-3</v>
      </c>
      <c r="F37" s="42">
        <f t="shared" si="7"/>
        <v>2.0375000000000028</v>
      </c>
      <c r="G37" s="42">
        <f t="shared" si="8"/>
        <v>0</v>
      </c>
      <c r="H37" s="42">
        <f t="shared" si="9"/>
        <v>0.50724999999999731</v>
      </c>
      <c r="I37" s="42">
        <f t="shared" si="0"/>
        <v>-2.5447500000000001</v>
      </c>
      <c r="J37" s="43">
        <f>MIN('Výpočty '!$B$1*0.9, MAX('Výpočty '!$B$1*0.05, J36 + M37 - MIN(O37, MAX(0, J36 - ('Výpočty '!$B$1*0.1))) - P37))</f>
        <v>1.4889999999999972</v>
      </c>
      <c r="K37" s="46">
        <f>J37/'Výpočty '!$B$1</f>
        <v>7.4449999999999864E-2</v>
      </c>
      <c r="L37" s="42">
        <f t="shared" si="1"/>
        <v>0</v>
      </c>
      <c r="M37" s="42">
        <f t="shared" si="2"/>
        <v>0</v>
      </c>
      <c r="N37" s="42">
        <f t="shared" si="3"/>
        <v>0.50724999999999731</v>
      </c>
      <c r="O37" s="42">
        <f t="shared" si="10"/>
        <v>0.56361111111110807</v>
      </c>
      <c r="P37" s="42">
        <f t="shared" si="4"/>
        <v>1.8249999999999999E-2</v>
      </c>
    </row>
    <row r="38" spans="1:16" x14ac:dyDescent="0.3">
      <c r="A38" s="47">
        <f t="shared" si="11"/>
        <v>46024</v>
      </c>
      <c r="B38" s="49">
        <f t="shared" si="12"/>
        <v>0.36458333333333343</v>
      </c>
      <c r="C38" s="42">
        <f>'Leden vík data'!V37+P38</f>
        <v>2.5487500000000001</v>
      </c>
      <c r="D38" s="42">
        <f t="shared" si="5"/>
        <v>8.9999999999999993E-3</v>
      </c>
      <c r="E38" s="42">
        <f t="shared" si="6"/>
        <v>8.9999999999999993E-3</v>
      </c>
      <c r="F38" s="42">
        <f t="shared" si="7"/>
        <v>2.050750000000003</v>
      </c>
      <c r="G38" s="42">
        <f t="shared" si="8"/>
        <v>0</v>
      </c>
      <c r="H38" s="42">
        <f t="shared" si="9"/>
        <v>0.48899999999999721</v>
      </c>
      <c r="I38" s="42">
        <f t="shared" si="0"/>
        <v>-2.5397500000000002</v>
      </c>
      <c r="J38" s="43">
        <f>MIN('Výpočty '!$B$1*0.9, MAX('Výpočty '!$B$1*0.05, J37 + M38 - MIN(O38, MAX(0, J37 - ('Výpočty '!$B$1*0.1))) - P38))</f>
        <v>1.4707499999999971</v>
      </c>
      <c r="K38" s="46">
        <f>J38/'Výpočty '!$B$1</f>
        <v>7.3537499999999853E-2</v>
      </c>
      <c r="L38" s="42">
        <f t="shared" si="1"/>
        <v>0</v>
      </c>
      <c r="M38" s="42">
        <f t="shared" si="2"/>
        <v>0</v>
      </c>
      <c r="N38" s="42">
        <f t="shared" si="3"/>
        <v>0.48899999999999721</v>
      </c>
      <c r="O38" s="42">
        <f t="shared" si="10"/>
        <v>0.54333333333333023</v>
      </c>
      <c r="P38" s="42">
        <f t="shared" si="4"/>
        <v>1.8249999999999999E-2</v>
      </c>
    </row>
    <row r="39" spans="1:16" x14ac:dyDescent="0.3">
      <c r="A39" s="47">
        <f t="shared" si="11"/>
        <v>46024</v>
      </c>
      <c r="B39" s="49">
        <f t="shared" si="12"/>
        <v>0.37500000000000011</v>
      </c>
      <c r="C39" s="42">
        <f>'Leden vík data'!V38+P39</f>
        <v>1.0387500000000001</v>
      </c>
      <c r="D39" s="42">
        <f t="shared" si="5"/>
        <v>1.9E-2</v>
      </c>
      <c r="E39" s="42">
        <f t="shared" si="6"/>
        <v>1.9E-2</v>
      </c>
      <c r="F39" s="42">
        <f t="shared" si="7"/>
        <v>0.54900000000000304</v>
      </c>
      <c r="G39" s="42">
        <f t="shared" si="8"/>
        <v>0</v>
      </c>
      <c r="H39" s="42">
        <f t="shared" si="9"/>
        <v>0.47074999999999712</v>
      </c>
      <c r="I39" s="42">
        <f t="shared" si="0"/>
        <v>-1.0197500000000002</v>
      </c>
      <c r="J39" s="43">
        <f>MIN('Výpočty '!$B$1*0.9, MAX('Výpočty '!$B$1*0.05, J38 + M39 - MIN(O39, MAX(0, J38 - ('Výpočty '!$B$1*0.1))) - P39))</f>
        <v>1.452499999999997</v>
      </c>
      <c r="K39" s="46">
        <f>J39/'Výpočty '!$B$1</f>
        <v>7.2624999999999856E-2</v>
      </c>
      <c r="L39" s="42">
        <f t="shared" si="1"/>
        <v>0</v>
      </c>
      <c r="M39" s="42">
        <f t="shared" si="2"/>
        <v>0</v>
      </c>
      <c r="N39" s="42">
        <f t="shared" si="3"/>
        <v>0.47074999999999712</v>
      </c>
      <c r="O39" s="42">
        <f t="shared" si="10"/>
        <v>0.52305555555555239</v>
      </c>
      <c r="P39" s="42">
        <f t="shared" si="4"/>
        <v>1.8249999999999999E-2</v>
      </c>
    </row>
    <row r="40" spans="1:16" x14ac:dyDescent="0.3">
      <c r="A40" s="47">
        <f t="shared" si="11"/>
        <v>46024</v>
      </c>
      <c r="B40" s="49">
        <f t="shared" si="12"/>
        <v>0.3854166666666668</v>
      </c>
      <c r="C40" s="42">
        <f>'Leden vík data'!V39+P40</f>
        <v>1.07125</v>
      </c>
      <c r="D40" s="42">
        <f t="shared" si="5"/>
        <v>3.9E-2</v>
      </c>
      <c r="E40" s="42">
        <f t="shared" si="6"/>
        <v>3.9E-2</v>
      </c>
      <c r="F40" s="42">
        <f t="shared" si="7"/>
        <v>0.5797500000000031</v>
      </c>
      <c r="G40" s="42">
        <f t="shared" si="8"/>
        <v>0</v>
      </c>
      <c r="H40" s="42">
        <f t="shared" si="9"/>
        <v>0.45249999999999702</v>
      </c>
      <c r="I40" s="42">
        <f t="shared" si="0"/>
        <v>-1.0322500000000001</v>
      </c>
      <c r="J40" s="43">
        <f>MIN('Výpočty '!$B$1*0.9, MAX('Výpočty '!$B$1*0.05, J39 + M40 - MIN(O40, MAX(0, J39 - ('Výpočty '!$B$1*0.1))) - P40))</f>
        <v>1.4342499999999969</v>
      </c>
      <c r="K40" s="46">
        <f>J40/'Výpočty '!$B$1</f>
        <v>7.1712499999999846E-2</v>
      </c>
      <c r="L40" s="42">
        <f t="shared" si="1"/>
        <v>0</v>
      </c>
      <c r="M40" s="42">
        <f t="shared" si="2"/>
        <v>0</v>
      </c>
      <c r="N40" s="42">
        <f t="shared" si="3"/>
        <v>0.45249999999999702</v>
      </c>
      <c r="O40" s="42">
        <f t="shared" si="10"/>
        <v>0.50277777777777444</v>
      </c>
      <c r="P40" s="42">
        <f t="shared" si="4"/>
        <v>1.8249999999999999E-2</v>
      </c>
    </row>
    <row r="41" spans="1:16" x14ac:dyDescent="0.3">
      <c r="A41" s="47">
        <f t="shared" si="11"/>
        <v>46024</v>
      </c>
      <c r="B41" s="49">
        <f t="shared" si="12"/>
        <v>0.39583333333333348</v>
      </c>
      <c r="C41" s="42">
        <f>'Leden vík data'!V40+P41</f>
        <v>1.5637500000000002</v>
      </c>
      <c r="D41" s="42">
        <f t="shared" si="5"/>
        <v>7.5999999999999998E-2</v>
      </c>
      <c r="E41" s="42">
        <f t="shared" si="6"/>
        <v>7.5999999999999998E-2</v>
      </c>
      <c r="F41" s="42">
        <f t="shared" si="7"/>
        <v>1.0535000000000032</v>
      </c>
      <c r="G41" s="42">
        <f t="shared" si="8"/>
        <v>0</v>
      </c>
      <c r="H41" s="42">
        <f t="shared" si="9"/>
        <v>0.43424999999999692</v>
      </c>
      <c r="I41" s="42">
        <f t="shared" si="0"/>
        <v>-1.4877500000000001</v>
      </c>
      <c r="J41" s="43">
        <f>MIN('Výpočty '!$B$1*0.9, MAX('Výpočty '!$B$1*0.05, J40 + M41 - MIN(O41, MAX(0, J40 - ('Výpočty '!$B$1*0.1))) - P41))</f>
        <v>1.4159999999999968</v>
      </c>
      <c r="K41" s="46">
        <f>J41/'Výpočty '!$B$1</f>
        <v>7.0799999999999835E-2</v>
      </c>
      <c r="L41" s="42">
        <f t="shared" si="1"/>
        <v>0</v>
      </c>
      <c r="M41" s="42">
        <f t="shared" si="2"/>
        <v>0</v>
      </c>
      <c r="N41" s="42">
        <f t="shared" si="3"/>
        <v>0.43424999999999692</v>
      </c>
      <c r="O41" s="42">
        <f t="shared" si="10"/>
        <v>0.48249999999999654</v>
      </c>
      <c r="P41" s="42">
        <f t="shared" si="4"/>
        <v>1.8249999999999999E-2</v>
      </c>
    </row>
    <row r="42" spans="1:16" x14ac:dyDescent="0.3">
      <c r="A42" s="47">
        <f t="shared" si="11"/>
        <v>46024</v>
      </c>
      <c r="B42" s="49">
        <f t="shared" si="12"/>
        <v>0.40625000000000017</v>
      </c>
      <c r="C42" s="42">
        <f>'Leden vík data'!V41+P42</f>
        <v>1.5557500000000002</v>
      </c>
      <c r="D42" s="42">
        <f t="shared" si="5"/>
        <v>0.13700000000000001</v>
      </c>
      <c r="E42" s="42">
        <f t="shared" si="6"/>
        <v>0.13700000000000001</v>
      </c>
      <c r="F42" s="42">
        <f t="shared" si="7"/>
        <v>1.0027500000000034</v>
      </c>
      <c r="G42" s="42">
        <f t="shared" si="8"/>
        <v>0</v>
      </c>
      <c r="H42" s="42">
        <f t="shared" si="9"/>
        <v>0.41599999999999682</v>
      </c>
      <c r="I42" s="42">
        <f t="shared" si="0"/>
        <v>-1.4187500000000002</v>
      </c>
      <c r="J42" s="43">
        <f>MIN('Výpočty '!$B$1*0.9, MAX('Výpočty '!$B$1*0.05, J41 + M42 - MIN(O42, MAX(0, J41 - ('Výpočty '!$B$1*0.1))) - P42))</f>
        <v>1.3977499999999967</v>
      </c>
      <c r="K42" s="46">
        <f>J42/'Výpočty '!$B$1</f>
        <v>6.9887499999999839E-2</v>
      </c>
      <c r="L42" s="42">
        <f t="shared" si="1"/>
        <v>0</v>
      </c>
      <c r="M42" s="42">
        <f t="shared" si="2"/>
        <v>0</v>
      </c>
      <c r="N42" s="42">
        <f t="shared" si="3"/>
        <v>0.41599999999999682</v>
      </c>
      <c r="O42" s="42">
        <f t="shared" si="10"/>
        <v>0.46222222222221865</v>
      </c>
      <c r="P42" s="42">
        <f t="shared" si="4"/>
        <v>1.8249999999999999E-2</v>
      </c>
    </row>
    <row r="43" spans="1:16" x14ac:dyDescent="0.3">
      <c r="A43" s="47">
        <f t="shared" si="11"/>
        <v>46024</v>
      </c>
      <c r="B43" s="49">
        <f t="shared" si="12"/>
        <v>0.41666666666666685</v>
      </c>
      <c r="C43" s="42">
        <f>'Leden vík data'!V42+P43</f>
        <v>1.5807500000000001</v>
      </c>
      <c r="D43" s="42">
        <f t="shared" si="5"/>
        <v>0.23300000000000001</v>
      </c>
      <c r="E43" s="42">
        <f t="shared" si="6"/>
        <v>0.23300000000000001</v>
      </c>
      <c r="F43" s="42">
        <f t="shared" si="7"/>
        <v>0.95000000000000329</v>
      </c>
      <c r="G43" s="42">
        <f t="shared" si="8"/>
        <v>0</v>
      </c>
      <c r="H43" s="42">
        <f t="shared" si="9"/>
        <v>0.39774999999999672</v>
      </c>
      <c r="I43" s="42">
        <f t="shared" si="0"/>
        <v>-1.34775</v>
      </c>
      <c r="J43" s="43">
        <f>MIN('Výpočty '!$B$1*0.9, MAX('Výpočty '!$B$1*0.05, J42 + M43 - MIN(O43, MAX(0, J42 - ('Výpočty '!$B$1*0.1))) - P43))</f>
        <v>1.3794999999999966</v>
      </c>
      <c r="K43" s="46">
        <f>J43/'Výpočty '!$B$1</f>
        <v>6.8974999999999828E-2</v>
      </c>
      <c r="L43" s="42">
        <f t="shared" si="1"/>
        <v>0</v>
      </c>
      <c r="M43" s="42">
        <f t="shared" si="2"/>
        <v>0</v>
      </c>
      <c r="N43" s="42">
        <f t="shared" si="3"/>
        <v>0.39774999999999672</v>
      </c>
      <c r="O43" s="42">
        <f t="shared" si="10"/>
        <v>0.44194444444444081</v>
      </c>
      <c r="P43" s="42">
        <f t="shared" si="4"/>
        <v>1.8249999999999999E-2</v>
      </c>
    </row>
    <row r="44" spans="1:16" x14ac:dyDescent="0.3">
      <c r="A44" s="47">
        <f t="shared" si="11"/>
        <v>46024</v>
      </c>
      <c r="B44" s="49">
        <f t="shared" si="12"/>
        <v>0.42708333333333354</v>
      </c>
      <c r="C44" s="42">
        <f>'Leden vík data'!V43+P44</f>
        <v>1.5807500000000001</v>
      </c>
      <c r="D44" s="42">
        <f t="shared" si="5"/>
        <v>0.373</v>
      </c>
      <c r="E44" s="42">
        <f t="shared" si="6"/>
        <v>0.373</v>
      </c>
      <c r="F44" s="42">
        <f t="shared" si="7"/>
        <v>0.82825000000000348</v>
      </c>
      <c r="G44" s="42">
        <f t="shared" si="8"/>
        <v>0</v>
      </c>
      <c r="H44" s="42">
        <f t="shared" si="9"/>
        <v>0.37949999999999662</v>
      </c>
      <c r="I44" s="42">
        <f t="shared" si="0"/>
        <v>-1.2077500000000001</v>
      </c>
      <c r="J44" s="43">
        <f>MIN('Výpočty '!$B$1*0.9, MAX('Výpočty '!$B$1*0.05, J43 + M44 - MIN(O44, MAX(0, J43 - ('Výpočty '!$B$1*0.1))) - P44))</f>
        <v>1.3612499999999965</v>
      </c>
      <c r="K44" s="46">
        <f>J44/'Výpočty '!$B$1</f>
        <v>6.8062499999999831E-2</v>
      </c>
      <c r="L44" s="42">
        <f t="shared" si="1"/>
        <v>0</v>
      </c>
      <c r="M44" s="42">
        <f t="shared" si="2"/>
        <v>0</v>
      </c>
      <c r="N44" s="42">
        <f t="shared" si="3"/>
        <v>0.37949999999999662</v>
      </c>
      <c r="O44" s="42">
        <f t="shared" si="10"/>
        <v>0.42166666666666291</v>
      </c>
      <c r="P44" s="42">
        <f t="shared" si="4"/>
        <v>1.8249999999999999E-2</v>
      </c>
    </row>
    <row r="45" spans="1:16" x14ac:dyDescent="0.3">
      <c r="A45" s="47">
        <f t="shared" si="11"/>
        <v>46024</v>
      </c>
      <c r="B45" s="49">
        <f t="shared" si="12"/>
        <v>0.43750000000000022</v>
      </c>
      <c r="C45" s="42">
        <f>'Leden vík data'!V44+P45</f>
        <v>1.5807500000000001</v>
      </c>
      <c r="D45" s="42">
        <f t="shared" si="5"/>
        <v>0.56000000000000005</v>
      </c>
      <c r="E45" s="42">
        <f t="shared" si="6"/>
        <v>0.56000000000000005</v>
      </c>
      <c r="F45" s="42">
        <f t="shared" si="7"/>
        <v>0.65950000000000353</v>
      </c>
      <c r="G45" s="42">
        <f t="shared" si="8"/>
        <v>0</v>
      </c>
      <c r="H45" s="42">
        <f t="shared" si="9"/>
        <v>0.36124999999999652</v>
      </c>
      <c r="I45" s="42">
        <f t="shared" si="0"/>
        <v>-1.02075</v>
      </c>
      <c r="J45" s="43">
        <f>MIN('Výpočty '!$B$1*0.9, MAX('Výpočty '!$B$1*0.05, J44 + M45 - MIN(O45, MAX(0, J44 - ('Výpočty '!$B$1*0.1))) - P45))</f>
        <v>1.3429999999999964</v>
      </c>
      <c r="K45" s="46">
        <f>J45/'Výpočty '!$B$1</f>
        <v>6.7149999999999821E-2</v>
      </c>
      <c r="L45" s="42">
        <f t="shared" si="1"/>
        <v>0</v>
      </c>
      <c r="M45" s="42">
        <f t="shared" si="2"/>
        <v>0</v>
      </c>
      <c r="N45" s="42">
        <f t="shared" si="3"/>
        <v>0.36124999999999652</v>
      </c>
      <c r="O45" s="42">
        <f t="shared" si="10"/>
        <v>0.40138888888888502</v>
      </c>
      <c r="P45" s="42">
        <f t="shared" si="4"/>
        <v>1.8249999999999999E-2</v>
      </c>
    </row>
    <row r="46" spans="1:16" x14ac:dyDescent="0.3">
      <c r="A46" s="47">
        <f t="shared" si="11"/>
        <v>46024</v>
      </c>
      <c r="B46" s="49">
        <f t="shared" si="12"/>
        <v>0.44791666666666691</v>
      </c>
      <c r="C46" s="42">
        <f>'Leden vík data'!V45+P46</f>
        <v>1.05575</v>
      </c>
      <c r="D46" s="42">
        <f t="shared" si="5"/>
        <v>0.79</v>
      </c>
      <c r="E46" s="42">
        <f t="shared" si="6"/>
        <v>0.79</v>
      </c>
      <c r="F46" s="42">
        <f t="shared" si="7"/>
        <v>0</v>
      </c>
      <c r="G46" s="42">
        <f t="shared" si="8"/>
        <v>0</v>
      </c>
      <c r="H46" s="42">
        <f t="shared" si="9"/>
        <v>0.26574999999999993</v>
      </c>
      <c r="I46" s="42">
        <f t="shared" si="0"/>
        <v>-0.26574999999999993</v>
      </c>
      <c r="J46" s="43">
        <f>MIN('Výpočty '!$B$1*0.9, MAX('Výpočty '!$B$1*0.05, J45 + M46 - MIN(O46, MAX(0, J45 - ('Výpočty '!$B$1*0.1))) - P46))</f>
        <v>1.3247499999999963</v>
      </c>
      <c r="K46" s="46">
        <f>J46/'Výpočty '!$B$1</f>
        <v>6.623749999999981E-2</v>
      </c>
      <c r="L46" s="42">
        <f t="shared" si="1"/>
        <v>0</v>
      </c>
      <c r="M46" s="42">
        <f t="shared" si="2"/>
        <v>0</v>
      </c>
      <c r="N46" s="42">
        <f t="shared" si="3"/>
        <v>0.28399999999999992</v>
      </c>
      <c r="O46" s="42">
        <f t="shared" si="10"/>
        <v>0.31555555555555548</v>
      </c>
      <c r="P46" s="42">
        <f t="shared" si="4"/>
        <v>1.8249999999999999E-2</v>
      </c>
    </row>
    <row r="47" spans="1:16" x14ac:dyDescent="0.3">
      <c r="A47" s="47">
        <f t="shared" si="11"/>
        <v>46024</v>
      </c>
      <c r="B47" s="49">
        <f t="shared" si="12"/>
        <v>0.45833333333333359</v>
      </c>
      <c r="C47" s="42">
        <f>'Leden vík data'!V46+P47</f>
        <v>1.05575</v>
      </c>
      <c r="D47" s="42">
        <f t="shared" si="5"/>
        <v>1.046</v>
      </c>
      <c r="E47" s="42">
        <f t="shared" si="6"/>
        <v>1.046</v>
      </c>
      <c r="F47" s="42">
        <f t="shared" si="7"/>
        <v>0</v>
      </c>
      <c r="G47" s="42">
        <f t="shared" si="8"/>
        <v>0</v>
      </c>
      <c r="H47" s="42">
        <f t="shared" si="9"/>
        <v>9.7499999999999254E-3</v>
      </c>
      <c r="I47" s="42">
        <f t="shared" si="0"/>
        <v>-9.7499999999999254E-3</v>
      </c>
      <c r="J47" s="43">
        <f>MIN('Výpočty '!$B$1*0.9, MAX('Výpočty '!$B$1*0.05, J46 + M47 - MIN(O47, MAX(0, J46 - ('Výpočty '!$B$1*0.1))) - P47))</f>
        <v>1.3064999999999962</v>
      </c>
      <c r="K47" s="46">
        <f>J47/'Výpočty '!$B$1</f>
        <v>6.5324999999999814E-2</v>
      </c>
      <c r="L47" s="42">
        <f t="shared" si="1"/>
        <v>0</v>
      </c>
      <c r="M47" s="42">
        <f t="shared" si="2"/>
        <v>0</v>
      </c>
      <c r="N47" s="42">
        <f t="shared" si="3"/>
        <v>2.7999999999999924E-2</v>
      </c>
      <c r="O47" s="42">
        <f t="shared" si="10"/>
        <v>3.1111111111111027E-2</v>
      </c>
      <c r="P47" s="42">
        <f t="shared" si="4"/>
        <v>1.8249999999999999E-2</v>
      </c>
    </row>
    <row r="48" spans="1:16" x14ac:dyDescent="0.3">
      <c r="A48" s="47">
        <f t="shared" si="11"/>
        <v>46024</v>
      </c>
      <c r="B48" s="49">
        <f t="shared" si="12"/>
        <v>0.46875000000000028</v>
      </c>
      <c r="C48" s="42">
        <f>'Leden vík data'!V47+P48</f>
        <v>2.9307500000000002</v>
      </c>
      <c r="D48" s="42">
        <f t="shared" si="5"/>
        <v>1.302</v>
      </c>
      <c r="E48" s="42">
        <f t="shared" si="6"/>
        <v>1.302</v>
      </c>
      <c r="F48" s="42">
        <f t="shared" si="7"/>
        <v>1.3222500000000039</v>
      </c>
      <c r="G48" s="42">
        <f t="shared" si="8"/>
        <v>0</v>
      </c>
      <c r="H48" s="42">
        <f t="shared" si="9"/>
        <v>0.30649999999999622</v>
      </c>
      <c r="I48" s="42">
        <f t="shared" si="0"/>
        <v>-1.6287500000000001</v>
      </c>
      <c r="J48" s="43">
        <f>MIN('Výpočty '!$B$1*0.9, MAX('Výpočty '!$B$1*0.05, J47 + M48 - MIN(O48, MAX(0, J47 - ('Výpočty '!$B$1*0.1))) - P48))</f>
        <v>1.2882499999999961</v>
      </c>
      <c r="K48" s="46">
        <f>J48/'Výpočty '!$B$1</f>
        <v>6.4412499999999803E-2</v>
      </c>
      <c r="L48" s="42">
        <f t="shared" si="1"/>
        <v>0</v>
      </c>
      <c r="M48" s="42">
        <f t="shared" si="2"/>
        <v>0</v>
      </c>
      <c r="N48" s="42">
        <f t="shared" si="3"/>
        <v>0.30649999999999622</v>
      </c>
      <c r="O48" s="42">
        <f t="shared" si="10"/>
        <v>0.34055555555555134</v>
      </c>
      <c r="P48" s="42">
        <f t="shared" si="4"/>
        <v>1.8249999999999999E-2</v>
      </c>
    </row>
    <row r="49" spans="1:16" x14ac:dyDescent="0.3">
      <c r="A49" s="47">
        <f t="shared" si="11"/>
        <v>46024</v>
      </c>
      <c r="B49" s="49">
        <f t="shared" si="12"/>
        <v>0.47916666666666696</v>
      </c>
      <c r="C49" s="42">
        <f>'Leden vík data'!V48+P49</f>
        <v>3.6807500000000002</v>
      </c>
      <c r="D49" s="42">
        <f t="shared" si="5"/>
        <v>1.522</v>
      </c>
      <c r="E49" s="42">
        <f t="shared" si="6"/>
        <v>1.522</v>
      </c>
      <c r="F49" s="42">
        <f t="shared" si="7"/>
        <v>1.8705000000000043</v>
      </c>
      <c r="G49" s="42">
        <f t="shared" si="8"/>
        <v>0</v>
      </c>
      <c r="H49" s="42">
        <f t="shared" si="9"/>
        <v>0.28824999999999612</v>
      </c>
      <c r="I49" s="42">
        <f t="shared" si="0"/>
        <v>-2.1587500000000004</v>
      </c>
      <c r="J49" s="43">
        <f>MIN('Výpočty '!$B$1*0.9, MAX('Výpočty '!$B$1*0.05, J48 + M49 - MIN(O49, MAX(0, J48 - ('Výpočty '!$B$1*0.1))) - P49))</f>
        <v>1.269999999999996</v>
      </c>
      <c r="K49" s="46">
        <f>J49/'Výpočty '!$B$1</f>
        <v>6.3499999999999807E-2</v>
      </c>
      <c r="L49" s="42">
        <f t="shared" si="1"/>
        <v>0</v>
      </c>
      <c r="M49" s="42">
        <f t="shared" si="2"/>
        <v>0</v>
      </c>
      <c r="N49" s="42">
        <f t="shared" si="3"/>
        <v>0.28824999999999612</v>
      </c>
      <c r="O49" s="42">
        <f t="shared" si="10"/>
        <v>0.32027777777777344</v>
      </c>
      <c r="P49" s="42">
        <f t="shared" si="4"/>
        <v>1.8249999999999999E-2</v>
      </c>
    </row>
    <row r="50" spans="1:16" x14ac:dyDescent="0.3">
      <c r="A50" s="47">
        <f t="shared" si="11"/>
        <v>46024</v>
      </c>
      <c r="B50" s="49">
        <f t="shared" si="12"/>
        <v>0.48958333333333365</v>
      </c>
      <c r="C50" s="42">
        <f>'Leden vík data'!V49+P50</f>
        <v>3.6807500000000002</v>
      </c>
      <c r="D50" s="42">
        <f t="shared" si="5"/>
        <v>1.6719999999999999</v>
      </c>
      <c r="E50" s="42">
        <f t="shared" si="6"/>
        <v>1.6719999999999999</v>
      </c>
      <c r="F50" s="42">
        <f t="shared" si="7"/>
        <v>1.738750000000004</v>
      </c>
      <c r="G50" s="42">
        <f t="shared" si="8"/>
        <v>0</v>
      </c>
      <c r="H50" s="42">
        <f t="shared" si="9"/>
        <v>0.26999999999999602</v>
      </c>
      <c r="I50" s="42">
        <f t="shared" si="0"/>
        <v>-2.00875</v>
      </c>
      <c r="J50" s="43">
        <f>MIN('Výpočty '!$B$1*0.9, MAX('Výpočty '!$B$1*0.05, J49 + M50 - MIN(O50, MAX(0, J49 - ('Výpočty '!$B$1*0.1))) - P50))</f>
        <v>1.2517499999999959</v>
      </c>
      <c r="K50" s="46">
        <f>J50/'Výpočty '!$B$1</f>
        <v>6.2587499999999796E-2</v>
      </c>
      <c r="L50" s="42">
        <f t="shared" si="1"/>
        <v>0</v>
      </c>
      <c r="M50" s="42">
        <f t="shared" si="2"/>
        <v>0</v>
      </c>
      <c r="N50" s="42">
        <f t="shared" si="3"/>
        <v>0.26999999999999602</v>
      </c>
      <c r="O50" s="42">
        <f t="shared" si="10"/>
        <v>0.29999999999999555</v>
      </c>
      <c r="P50" s="42">
        <f t="shared" si="4"/>
        <v>1.8249999999999999E-2</v>
      </c>
    </row>
    <row r="51" spans="1:16" x14ac:dyDescent="0.3">
      <c r="A51" s="47">
        <f t="shared" si="11"/>
        <v>46024</v>
      </c>
      <c r="B51" s="49">
        <f t="shared" si="12"/>
        <v>0.50000000000000033</v>
      </c>
      <c r="C51" s="42">
        <f>'Leden vík data'!V50+P51</f>
        <v>3.6807500000000002</v>
      </c>
      <c r="D51" s="42">
        <f t="shared" si="5"/>
        <v>1.7250000000000001</v>
      </c>
      <c r="E51" s="42">
        <f t="shared" si="6"/>
        <v>1.7250000000000001</v>
      </c>
      <c r="F51" s="42">
        <f t="shared" si="7"/>
        <v>1.7040000000000042</v>
      </c>
      <c r="G51" s="42">
        <f t="shared" si="8"/>
        <v>0</v>
      </c>
      <c r="H51" s="42">
        <f t="shared" si="9"/>
        <v>0.25174999999999592</v>
      </c>
      <c r="I51" s="42">
        <f t="shared" si="0"/>
        <v>-1.9557500000000001</v>
      </c>
      <c r="J51" s="43">
        <f>MIN('Výpočty '!$B$1*0.9, MAX('Výpočty '!$B$1*0.05, J50 + M51 - MIN(O51, MAX(0, J50 - ('Výpočty '!$B$1*0.1))) - P51))</f>
        <v>1.2334999999999958</v>
      </c>
      <c r="K51" s="46">
        <f>J51/'Výpočty '!$B$1</f>
        <v>6.1674999999999792E-2</v>
      </c>
      <c r="L51" s="42">
        <f t="shared" si="1"/>
        <v>0</v>
      </c>
      <c r="M51" s="42">
        <f t="shared" si="2"/>
        <v>0</v>
      </c>
      <c r="N51" s="42">
        <f t="shared" si="3"/>
        <v>0.25174999999999592</v>
      </c>
      <c r="O51" s="42">
        <f t="shared" si="10"/>
        <v>0.27972222222221771</v>
      </c>
      <c r="P51" s="42">
        <f t="shared" si="4"/>
        <v>1.8249999999999999E-2</v>
      </c>
    </row>
    <row r="52" spans="1:16" x14ac:dyDescent="0.3">
      <c r="A52" s="47">
        <f t="shared" si="11"/>
        <v>46024</v>
      </c>
      <c r="B52" s="49">
        <f t="shared" si="12"/>
        <v>0.51041666666666696</v>
      </c>
      <c r="C52" s="42">
        <f>'Leden vík data'!V51+P52</f>
        <v>1.80575</v>
      </c>
      <c r="D52" s="42">
        <f t="shared" si="5"/>
        <v>1.6719999999999999</v>
      </c>
      <c r="E52" s="42">
        <f t="shared" si="6"/>
        <v>1.6719999999999999</v>
      </c>
      <c r="F52" s="42">
        <f t="shared" si="7"/>
        <v>0</v>
      </c>
      <c r="G52" s="42">
        <f t="shared" si="8"/>
        <v>0</v>
      </c>
      <c r="H52" s="42">
        <f t="shared" si="9"/>
        <v>0.13375000000000004</v>
      </c>
      <c r="I52" s="42">
        <f t="shared" si="0"/>
        <v>-0.13375000000000004</v>
      </c>
      <c r="J52" s="43">
        <f>MIN('Výpočty '!$B$1*0.9, MAX('Výpočty '!$B$1*0.05, J51 + M52 - MIN(O52, MAX(0, J51 - ('Výpočty '!$B$1*0.1))) - P52))</f>
        <v>1.2152499999999957</v>
      </c>
      <c r="K52" s="46">
        <f>J52/'Výpočty '!$B$1</f>
        <v>6.0762499999999789E-2</v>
      </c>
      <c r="L52" s="42">
        <f t="shared" si="1"/>
        <v>0</v>
      </c>
      <c r="M52" s="42">
        <f t="shared" si="2"/>
        <v>0</v>
      </c>
      <c r="N52" s="42">
        <f t="shared" si="3"/>
        <v>0.15200000000000002</v>
      </c>
      <c r="O52" s="42">
        <f t="shared" si="10"/>
        <v>0.16888888888888892</v>
      </c>
      <c r="P52" s="42">
        <f t="shared" si="4"/>
        <v>1.8249999999999999E-2</v>
      </c>
    </row>
    <row r="53" spans="1:16" x14ac:dyDescent="0.3">
      <c r="A53" s="47">
        <f t="shared" si="11"/>
        <v>46024</v>
      </c>
      <c r="B53" s="49">
        <f t="shared" si="12"/>
        <v>0.52083333333333359</v>
      </c>
      <c r="C53" s="42">
        <f>'Leden vík data'!V52+P53</f>
        <v>1.80575</v>
      </c>
      <c r="D53" s="42">
        <f t="shared" si="5"/>
        <v>1.522</v>
      </c>
      <c r="E53" s="42">
        <f t="shared" si="6"/>
        <v>1.522</v>
      </c>
      <c r="F53" s="42">
        <f t="shared" si="7"/>
        <v>6.8500000000004224E-2</v>
      </c>
      <c r="G53" s="42">
        <f t="shared" si="8"/>
        <v>0</v>
      </c>
      <c r="H53" s="42">
        <f t="shared" si="9"/>
        <v>0.21524999999999572</v>
      </c>
      <c r="I53" s="42">
        <f t="shared" si="0"/>
        <v>-0.28374999999999995</v>
      </c>
      <c r="J53" s="43">
        <f>MIN('Výpočty '!$B$1*0.9, MAX('Výpočty '!$B$1*0.05, J52 + M53 - MIN(O53, MAX(0, J52 - ('Výpočty '!$B$1*0.1))) - P53))</f>
        <v>1.1969999999999956</v>
      </c>
      <c r="K53" s="46">
        <f>J53/'Výpočty '!$B$1</f>
        <v>5.9849999999999778E-2</v>
      </c>
      <c r="L53" s="42">
        <f t="shared" si="1"/>
        <v>0</v>
      </c>
      <c r="M53" s="42">
        <f t="shared" si="2"/>
        <v>0</v>
      </c>
      <c r="N53" s="42">
        <f t="shared" si="3"/>
        <v>0.21524999999999572</v>
      </c>
      <c r="O53" s="42">
        <f t="shared" si="10"/>
        <v>0.23916666666666192</v>
      </c>
      <c r="P53" s="42">
        <f t="shared" si="4"/>
        <v>1.8249999999999999E-2</v>
      </c>
    </row>
    <row r="54" spans="1:16" x14ac:dyDescent="0.3">
      <c r="A54" s="47">
        <f t="shared" si="11"/>
        <v>46024</v>
      </c>
      <c r="B54" s="49">
        <f t="shared" si="12"/>
        <v>0.53125000000000022</v>
      </c>
      <c r="C54" s="42">
        <f>'Leden vík data'!V53+P54</f>
        <v>1.7807500000000001</v>
      </c>
      <c r="D54" s="42">
        <f t="shared" si="5"/>
        <v>1.302</v>
      </c>
      <c r="E54" s="42">
        <f t="shared" si="6"/>
        <v>1.302</v>
      </c>
      <c r="F54" s="42">
        <f t="shared" si="7"/>
        <v>0.28175000000000439</v>
      </c>
      <c r="G54" s="42">
        <f t="shared" si="8"/>
        <v>0</v>
      </c>
      <c r="H54" s="42">
        <f t="shared" si="9"/>
        <v>0.19699999999999562</v>
      </c>
      <c r="I54" s="42">
        <f t="shared" si="0"/>
        <v>-0.47875000000000001</v>
      </c>
      <c r="J54" s="43">
        <f>MIN('Výpočty '!$B$1*0.9, MAX('Výpočty '!$B$1*0.05, J53 + M54 - MIN(O54, MAX(0, J53 - ('Výpočty '!$B$1*0.1))) - P54))</f>
        <v>1.1787499999999955</v>
      </c>
      <c r="K54" s="46">
        <f>J54/'Výpočty '!$B$1</f>
        <v>5.8937499999999775E-2</v>
      </c>
      <c r="L54" s="42">
        <f t="shared" si="1"/>
        <v>0</v>
      </c>
      <c r="M54" s="42">
        <f t="shared" si="2"/>
        <v>0</v>
      </c>
      <c r="N54" s="42">
        <f t="shared" si="3"/>
        <v>0.19699999999999562</v>
      </c>
      <c r="O54" s="42">
        <f t="shared" si="10"/>
        <v>0.21888888888888403</v>
      </c>
      <c r="P54" s="42">
        <f t="shared" si="4"/>
        <v>1.8249999999999999E-2</v>
      </c>
    </row>
    <row r="55" spans="1:16" x14ac:dyDescent="0.3">
      <c r="A55" s="47">
        <f t="shared" si="11"/>
        <v>46024</v>
      </c>
      <c r="B55" s="49">
        <f t="shared" si="12"/>
        <v>0.54166666666666685</v>
      </c>
      <c r="C55" s="42">
        <f>'Leden vík data'!V54+P55</f>
        <v>1.7807500000000001</v>
      </c>
      <c r="D55" s="42">
        <f t="shared" si="5"/>
        <v>1.046</v>
      </c>
      <c r="E55" s="42">
        <f t="shared" si="6"/>
        <v>1.046</v>
      </c>
      <c r="F55" s="42">
        <f t="shared" si="7"/>
        <v>0.55600000000000449</v>
      </c>
      <c r="G55" s="42">
        <f t="shared" si="8"/>
        <v>0</v>
      </c>
      <c r="H55" s="42">
        <f t="shared" si="9"/>
        <v>0.17874999999999552</v>
      </c>
      <c r="I55" s="42">
        <f t="shared" si="0"/>
        <v>-0.73475000000000001</v>
      </c>
      <c r="J55" s="43">
        <f>MIN('Výpočty '!$B$1*0.9, MAX('Výpočty '!$B$1*0.05, J54 + M55 - MIN(O55, MAX(0, J54 - ('Výpočty '!$B$1*0.1))) - P55))</f>
        <v>1.1604999999999954</v>
      </c>
      <c r="K55" s="46">
        <f>J55/'Výpočty '!$B$1</f>
        <v>5.8024999999999771E-2</v>
      </c>
      <c r="L55" s="42">
        <f t="shared" si="1"/>
        <v>0</v>
      </c>
      <c r="M55" s="42">
        <f t="shared" si="2"/>
        <v>0</v>
      </c>
      <c r="N55" s="42">
        <f t="shared" si="3"/>
        <v>0.17874999999999552</v>
      </c>
      <c r="O55" s="42">
        <f t="shared" si="10"/>
        <v>0.19861111111110613</v>
      </c>
      <c r="P55" s="42">
        <f t="shared" si="4"/>
        <v>1.8249999999999999E-2</v>
      </c>
    </row>
    <row r="56" spans="1:16" x14ac:dyDescent="0.3">
      <c r="A56" s="47">
        <f t="shared" si="11"/>
        <v>46024</v>
      </c>
      <c r="B56" s="49">
        <f t="shared" si="12"/>
        <v>0.55208333333333348</v>
      </c>
      <c r="C56" s="42">
        <f>'Leden vík data'!V55+P56</f>
        <v>1.5807500000000001</v>
      </c>
      <c r="D56" s="42">
        <f t="shared" si="5"/>
        <v>0.79</v>
      </c>
      <c r="E56" s="42">
        <f t="shared" si="6"/>
        <v>0.79</v>
      </c>
      <c r="F56" s="42">
        <f t="shared" si="7"/>
        <v>0.63025000000000464</v>
      </c>
      <c r="G56" s="42">
        <f t="shared" si="8"/>
        <v>0</v>
      </c>
      <c r="H56" s="42">
        <f t="shared" si="9"/>
        <v>0.16049999999999542</v>
      </c>
      <c r="I56" s="42">
        <f t="shared" si="0"/>
        <v>-0.79075000000000006</v>
      </c>
      <c r="J56" s="43">
        <f>MIN('Výpočty '!$B$1*0.9, MAX('Výpočty '!$B$1*0.05, J55 + M56 - MIN(O56, MAX(0, J55 - ('Výpočty '!$B$1*0.1))) - P56))</f>
        <v>1.1422499999999953</v>
      </c>
      <c r="K56" s="46">
        <f>J56/'Výpočty '!$B$1</f>
        <v>5.7112499999999768E-2</v>
      </c>
      <c r="L56" s="42">
        <f t="shared" si="1"/>
        <v>0</v>
      </c>
      <c r="M56" s="42">
        <f t="shared" si="2"/>
        <v>0</v>
      </c>
      <c r="N56" s="42">
        <f t="shared" si="3"/>
        <v>0.16049999999999542</v>
      </c>
      <c r="O56" s="42">
        <f t="shared" si="10"/>
        <v>0.17833333333332824</v>
      </c>
      <c r="P56" s="42">
        <f t="shared" si="4"/>
        <v>1.8249999999999999E-2</v>
      </c>
    </row>
    <row r="57" spans="1:16" x14ac:dyDescent="0.3">
      <c r="A57" s="47">
        <f t="shared" si="11"/>
        <v>46024</v>
      </c>
      <c r="B57" s="49">
        <f t="shared" si="12"/>
        <v>0.56250000000000011</v>
      </c>
      <c r="C57" s="42">
        <f>'Leden vík data'!V56+P57</f>
        <v>1.6132500000000001</v>
      </c>
      <c r="D57" s="42">
        <f t="shared" si="5"/>
        <v>0.56000000000000005</v>
      </c>
      <c r="E57" s="42">
        <f t="shared" si="6"/>
        <v>0.56000000000000005</v>
      </c>
      <c r="F57" s="42">
        <f t="shared" si="7"/>
        <v>0.91100000000000469</v>
      </c>
      <c r="G57" s="42">
        <f t="shared" si="8"/>
        <v>0</v>
      </c>
      <c r="H57" s="42">
        <f t="shared" si="9"/>
        <v>0.14224999999999532</v>
      </c>
      <c r="I57" s="42">
        <f t="shared" si="0"/>
        <v>-1.05325</v>
      </c>
      <c r="J57" s="43">
        <f>MIN('Výpočty '!$B$1*0.9, MAX('Výpočty '!$B$1*0.05, J56 + M57 - MIN(O57, MAX(0, J56 - ('Výpočty '!$B$1*0.1))) - P57))</f>
        <v>1.1239999999999952</v>
      </c>
      <c r="K57" s="46">
        <f>J57/'Výpočty '!$B$1</f>
        <v>5.6199999999999764E-2</v>
      </c>
      <c r="L57" s="42">
        <f t="shared" si="1"/>
        <v>0</v>
      </c>
      <c r="M57" s="42">
        <f t="shared" si="2"/>
        <v>0</v>
      </c>
      <c r="N57" s="42">
        <f t="shared" si="3"/>
        <v>0.14224999999999532</v>
      </c>
      <c r="O57" s="42">
        <f t="shared" si="10"/>
        <v>0.15805555555555037</v>
      </c>
      <c r="P57" s="42">
        <f t="shared" si="4"/>
        <v>1.8249999999999999E-2</v>
      </c>
    </row>
    <row r="58" spans="1:16" x14ac:dyDescent="0.3">
      <c r="A58" s="47">
        <f t="shared" si="11"/>
        <v>46024</v>
      </c>
      <c r="B58" s="49">
        <f t="shared" si="12"/>
        <v>0.57291666666666674</v>
      </c>
      <c r="C58" s="42">
        <f>'Leden vík data'!V57+P58</f>
        <v>1.5807500000000001</v>
      </c>
      <c r="D58" s="42">
        <f t="shared" si="5"/>
        <v>0.373</v>
      </c>
      <c r="E58" s="42">
        <f t="shared" si="6"/>
        <v>0.373</v>
      </c>
      <c r="F58" s="42">
        <f t="shared" si="7"/>
        <v>1.0837500000000049</v>
      </c>
      <c r="G58" s="42">
        <f t="shared" si="8"/>
        <v>0</v>
      </c>
      <c r="H58" s="42">
        <f t="shared" si="9"/>
        <v>0.12399999999999523</v>
      </c>
      <c r="I58" s="42">
        <f t="shared" si="0"/>
        <v>-1.2077500000000001</v>
      </c>
      <c r="J58" s="43">
        <f>MIN('Výpočty '!$B$1*0.9, MAX('Výpočty '!$B$1*0.05, J57 + M58 - MIN(O58, MAX(0, J57 - ('Výpočty '!$B$1*0.1))) - P58))</f>
        <v>1.1057499999999951</v>
      </c>
      <c r="K58" s="46">
        <f>J58/'Výpočty '!$B$1</f>
        <v>5.5287499999999754E-2</v>
      </c>
      <c r="L58" s="42">
        <f t="shared" si="1"/>
        <v>0</v>
      </c>
      <c r="M58" s="42">
        <f t="shared" si="2"/>
        <v>0</v>
      </c>
      <c r="N58" s="42">
        <f t="shared" si="3"/>
        <v>0.12399999999999523</v>
      </c>
      <c r="O58" s="42">
        <f t="shared" si="10"/>
        <v>0.13777777777777248</v>
      </c>
      <c r="P58" s="42">
        <f t="shared" si="4"/>
        <v>1.8249999999999999E-2</v>
      </c>
    </row>
    <row r="59" spans="1:16" x14ac:dyDescent="0.3">
      <c r="A59" s="47">
        <f t="shared" si="11"/>
        <v>46024</v>
      </c>
      <c r="B59" s="49">
        <f t="shared" si="12"/>
        <v>0.58333333333333337</v>
      </c>
      <c r="C59" s="42">
        <f>'Leden vík data'!V58+P59</f>
        <v>1.6432500000000001</v>
      </c>
      <c r="D59" s="42">
        <f t="shared" si="5"/>
        <v>0.23300000000000001</v>
      </c>
      <c r="E59" s="42">
        <f t="shared" si="6"/>
        <v>0.23300000000000001</v>
      </c>
      <c r="F59" s="42">
        <f t="shared" si="7"/>
        <v>1.3045000000000049</v>
      </c>
      <c r="G59" s="42">
        <f t="shared" si="8"/>
        <v>0</v>
      </c>
      <c r="H59" s="42">
        <f t="shared" si="9"/>
        <v>0.10574999999999513</v>
      </c>
      <c r="I59" s="42">
        <f t="shared" si="0"/>
        <v>-1.41025</v>
      </c>
      <c r="J59" s="43">
        <f>MIN('Výpočty '!$B$1*0.9, MAX('Výpočty '!$B$1*0.05, J58 + M59 - MIN(O59, MAX(0, J58 - ('Výpočty '!$B$1*0.1))) - P59))</f>
        <v>1.087499999999995</v>
      </c>
      <c r="K59" s="46">
        <f>J59/'Výpočty '!$B$1</f>
        <v>5.437499999999975E-2</v>
      </c>
      <c r="L59" s="42">
        <f t="shared" si="1"/>
        <v>0</v>
      </c>
      <c r="M59" s="42">
        <f t="shared" si="2"/>
        <v>0</v>
      </c>
      <c r="N59" s="42">
        <f t="shared" si="3"/>
        <v>0.10574999999999513</v>
      </c>
      <c r="O59" s="42">
        <f t="shared" si="10"/>
        <v>0.11749999999999458</v>
      </c>
      <c r="P59" s="42">
        <f t="shared" si="4"/>
        <v>1.8249999999999999E-2</v>
      </c>
    </row>
    <row r="60" spans="1:16" x14ac:dyDescent="0.3">
      <c r="A60" s="47">
        <f t="shared" si="11"/>
        <v>46024</v>
      </c>
      <c r="B60" s="49">
        <f t="shared" si="12"/>
        <v>0.59375</v>
      </c>
      <c r="C60" s="42">
        <f>'Leden vík data'!V59+P60</f>
        <v>1.6432500000000001</v>
      </c>
      <c r="D60" s="42">
        <f t="shared" si="5"/>
        <v>0.13700000000000001</v>
      </c>
      <c r="E60" s="42">
        <f t="shared" si="6"/>
        <v>0.13700000000000001</v>
      </c>
      <c r="F60" s="42">
        <f t="shared" si="7"/>
        <v>1.4187500000000051</v>
      </c>
      <c r="G60" s="42">
        <f t="shared" si="8"/>
        <v>0</v>
      </c>
      <c r="H60" s="42">
        <f t="shared" si="9"/>
        <v>8.7499999999995026E-2</v>
      </c>
      <c r="I60" s="42">
        <f t="shared" si="0"/>
        <v>-1.5062500000000001</v>
      </c>
      <c r="J60" s="43">
        <f>MIN('Výpočty '!$B$1*0.9, MAX('Výpočty '!$B$1*0.05, J59 + M60 - MIN(O60, MAX(0, J59 - ('Výpočty '!$B$1*0.1))) - P60))</f>
        <v>1.0692499999999949</v>
      </c>
      <c r="K60" s="46">
        <f>J60/'Výpočty '!$B$1</f>
        <v>5.3462499999999746E-2</v>
      </c>
      <c r="L60" s="42">
        <f t="shared" si="1"/>
        <v>0</v>
      </c>
      <c r="M60" s="42">
        <f t="shared" si="2"/>
        <v>0</v>
      </c>
      <c r="N60" s="42">
        <f t="shared" si="3"/>
        <v>8.7499999999995026E-2</v>
      </c>
      <c r="O60" s="42">
        <f t="shared" si="10"/>
        <v>9.7222222222216687E-2</v>
      </c>
      <c r="P60" s="42">
        <f t="shared" si="4"/>
        <v>1.8249999999999999E-2</v>
      </c>
    </row>
    <row r="61" spans="1:16" x14ac:dyDescent="0.3">
      <c r="A61" s="47">
        <f t="shared" si="11"/>
        <v>46024</v>
      </c>
      <c r="B61" s="49">
        <f t="shared" si="12"/>
        <v>0.60416666666666663</v>
      </c>
      <c r="C61" s="42">
        <f>'Leden vík data'!V60+P61</f>
        <v>1.1145</v>
      </c>
      <c r="D61" s="42">
        <f t="shared" si="5"/>
        <v>7.5999999999999998E-2</v>
      </c>
      <c r="E61" s="42">
        <f t="shared" si="6"/>
        <v>7.5999999999999998E-2</v>
      </c>
      <c r="F61" s="42">
        <f t="shared" si="7"/>
        <v>0.96925000000000505</v>
      </c>
      <c r="G61" s="42">
        <f t="shared" si="8"/>
        <v>0</v>
      </c>
      <c r="H61" s="42">
        <f t="shared" si="9"/>
        <v>6.9249999999994927E-2</v>
      </c>
      <c r="I61" s="42">
        <f t="shared" si="0"/>
        <v>-1.0385</v>
      </c>
      <c r="J61" s="43">
        <f>MIN('Výpočty '!$B$1*0.9, MAX('Výpočty '!$B$1*0.05, J60 + M61 - MIN(O61, MAX(0, J60 - ('Výpočty '!$B$1*0.1))) - P61))</f>
        <v>1.0509999999999948</v>
      </c>
      <c r="K61" s="46">
        <f>J61/'Výpočty '!$B$1</f>
        <v>5.2549999999999743E-2</v>
      </c>
      <c r="L61" s="42">
        <f t="shared" si="1"/>
        <v>0</v>
      </c>
      <c r="M61" s="42">
        <f t="shared" si="2"/>
        <v>0</v>
      </c>
      <c r="N61" s="42">
        <f t="shared" si="3"/>
        <v>6.9249999999994927E-2</v>
      </c>
      <c r="O61" s="42">
        <f t="shared" si="10"/>
        <v>7.6944444444438806E-2</v>
      </c>
      <c r="P61" s="42">
        <f t="shared" si="4"/>
        <v>1.8249999999999999E-2</v>
      </c>
    </row>
    <row r="62" spans="1:16" x14ac:dyDescent="0.3">
      <c r="A62" s="47">
        <f t="shared" si="11"/>
        <v>46024</v>
      </c>
      <c r="B62" s="49">
        <f t="shared" si="12"/>
        <v>0.61458333333333326</v>
      </c>
      <c r="C62" s="42">
        <f>'Leden vík data'!V61+P62</f>
        <v>1.1145</v>
      </c>
      <c r="D62" s="42">
        <f t="shared" si="5"/>
        <v>3.9E-2</v>
      </c>
      <c r="E62" s="42">
        <f t="shared" si="6"/>
        <v>3.9E-2</v>
      </c>
      <c r="F62" s="42">
        <f t="shared" si="7"/>
        <v>1.0245000000000053</v>
      </c>
      <c r="G62" s="42">
        <f t="shared" si="8"/>
        <v>0</v>
      </c>
      <c r="H62" s="42">
        <f t="shared" si="9"/>
        <v>5.0999999999994827E-2</v>
      </c>
      <c r="I62" s="42">
        <f t="shared" si="0"/>
        <v>-1.0755000000000001</v>
      </c>
      <c r="J62" s="43">
        <f>MIN('Výpočty '!$B$1*0.9, MAX('Výpočty '!$B$1*0.05, J61 + M62 - MIN(O62, MAX(0, J61 - ('Výpočty '!$B$1*0.1))) - P62))</f>
        <v>1.0327499999999947</v>
      </c>
      <c r="K62" s="46">
        <f>J62/'Výpočty '!$B$1</f>
        <v>5.1637499999999739E-2</v>
      </c>
      <c r="L62" s="42">
        <f t="shared" si="1"/>
        <v>0</v>
      </c>
      <c r="M62" s="42">
        <f t="shared" si="2"/>
        <v>0</v>
      </c>
      <c r="N62" s="42">
        <f t="shared" si="3"/>
        <v>5.0999999999994827E-2</v>
      </c>
      <c r="O62" s="42">
        <f t="shared" si="10"/>
        <v>5.6666666666660918E-2</v>
      </c>
      <c r="P62" s="42">
        <f t="shared" si="4"/>
        <v>1.8249999999999999E-2</v>
      </c>
    </row>
    <row r="63" spans="1:16" x14ac:dyDescent="0.3">
      <c r="A63" s="47">
        <f t="shared" si="11"/>
        <v>46024</v>
      </c>
      <c r="B63" s="49">
        <f t="shared" si="12"/>
        <v>0.62499999999999989</v>
      </c>
      <c r="C63" s="42">
        <f>'Leden vík data'!V62+P63</f>
        <v>0.61449999999999994</v>
      </c>
      <c r="D63" s="42">
        <f t="shared" si="5"/>
        <v>1.9E-2</v>
      </c>
      <c r="E63" s="42">
        <f t="shared" si="6"/>
        <v>1.9E-2</v>
      </c>
      <c r="F63" s="42">
        <f t="shared" si="7"/>
        <v>0.56275000000000519</v>
      </c>
      <c r="G63" s="42">
        <f t="shared" si="8"/>
        <v>0</v>
      </c>
      <c r="H63" s="42">
        <f t="shared" si="9"/>
        <v>3.2749999999994728E-2</v>
      </c>
      <c r="I63" s="42">
        <f t="shared" si="0"/>
        <v>-0.59549999999999992</v>
      </c>
      <c r="J63" s="43">
        <f>MIN('Výpočty '!$B$1*0.9, MAX('Výpočty '!$B$1*0.05, J62 + M63 - MIN(O63, MAX(0, J62 - ('Výpočty '!$B$1*0.1))) - P63))</f>
        <v>1.0144999999999946</v>
      </c>
      <c r="K63" s="46">
        <f>J63/'Výpočty '!$B$1</f>
        <v>5.0724999999999729E-2</v>
      </c>
      <c r="L63" s="42">
        <f t="shared" si="1"/>
        <v>0</v>
      </c>
      <c r="M63" s="42">
        <f t="shared" si="2"/>
        <v>0</v>
      </c>
      <c r="N63" s="42">
        <f t="shared" si="3"/>
        <v>3.2749999999994728E-2</v>
      </c>
      <c r="O63" s="42">
        <f t="shared" si="10"/>
        <v>3.6388888888883031E-2</v>
      </c>
      <c r="P63" s="42">
        <f t="shared" si="4"/>
        <v>1.8249999999999999E-2</v>
      </c>
    </row>
    <row r="64" spans="1:16" x14ac:dyDescent="0.3">
      <c r="A64" s="47">
        <f t="shared" si="11"/>
        <v>46024</v>
      </c>
      <c r="B64" s="49">
        <f t="shared" si="12"/>
        <v>0.63541666666666652</v>
      </c>
      <c r="C64" s="42">
        <f>'Leden vík data'!V63+P64</f>
        <v>0.61449999999999994</v>
      </c>
      <c r="D64" s="42">
        <f t="shared" si="5"/>
        <v>8.9999999999999993E-3</v>
      </c>
      <c r="E64" s="42">
        <f t="shared" si="6"/>
        <v>8.9999999999999993E-3</v>
      </c>
      <c r="F64" s="42">
        <f t="shared" si="7"/>
        <v>0.5910000000000053</v>
      </c>
      <c r="G64" s="42">
        <f t="shared" si="8"/>
        <v>0</v>
      </c>
      <c r="H64" s="42">
        <f t="shared" si="9"/>
        <v>1.4499999999994628E-2</v>
      </c>
      <c r="I64" s="42">
        <f t="shared" si="0"/>
        <v>-0.60549999999999993</v>
      </c>
      <c r="J64" s="43">
        <f>MIN('Výpočty '!$B$1*0.9, MAX('Výpočty '!$B$1*0.05, J63 + M64 - MIN(O64, MAX(0, J63 - ('Výpočty '!$B$1*0.1))) - P64))</f>
        <v>1</v>
      </c>
      <c r="K64" s="46">
        <f>J64/'Výpočty '!$B$1</f>
        <v>0.05</v>
      </c>
      <c r="L64" s="42">
        <f t="shared" si="1"/>
        <v>0</v>
      </c>
      <c r="M64" s="42">
        <f t="shared" si="2"/>
        <v>0</v>
      </c>
      <c r="N64" s="42">
        <f t="shared" si="3"/>
        <v>1.4499999999994628E-2</v>
      </c>
      <c r="O64" s="42">
        <f t="shared" si="10"/>
        <v>1.6111111111105143E-2</v>
      </c>
      <c r="P64" s="42">
        <f t="shared" si="4"/>
        <v>1.8249999999999999E-2</v>
      </c>
    </row>
    <row r="65" spans="1:16" x14ac:dyDescent="0.3">
      <c r="A65" s="47">
        <f t="shared" si="11"/>
        <v>46024</v>
      </c>
      <c r="B65" s="49">
        <f t="shared" si="12"/>
        <v>0.64583333333333315</v>
      </c>
      <c r="C65" s="42">
        <f>'Leden vík data'!V64+P65</f>
        <v>0.61449999999999994</v>
      </c>
      <c r="D65" s="42">
        <f t="shared" si="5"/>
        <v>4.0000000000000001E-3</v>
      </c>
      <c r="E65" s="42">
        <f t="shared" si="6"/>
        <v>4.0000000000000001E-3</v>
      </c>
      <c r="F65" s="42">
        <f t="shared" si="7"/>
        <v>0.61049999999999993</v>
      </c>
      <c r="G65" s="42">
        <f t="shared" si="8"/>
        <v>0</v>
      </c>
      <c r="H65" s="42">
        <f t="shared" si="9"/>
        <v>0</v>
      </c>
      <c r="I65" s="42">
        <f t="shared" si="0"/>
        <v>-0.61049999999999993</v>
      </c>
      <c r="J65" s="43">
        <f>MIN('Výpočty '!$B$1*0.9, MAX('Výpočty '!$B$1*0.05, J64 + M65 - MIN(O65, MAX(0, J64 - ('Výpočty '!$B$1*0.1))) - P65))</f>
        <v>1</v>
      </c>
      <c r="K65" s="46">
        <f>J65/'Výpočty '!$B$1</f>
        <v>0.05</v>
      </c>
      <c r="L65" s="42">
        <f t="shared" si="1"/>
        <v>0</v>
      </c>
      <c r="M65" s="42">
        <f t="shared" si="2"/>
        <v>0</v>
      </c>
      <c r="N65" s="42">
        <f t="shared" si="3"/>
        <v>0</v>
      </c>
      <c r="O65" s="42">
        <f t="shared" si="10"/>
        <v>0</v>
      </c>
      <c r="P65" s="42">
        <f t="shared" si="4"/>
        <v>1.8249999999999999E-2</v>
      </c>
    </row>
    <row r="66" spans="1:16" x14ac:dyDescent="0.3">
      <c r="A66" s="47">
        <f t="shared" si="11"/>
        <v>46024</v>
      </c>
      <c r="B66" s="49">
        <f t="shared" si="12"/>
        <v>0.65624999999999978</v>
      </c>
      <c r="C66" s="42">
        <f>'Leden vík data'!V65+P66</f>
        <v>0.61449999999999994</v>
      </c>
      <c r="D66" s="42">
        <f t="shared" si="5"/>
        <v>2E-3</v>
      </c>
      <c r="E66" s="42">
        <f t="shared" si="6"/>
        <v>2E-3</v>
      </c>
      <c r="F66" s="42">
        <f t="shared" si="7"/>
        <v>0.61249999999999993</v>
      </c>
      <c r="G66" s="42">
        <f t="shared" si="8"/>
        <v>0</v>
      </c>
      <c r="H66" s="42">
        <f t="shared" si="9"/>
        <v>0</v>
      </c>
      <c r="I66" s="42">
        <f t="shared" si="0"/>
        <v>-0.61249999999999993</v>
      </c>
      <c r="J66" s="43">
        <f>MIN('Výpočty '!$B$1*0.9, MAX('Výpočty '!$B$1*0.05, J65 + M66 - MIN(O66, MAX(0, J65 - ('Výpočty '!$B$1*0.1))) - P66))</f>
        <v>1</v>
      </c>
      <c r="K66" s="46">
        <f>J66/'Výpočty '!$B$1</f>
        <v>0.05</v>
      </c>
      <c r="L66" s="42">
        <f t="shared" si="1"/>
        <v>0</v>
      </c>
      <c r="M66" s="42">
        <f t="shared" si="2"/>
        <v>0</v>
      </c>
      <c r="N66" s="42">
        <f t="shared" si="3"/>
        <v>0</v>
      </c>
      <c r="O66" s="42">
        <f t="shared" si="10"/>
        <v>0</v>
      </c>
      <c r="P66" s="42">
        <f t="shared" si="4"/>
        <v>1.8249999999999999E-2</v>
      </c>
    </row>
    <row r="67" spans="1:16" x14ac:dyDescent="0.3">
      <c r="A67" s="47">
        <f t="shared" si="11"/>
        <v>46024</v>
      </c>
      <c r="B67" s="49">
        <f t="shared" si="12"/>
        <v>0.66666666666666641</v>
      </c>
      <c r="C67" s="42">
        <f>'Leden vík data'!V66+P67</f>
        <v>0.62049999999999994</v>
      </c>
      <c r="D67" s="42">
        <f t="shared" si="5"/>
        <v>1E-3</v>
      </c>
      <c r="E67" s="42">
        <f t="shared" si="6"/>
        <v>1E-3</v>
      </c>
      <c r="F67" s="42">
        <f t="shared" si="7"/>
        <v>0.61949999999999994</v>
      </c>
      <c r="G67" s="42">
        <f t="shared" si="8"/>
        <v>0</v>
      </c>
      <c r="H67" s="42">
        <f t="shared" si="9"/>
        <v>0</v>
      </c>
      <c r="I67" s="42">
        <f t="shared" ref="I67:I98" si="13">E67-C67</f>
        <v>-0.61949999999999994</v>
      </c>
      <c r="J67" s="43">
        <f>MIN('Výpočty '!$B$1*0.9, MAX('Výpočty '!$B$1*0.05, J66 + M67 - MIN(O67, MAX(0, J66 - ('Výpočty '!$B$1*0.1))) - P67))</f>
        <v>1</v>
      </c>
      <c r="K67" s="46">
        <f>J67/'Výpočty '!$B$1</f>
        <v>0.05</v>
      </c>
      <c r="L67" s="42">
        <f t="shared" ref="L67:L98" si="14">M67 * Účinnost_cyklu</f>
        <v>0</v>
      </c>
      <c r="M67" s="42">
        <f t="shared" ref="M67:M98" si="15">MIN(MAX(0, I67), MAX(0, Kapacita_baterie * Soc_Max - J66) / Účinnost_cyklu, Stridac_limit)</f>
        <v>0</v>
      </c>
      <c r="N67" s="42">
        <f t="shared" ref="N67:N98" si="16">MAX(0, MIN(J66 - (Kapacita_baterie * Soc_Kriticke), C67 - D67 + P67))</f>
        <v>0</v>
      </c>
      <c r="O67" s="42">
        <f t="shared" si="10"/>
        <v>0</v>
      </c>
      <c r="P67" s="42">
        <f t="shared" ref="P67:P98" si="17">Vlastní_Spotřeba_kWh</f>
        <v>1.8249999999999999E-2</v>
      </c>
    </row>
    <row r="68" spans="1:16" x14ac:dyDescent="0.3">
      <c r="A68" s="47">
        <f t="shared" si="11"/>
        <v>46024</v>
      </c>
      <c r="B68" s="49">
        <f t="shared" si="12"/>
        <v>0.67708333333333304</v>
      </c>
      <c r="C68" s="42">
        <f>'Leden vík data'!V67+P68</f>
        <v>0.62049999999999994</v>
      </c>
      <c r="D68" s="42">
        <f t="shared" ref="D68:D98" si="18">MIN(C68, E68)</f>
        <v>0</v>
      </c>
      <c r="E68" s="42">
        <f t="shared" ref="E68:E98" si="19">ROUND(MAX(0, 6.9 * EXP(-((HOUR(B68)+MINUTE(B68)/60 - 12)^2) / 2) * 0.25), 3)</f>
        <v>0</v>
      </c>
      <c r="F68" s="42">
        <f t="shared" ref="F68:F98" si="20">MAX(0, C68 - D68 - H68 )</f>
        <v>0.62049999999999994</v>
      </c>
      <c r="G68" s="42">
        <f t="shared" ref="G68:G98" si="21">MAX(0, E68 - D68 - M68)</f>
        <v>0</v>
      </c>
      <c r="H68" s="42">
        <f t="shared" ref="H68:H97" si="22">MAX(0, MIN(C68 - D68, N68 ))</f>
        <v>0</v>
      </c>
      <c r="I68" s="42">
        <f t="shared" si="13"/>
        <v>-0.62049999999999994</v>
      </c>
      <c r="J68" s="43">
        <f>MIN('Výpočty '!$B$1*0.9, MAX('Výpočty '!$B$1*0.05, J67 + M68 - MIN(O68, MAX(0, J67 - ('Výpočty '!$B$1*0.1))) - P68))</f>
        <v>1</v>
      </c>
      <c r="K68" s="46">
        <f>J68/'Výpočty '!$B$1</f>
        <v>0.05</v>
      </c>
      <c r="L68" s="42">
        <f t="shared" si="14"/>
        <v>0</v>
      </c>
      <c r="M68" s="42">
        <f t="shared" si="15"/>
        <v>0</v>
      </c>
      <c r="N68" s="42">
        <f t="shared" si="16"/>
        <v>0</v>
      </c>
      <c r="O68" s="42">
        <f t="shared" ref="O68:O98" si="23">N68 / Účinnost_cyklu</f>
        <v>0</v>
      </c>
      <c r="P68" s="42">
        <f t="shared" si="17"/>
        <v>1.8249999999999999E-2</v>
      </c>
    </row>
    <row r="69" spans="1:16" x14ac:dyDescent="0.3">
      <c r="A69" s="47">
        <f t="shared" ref="A69:A98" si="24">DATE(2026,1,2)</f>
        <v>46024</v>
      </c>
      <c r="B69" s="49">
        <f t="shared" ref="B69:B98" si="25">B68+TIME(0,15,0)</f>
        <v>0.68749999999999967</v>
      </c>
      <c r="C69" s="42">
        <f>'Leden vík data'!V68+P69</f>
        <v>0.62049999999999994</v>
      </c>
      <c r="D69" s="42">
        <f t="shared" si="18"/>
        <v>0</v>
      </c>
      <c r="E69" s="42">
        <f t="shared" si="19"/>
        <v>0</v>
      </c>
      <c r="F69" s="42">
        <f t="shared" si="20"/>
        <v>0.62049999999999994</v>
      </c>
      <c r="G69" s="42">
        <f t="shared" si="21"/>
        <v>0</v>
      </c>
      <c r="H69" s="42">
        <f t="shared" si="22"/>
        <v>0</v>
      </c>
      <c r="I69" s="42">
        <f t="shared" si="13"/>
        <v>-0.62049999999999994</v>
      </c>
      <c r="J69" s="43">
        <f>MIN('Výpočty '!$B$1*0.9, MAX('Výpočty '!$B$1*0.05, J68 + M69 - MIN(O69, MAX(0, J68 - ('Výpočty '!$B$1*0.1))) - P69))</f>
        <v>1</v>
      </c>
      <c r="K69" s="46">
        <f>J69/'Výpočty '!$B$1</f>
        <v>0.05</v>
      </c>
      <c r="L69" s="42">
        <f t="shared" si="14"/>
        <v>0</v>
      </c>
      <c r="M69" s="42">
        <f t="shared" si="15"/>
        <v>0</v>
      </c>
      <c r="N69" s="42">
        <f t="shared" si="16"/>
        <v>0</v>
      </c>
      <c r="O69" s="42">
        <f t="shared" si="23"/>
        <v>0</v>
      </c>
      <c r="P69" s="42">
        <f t="shared" si="17"/>
        <v>1.8249999999999999E-2</v>
      </c>
    </row>
    <row r="70" spans="1:16" x14ac:dyDescent="0.3">
      <c r="A70" s="47">
        <f t="shared" si="24"/>
        <v>46024</v>
      </c>
      <c r="B70" s="49">
        <f t="shared" si="25"/>
        <v>0.6979166666666663</v>
      </c>
      <c r="C70" s="42">
        <f>'Leden vík data'!V69+P70</f>
        <v>0.65299999999999991</v>
      </c>
      <c r="D70" s="42">
        <f t="shared" si="18"/>
        <v>0</v>
      </c>
      <c r="E70" s="42">
        <f t="shared" si="19"/>
        <v>0</v>
      </c>
      <c r="F70" s="42">
        <f t="shared" si="20"/>
        <v>0.65299999999999991</v>
      </c>
      <c r="G70" s="42">
        <f t="shared" si="21"/>
        <v>0</v>
      </c>
      <c r="H70" s="42">
        <f t="shared" si="22"/>
        <v>0</v>
      </c>
      <c r="I70" s="42">
        <f t="shared" si="13"/>
        <v>-0.65299999999999991</v>
      </c>
      <c r="J70" s="43">
        <f>MIN('Výpočty '!$B$1*0.9, MAX('Výpočty '!$B$1*0.05, J69 + M70 - MIN(O70, MAX(0, J69 - ('Výpočty '!$B$1*0.1))) - P70))</f>
        <v>1</v>
      </c>
      <c r="K70" s="46">
        <f>J70/'Výpočty '!$B$1</f>
        <v>0.05</v>
      </c>
      <c r="L70" s="42">
        <f t="shared" si="14"/>
        <v>0</v>
      </c>
      <c r="M70" s="42">
        <f t="shared" si="15"/>
        <v>0</v>
      </c>
      <c r="N70" s="42">
        <f t="shared" si="16"/>
        <v>0</v>
      </c>
      <c r="O70" s="42">
        <f t="shared" si="23"/>
        <v>0</v>
      </c>
      <c r="P70" s="42">
        <f t="shared" si="17"/>
        <v>1.8249999999999999E-2</v>
      </c>
    </row>
    <row r="71" spans="1:16" x14ac:dyDescent="0.3">
      <c r="A71" s="47">
        <f t="shared" si="24"/>
        <v>46024</v>
      </c>
      <c r="B71" s="49">
        <f t="shared" si="25"/>
        <v>0.70833333333333293</v>
      </c>
      <c r="C71" s="42">
        <f>'Leden vík data'!V70+P71</f>
        <v>0.99549999999999994</v>
      </c>
      <c r="D71" s="42">
        <f t="shared" si="18"/>
        <v>0</v>
      </c>
      <c r="E71" s="42">
        <f t="shared" si="19"/>
        <v>0</v>
      </c>
      <c r="F71" s="42">
        <f t="shared" si="20"/>
        <v>0.99549999999999994</v>
      </c>
      <c r="G71" s="42">
        <f t="shared" si="21"/>
        <v>0</v>
      </c>
      <c r="H71" s="42">
        <f t="shared" si="22"/>
        <v>0</v>
      </c>
      <c r="I71" s="42">
        <f t="shared" si="13"/>
        <v>-0.99549999999999994</v>
      </c>
      <c r="J71" s="43">
        <f>MIN('Výpočty '!$B$1*0.9, MAX('Výpočty '!$B$1*0.05, J70 + M71 - MIN(O71, MAX(0, J70 - ('Výpočty '!$B$1*0.1))) - P71))</f>
        <v>1</v>
      </c>
      <c r="K71" s="46">
        <f>J71/'Výpočty '!$B$1</f>
        <v>0.05</v>
      </c>
      <c r="L71" s="42">
        <f t="shared" si="14"/>
        <v>0</v>
      </c>
      <c r="M71" s="42">
        <f t="shared" si="15"/>
        <v>0</v>
      </c>
      <c r="N71" s="42">
        <f t="shared" si="16"/>
        <v>0</v>
      </c>
      <c r="O71" s="42">
        <f t="shared" si="23"/>
        <v>0</v>
      </c>
      <c r="P71" s="42">
        <f t="shared" si="17"/>
        <v>1.8249999999999999E-2</v>
      </c>
    </row>
    <row r="72" spans="1:16" x14ac:dyDescent="0.3">
      <c r="A72" s="47">
        <f t="shared" si="24"/>
        <v>46024</v>
      </c>
      <c r="B72" s="49">
        <f t="shared" si="25"/>
        <v>0.71874999999999956</v>
      </c>
      <c r="C72" s="42">
        <f>'Leden vík data'!V71+P72</f>
        <v>0.62049999999999994</v>
      </c>
      <c r="D72" s="42">
        <f t="shared" si="18"/>
        <v>0</v>
      </c>
      <c r="E72" s="42">
        <f t="shared" si="19"/>
        <v>0</v>
      </c>
      <c r="F72" s="42">
        <f t="shared" si="20"/>
        <v>0.62049999999999994</v>
      </c>
      <c r="G72" s="42">
        <f t="shared" si="21"/>
        <v>0</v>
      </c>
      <c r="H72" s="42">
        <f t="shared" si="22"/>
        <v>0</v>
      </c>
      <c r="I72" s="42">
        <f t="shared" si="13"/>
        <v>-0.62049999999999994</v>
      </c>
      <c r="J72" s="43">
        <f>MIN('Výpočty '!$B$1*0.9, MAX('Výpočty '!$B$1*0.05, J71 + M72 - MIN(O72, MAX(0, J71 - ('Výpočty '!$B$1*0.1))) - P72))</f>
        <v>1</v>
      </c>
      <c r="K72" s="46">
        <f>J72/'Výpočty '!$B$1</f>
        <v>0.05</v>
      </c>
      <c r="L72" s="42">
        <f t="shared" si="14"/>
        <v>0</v>
      </c>
      <c r="M72" s="42">
        <f t="shared" si="15"/>
        <v>0</v>
      </c>
      <c r="N72" s="42">
        <f t="shared" si="16"/>
        <v>0</v>
      </c>
      <c r="O72" s="42">
        <f t="shared" si="23"/>
        <v>0</v>
      </c>
      <c r="P72" s="42">
        <f t="shared" si="17"/>
        <v>1.8249999999999999E-2</v>
      </c>
    </row>
    <row r="73" spans="1:16" x14ac:dyDescent="0.3">
      <c r="A73" s="47">
        <f t="shared" si="24"/>
        <v>46024</v>
      </c>
      <c r="B73" s="49">
        <f t="shared" si="25"/>
        <v>0.72916666666666619</v>
      </c>
      <c r="C73" s="42">
        <f>'Leden vík data'!V72+P73</f>
        <v>0.62049999999999994</v>
      </c>
      <c r="D73" s="42">
        <f t="shared" si="18"/>
        <v>0</v>
      </c>
      <c r="E73" s="42">
        <f t="shared" si="19"/>
        <v>0</v>
      </c>
      <c r="F73" s="42">
        <f t="shared" si="20"/>
        <v>0.62049999999999994</v>
      </c>
      <c r="G73" s="42">
        <f t="shared" si="21"/>
        <v>0</v>
      </c>
      <c r="H73" s="42">
        <f t="shared" si="22"/>
        <v>0</v>
      </c>
      <c r="I73" s="42">
        <f t="shared" si="13"/>
        <v>-0.62049999999999994</v>
      </c>
      <c r="J73" s="43">
        <f>MIN('Výpočty '!$B$1*0.9, MAX('Výpočty '!$B$1*0.05, J72 + M73 - MIN(O73, MAX(0, J72 - ('Výpočty '!$B$1*0.1))) - P73))</f>
        <v>1</v>
      </c>
      <c r="K73" s="46">
        <f>J73/'Výpočty '!$B$1</f>
        <v>0.05</v>
      </c>
      <c r="L73" s="42">
        <f t="shared" si="14"/>
        <v>0</v>
      </c>
      <c r="M73" s="42">
        <f t="shared" si="15"/>
        <v>0</v>
      </c>
      <c r="N73" s="42">
        <f t="shared" si="16"/>
        <v>0</v>
      </c>
      <c r="O73" s="42">
        <f t="shared" si="23"/>
        <v>0</v>
      </c>
      <c r="P73" s="42">
        <f t="shared" si="17"/>
        <v>1.8249999999999999E-2</v>
      </c>
    </row>
    <row r="74" spans="1:16" x14ac:dyDescent="0.3">
      <c r="A74" s="47">
        <f t="shared" si="24"/>
        <v>46024</v>
      </c>
      <c r="B74" s="49">
        <f t="shared" si="25"/>
        <v>0.73958333333333282</v>
      </c>
      <c r="C74" s="42">
        <f>'Leden vík data'!V73+P74</f>
        <v>0.59924999999999995</v>
      </c>
      <c r="D74" s="42">
        <f t="shared" si="18"/>
        <v>0</v>
      </c>
      <c r="E74" s="42">
        <f t="shared" si="19"/>
        <v>0</v>
      </c>
      <c r="F74" s="42">
        <f t="shared" si="20"/>
        <v>0.59924999999999995</v>
      </c>
      <c r="G74" s="42">
        <f t="shared" si="21"/>
        <v>0</v>
      </c>
      <c r="H74" s="42">
        <f t="shared" si="22"/>
        <v>0</v>
      </c>
      <c r="I74" s="42">
        <f t="shared" si="13"/>
        <v>-0.59924999999999995</v>
      </c>
      <c r="J74" s="43">
        <f>MIN('Výpočty '!$B$1*0.9, MAX('Výpočty '!$B$1*0.05, J73 + M74 - MIN(O74, MAX(0, J73 - ('Výpočty '!$B$1*0.1))) - P74))</f>
        <v>1</v>
      </c>
      <c r="K74" s="46">
        <f>J74/'Výpočty '!$B$1</f>
        <v>0.05</v>
      </c>
      <c r="L74" s="42">
        <f t="shared" si="14"/>
        <v>0</v>
      </c>
      <c r="M74" s="42">
        <f t="shared" si="15"/>
        <v>0</v>
      </c>
      <c r="N74" s="42">
        <f t="shared" si="16"/>
        <v>0</v>
      </c>
      <c r="O74" s="42">
        <f t="shared" si="23"/>
        <v>0</v>
      </c>
      <c r="P74" s="42">
        <f t="shared" si="17"/>
        <v>1.8249999999999999E-2</v>
      </c>
    </row>
    <row r="75" spans="1:16" x14ac:dyDescent="0.3">
      <c r="A75" s="47">
        <f t="shared" si="24"/>
        <v>46024</v>
      </c>
      <c r="B75" s="49">
        <f t="shared" si="25"/>
        <v>0.74999999999999944</v>
      </c>
      <c r="C75" s="42">
        <f>'Leden vík data'!V74+P75</f>
        <v>0.59924999999999995</v>
      </c>
      <c r="D75" s="42">
        <f t="shared" si="18"/>
        <v>0</v>
      </c>
      <c r="E75" s="42">
        <f t="shared" si="19"/>
        <v>0</v>
      </c>
      <c r="F75" s="42">
        <f t="shared" si="20"/>
        <v>0.59924999999999995</v>
      </c>
      <c r="G75" s="42">
        <f t="shared" si="21"/>
        <v>0</v>
      </c>
      <c r="H75" s="42">
        <f t="shared" si="22"/>
        <v>0</v>
      </c>
      <c r="I75" s="42">
        <f t="shared" si="13"/>
        <v>-0.59924999999999995</v>
      </c>
      <c r="J75" s="43">
        <f>MIN('Výpočty '!$B$1*0.9, MAX('Výpočty '!$B$1*0.05, J74 + M75 - MIN(O75, MAX(0, J74 - ('Výpočty '!$B$1*0.1))) - P75))</f>
        <v>1</v>
      </c>
      <c r="K75" s="46">
        <f>J75/'Výpočty '!$B$1</f>
        <v>0.05</v>
      </c>
      <c r="L75" s="42">
        <f t="shared" si="14"/>
        <v>0</v>
      </c>
      <c r="M75" s="42">
        <f t="shared" si="15"/>
        <v>0</v>
      </c>
      <c r="N75" s="42">
        <f t="shared" si="16"/>
        <v>0</v>
      </c>
      <c r="O75" s="42">
        <f t="shared" si="23"/>
        <v>0</v>
      </c>
      <c r="P75" s="42">
        <f t="shared" si="17"/>
        <v>1.8249999999999999E-2</v>
      </c>
    </row>
    <row r="76" spans="1:16" x14ac:dyDescent="0.3">
      <c r="A76" s="47">
        <f t="shared" si="24"/>
        <v>46024</v>
      </c>
      <c r="B76" s="49">
        <f t="shared" si="25"/>
        <v>0.76041666666666607</v>
      </c>
      <c r="C76" s="42">
        <f>'Leden vík data'!V75+P76</f>
        <v>0.54374999999999996</v>
      </c>
      <c r="D76" s="42">
        <f t="shared" si="18"/>
        <v>0</v>
      </c>
      <c r="E76" s="42">
        <f t="shared" si="19"/>
        <v>0</v>
      </c>
      <c r="F76" s="42">
        <f t="shared" si="20"/>
        <v>0.54374999999999996</v>
      </c>
      <c r="G76" s="42">
        <f t="shared" si="21"/>
        <v>0</v>
      </c>
      <c r="H76" s="42">
        <f t="shared" si="22"/>
        <v>0</v>
      </c>
      <c r="I76" s="42">
        <f t="shared" si="13"/>
        <v>-0.54374999999999996</v>
      </c>
      <c r="J76" s="43">
        <f>MIN('Výpočty '!$B$1*0.9, MAX('Výpočty '!$B$1*0.05, J75 + M76 - MIN(O76, MAX(0, J75 - ('Výpočty '!$B$1*0.1))) - P76))</f>
        <v>1</v>
      </c>
      <c r="K76" s="46">
        <f>J76/'Výpočty '!$B$1</f>
        <v>0.05</v>
      </c>
      <c r="L76" s="42">
        <f t="shared" si="14"/>
        <v>0</v>
      </c>
      <c r="M76" s="42">
        <f t="shared" si="15"/>
        <v>0</v>
      </c>
      <c r="N76" s="42">
        <f t="shared" si="16"/>
        <v>0</v>
      </c>
      <c r="O76" s="42">
        <f t="shared" si="23"/>
        <v>0</v>
      </c>
      <c r="P76" s="42">
        <f t="shared" si="17"/>
        <v>1.8249999999999999E-2</v>
      </c>
    </row>
    <row r="77" spans="1:16" x14ac:dyDescent="0.3">
      <c r="A77" s="47">
        <f t="shared" si="24"/>
        <v>46024</v>
      </c>
      <c r="B77" s="49">
        <f t="shared" si="25"/>
        <v>0.7708333333333327</v>
      </c>
      <c r="C77" s="42">
        <f>'Leden vík data'!V76+P77</f>
        <v>2.5437500000000002</v>
      </c>
      <c r="D77" s="42">
        <f t="shared" si="18"/>
        <v>0</v>
      </c>
      <c r="E77" s="42">
        <f t="shared" si="19"/>
        <v>0</v>
      </c>
      <c r="F77" s="42">
        <f t="shared" si="20"/>
        <v>2.5437500000000002</v>
      </c>
      <c r="G77" s="42">
        <f t="shared" si="21"/>
        <v>0</v>
      </c>
      <c r="H77" s="42">
        <f t="shared" si="22"/>
        <v>0</v>
      </c>
      <c r="I77" s="42">
        <f t="shared" si="13"/>
        <v>-2.5437500000000002</v>
      </c>
      <c r="J77" s="43">
        <f>MIN('Výpočty '!$B$1*0.9, MAX('Výpočty '!$B$1*0.05, J76 + M77 - MIN(O77, MAX(0, J76 - ('Výpočty '!$B$1*0.1))) - P77))</f>
        <v>1</v>
      </c>
      <c r="K77" s="46">
        <f>J77/'Výpočty '!$B$1</f>
        <v>0.05</v>
      </c>
      <c r="L77" s="42">
        <f t="shared" si="14"/>
        <v>0</v>
      </c>
      <c r="M77" s="42">
        <f t="shared" si="15"/>
        <v>0</v>
      </c>
      <c r="N77" s="42">
        <f t="shared" si="16"/>
        <v>0</v>
      </c>
      <c r="O77" s="42">
        <f t="shared" si="23"/>
        <v>0</v>
      </c>
      <c r="P77" s="42">
        <f t="shared" si="17"/>
        <v>1.8249999999999999E-2</v>
      </c>
    </row>
    <row r="78" spans="1:16" x14ac:dyDescent="0.3">
      <c r="A78" s="47">
        <f t="shared" si="24"/>
        <v>46024</v>
      </c>
      <c r="B78" s="49">
        <f t="shared" si="25"/>
        <v>0.78124999999999933</v>
      </c>
      <c r="C78" s="42">
        <f>'Leden vík data'!V77+P78</f>
        <v>2.5437500000000002</v>
      </c>
      <c r="D78" s="42">
        <f t="shared" si="18"/>
        <v>0</v>
      </c>
      <c r="E78" s="42">
        <f t="shared" si="19"/>
        <v>0</v>
      </c>
      <c r="F78" s="42">
        <f t="shared" si="20"/>
        <v>2.5437500000000002</v>
      </c>
      <c r="G78" s="42">
        <f t="shared" si="21"/>
        <v>0</v>
      </c>
      <c r="H78" s="42">
        <f t="shared" si="22"/>
        <v>0</v>
      </c>
      <c r="I78" s="42">
        <f t="shared" si="13"/>
        <v>-2.5437500000000002</v>
      </c>
      <c r="J78" s="43">
        <f>MIN('Výpočty '!$B$1*0.9, MAX('Výpočty '!$B$1*0.05, J77 + M78 - MIN(O78, MAX(0, J77 - ('Výpočty '!$B$1*0.1))) - P78))</f>
        <v>1</v>
      </c>
      <c r="K78" s="46">
        <f>J78/'Výpočty '!$B$1</f>
        <v>0.05</v>
      </c>
      <c r="L78" s="42">
        <f t="shared" si="14"/>
        <v>0</v>
      </c>
      <c r="M78" s="42">
        <f t="shared" si="15"/>
        <v>0</v>
      </c>
      <c r="N78" s="42">
        <f t="shared" si="16"/>
        <v>0</v>
      </c>
      <c r="O78" s="42">
        <f t="shared" si="23"/>
        <v>0</v>
      </c>
      <c r="P78" s="42">
        <f t="shared" si="17"/>
        <v>1.8249999999999999E-2</v>
      </c>
    </row>
    <row r="79" spans="1:16" x14ac:dyDescent="0.3">
      <c r="A79" s="47">
        <f t="shared" si="24"/>
        <v>46024</v>
      </c>
      <c r="B79" s="49">
        <f t="shared" si="25"/>
        <v>0.79166666666666596</v>
      </c>
      <c r="C79" s="42">
        <f>'Leden vík data'!V78+P79</f>
        <v>2.5437500000000002</v>
      </c>
      <c r="D79" s="42">
        <f t="shared" si="18"/>
        <v>0</v>
      </c>
      <c r="E79" s="42">
        <f t="shared" si="19"/>
        <v>0</v>
      </c>
      <c r="F79" s="42">
        <f t="shared" si="20"/>
        <v>2.5437500000000002</v>
      </c>
      <c r="G79" s="42">
        <f t="shared" si="21"/>
        <v>0</v>
      </c>
      <c r="H79" s="42">
        <f t="shared" si="22"/>
        <v>0</v>
      </c>
      <c r="I79" s="42">
        <f t="shared" si="13"/>
        <v>-2.5437500000000002</v>
      </c>
      <c r="J79" s="43">
        <f>MIN('Výpočty '!$B$1*0.9, MAX('Výpočty '!$B$1*0.05, J78 + M79 - MIN(O79, MAX(0, J78 - ('Výpočty '!$B$1*0.1))) - P79))</f>
        <v>1</v>
      </c>
      <c r="K79" s="46">
        <f>J79/'Výpočty '!$B$1</f>
        <v>0.05</v>
      </c>
      <c r="L79" s="42">
        <f t="shared" si="14"/>
        <v>0</v>
      </c>
      <c r="M79" s="42">
        <f t="shared" si="15"/>
        <v>0</v>
      </c>
      <c r="N79" s="42">
        <f t="shared" si="16"/>
        <v>0</v>
      </c>
      <c r="O79" s="42">
        <f t="shared" si="23"/>
        <v>0</v>
      </c>
      <c r="P79" s="42">
        <f t="shared" si="17"/>
        <v>1.8249999999999999E-2</v>
      </c>
    </row>
    <row r="80" spans="1:16" x14ac:dyDescent="0.3">
      <c r="A80" s="47">
        <f t="shared" si="24"/>
        <v>46024</v>
      </c>
      <c r="B80" s="49">
        <f t="shared" si="25"/>
        <v>0.80208333333333259</v>
      </c>
      <c r="C80" s="42">
        <f>'Leden vík data'!V79+P80</f>
        <v>1.0649999999999999</v>
      </c>
      <c r="D80" s="42">
        <f t="shared" si="18"/>
        <v>0</v>
      </c>
      <c r="E80" s="42">
        <f t="shared" si="19"/>
        <v>0</v>
      </c>
      <c r="F80" s="42">
        <f t="shared" si="20"/>
        <v>1.0649999999999999</v>
      </c>
      <c r="G80" s="42">
        <f t="shared" si="21"/>
        <v>0</v>
      </c>
      <c r="H80" s="42">
        <f t="shared" si="22"/>
        <v>0</v>
      </c>
      <c r="I80" s="42">
        <f t="shared" si="13"/>
        <v>-1.0649999999999999</v>
      </c>
      <c r="J80" s="43">
        <f>MIN('Výpočty '!$B$1*0.9, MAX('Výpočty '!$B$1*0.05, J79 + M80 - MIN(O80, MAX(0, J79 - ('Výpočty '!$B$1*0.1))) - P80))</f>
        <v>1</v>
      </c>
      <c r="K80" s="46">
        <f>J80/'Výpočty '!$B$1</f>
        <v>0.05</v>
      </c>
      <c r="L80" s="42">
        <f t="shared" si="14"/>
        <v>0</v>
      </c>
      <c r="M80" s="42">
        <f t="shared" si="15"/>
        <v>0</v>
      </c>
      <c r="N80" s="42">
        <f t="shared" si="16"/>
        <v>0</v>
      </c>
      <c r="O80" s="42">
        <f t="shared" si="23"/>
        <v>0</v>
      </c>
      <c r="P80" s="42">
        <f t="shared" si="17"/>
        <v>1.8249999999999999E-2</v>
      </c>
    </row>
    <row r="81" spans="1:16" x14ac:dyDescent="0.3">
      <c r="A81" s="47">
        <f t="shared" si="24"/>
        <v>46024</v>
      </c>
      <c r="B81" s="49">
        <f t="shared" si="25"/>
        <v>0.81249999999999922</v>
      </c>
      <c r="C81" s="42">
        <f>'Leden vík data'!V80+P81</f>
        <v>1.0649999999999999</v>
      </c>
      <c r="D81" s="42">
        <f t="shared" si="18"/>
        <v>0</v>
      </c>
      <c r="E81" s="42">
        <f t="shared" si="19"/>
        <v>0</v>
      </c>
      <c r="F81" s="42">
        <f t="shared" si="20"/>
        <v>1.0649999999999999</v>
      </c>
      <c r="G81" s="42">
        <f t="shared" si="21"/>
        <v>0</v>
      </c>
      <c r="H81" s="42">
        <f t="shared" si="22"/>
        <v>0</v>
      </c>
      <c r="I81" s="42">
        <f t="shared" si="13"/>
        <v>-1.0649999999999999</v>
      </c>
      <c r="J81" s="43">
        <f>MIN('Výpočty '!$B$1*0.9, MAX('Výpočty '!$B$1*0.05, J80 + M81 - MIN(O81, MAX(0, J80 - ('Výpočty '!$B$1*0.1))) - P81))</f>
        <v>1</v>
      </c>
      <c r="K81" s="46">
        <f>J81/'Výpočty '!$B$1</f>
        <v>0.05</v>
      </c>
      <c r="L81" s="42">
        <f t="shared" si="14"/>
        <v>0</v>
      </c>
      <c r="M81" s="42">
        <f t="shared" si="15"/>
        <v>0</v>
      </c>
      <c r="N81" s="42">
        <f t="shared" si="16"/>
        <v>0</v>
      </c>
      <c r="O81" s="42">
        <f t="shared" si="23"/>
        <v>0</v>
      </c>
      <c r="P81" s="42">
        <f t="shared" si="17"/>
        <v>1.8249999999999999E-2</v>
      </c>
    </row>
    <row r="82" spans="1:16" x14ac:dyDescent="0.3">
      <c r="A82" s="47">
        <f t="shared" si="24"/>
        <v>46024</v>
      </c>
      <c r="B82" s="49">
        <f t="shared" si="25"/>
        <v>0.82291666666666585</v>
      </c>
      <c r="C82" s="42">
        <f>'Leden vík data'!V81+P82</f>
        <v>0.56499999999999995</v>
      </c>
      <c r="D82" s="42">
        <f t="shared" si="18"/>
        <v>0</v>
      </c>
      <c r="E82" s="42">
        <f t="shared" si="19"/>
        <v>0</v>
      </c>
      <c r="F82" s="42">
        <f t="shared" si="20"/>
        <v>0.56499999999999995</v>
      </c>
      <c r="G82" s="42">
        <f t="shared" si="21"/>
        <v>0</v>
      </c>
      <c r="H82" s="42">
        <f t="shared" si="22"/>
        <v>0</v>
      </c>
      <c r="I82" s="42">
        <f t="shared" si="13"/>
        <v>-0.56499999999999995</v>
      </c>
      <c r="J82" s="43">
        <f>MIN('Výpočty '!$B$1*0.9, MAX('Výpočty '!$B$1*0.05, J81 + M82 - MIN(O82, MAX(0, J81 - ('Výpočty '!$B$1*0.1))) - P82))</f>
        <v>1</v>
      </c>
      <c r="K82" s="46">
        <f>J82/'Výpočty '!$B$1</f>
        <v>0.05</v>
      </c>
      <c r="L82" s="42">
        <f t="shared" si="14"/>
        <v>0</v>
      </c>
      <c r="M82" s="42">
        <f t="shared" si="15"/>
        <v>0</v>
      </c>
      <c r="N82" s="42">
        <f t="shared" si="16"/>
        <v>0</v>
      </c>
      <c r="O82" s="42">
        <f t="shared" si="23"/>
        <v>0</v>
      </c>
      <c r="P82" s="42">
        <f t="shared" si="17"/>
        <v>1.8249999999999999E-2</v>
      </c>
    </row>
    <row r="83" spans="1:16" x14ac:dyDescent="0.3">
      <c r="A83" s="47">
        <f t="shared" si="24"/>
        <v>46024</v>
      </c>
      <c r="B83" s="49">
        <f t="shared" si="25"/>
        <v>0.83333333333333248</v>
      </c>
      <c r="C83" s="42">
        <f>'Leden vík data'!V82+P83</f>
        <v>0.59949999999999992</v>
      </c>
      <c r="D83" s="42">
        <f t="shared" si="18"/>
        <v>0</v>
      </c>
      <c r="E83" s="42">
        <f t="shared" si="19"/>
        <v>0</v>
      </c>
      <c r="F83" s="42">
        <f t="shared" si="20"/>
        <v>0.59949999999999992</v>
      </c>
      <c r="G83" s="42">
        <f t="shared" si="21"/>
        <v>0</v>
      </c>
      <c r="H83" s="42">
        <f t="shared" si="22"/>
        <v>0</v>
      </c>
      <c r="I83" s="42">
        <f t="shared" si="13"/>
        <v>-0.59949999999999992</v>
      </c>
      <c r="J83" s="43">
        <f>MIN('Výpočty '!$B$1*0.9, MAX('Výpočty '!$B$1*0.05, J82 + M83 - MIN(O83, MAX(0, J82 - ('Výpočty '!$B$1*0.1))) - P83))</f>
        <v>1</v>
      </c>
      <c r="K83" s="46">
        <f>J83/'Výpočty '!$B$1</f>
        <v>0.05</v>
      </c>
      <c r="L83" s="42">
        <f t="shared" si="14"/>
        <v>0</v>
      </c>
      <c r="M83" s="42">
        <f t="shared" si="15"/>
        <v>0</v>
      </c>
      <c r="N83" s="42">
        <f t="shared" si="16"/>
        <v>0</v>
      </c>
      <c r="O83" s="42">
        <f t="shared" si="23"/>
        <v>0</v>
      </c>
      <c r="P83" s="42">
        <f t="shared" si="17"/>
        <v>1.8249999999999999E-2</v>
      </c>
    </row>
    <row r="84" spans="1:16" x14ac:dyDescent="0.3">
      <c r="A84" s="47">
        <f t="shared" si="24"/>
        <v>46024</v>
      </c>
      <c r="B84" s="49">
        <f t="shared" si="25"/>
        <v>0.84374999999999911</v>
      </c>
      <c r="C84" s="42">
        <f>'Leden vík data'!V83+P84</f>
        <v>0.59949999999999992</v>
      </c>
      <c r="D84" s="42">
        <f t="shared" si="18"/>
        <v>0</v>
      </c>
      <c r="E84" s="42">
        <f t="shared" si="19"/>
        <v>0</v>
      </c>
      <c r="F84" s="42">
        <f t="shared" si="20"/>
        <v>0.59949999999999992</v>
      </c>
      <c r="G84" s="42">
        <f t="shared" si="21"/>
        <v>0</v>
      </c>
      <c r="H84" s="42">
        <f t="shared" si="22"/>
        <v>0</v>
      </c>
      <c r="I84" s="42">
        <f t="shared" si="13"/>
        <v>-0.59949999999999992</v>
      </c>
      <c r="J84" s="43">
        <f>MIN('Výpočty '!$B$1*0.9, MAX('Výpočty '!$B$1*0.05, J83 + M84 - MIN(O84, MAX(0, J83 - ('Výpočty '!$B$1*0.1))) - P84))</f>
        <v>1</v>
      </c>
      <c r="K84" s="46">
        <f>J84/'Výpočty '!$B$1</f>
        <v>0.05</v>
      </c>
      <c r="L84" s="42">
        <f t="shared" si="14"/>
        <v>0</v>
      </c>
      <c r="M84" s="42">
        <f t="shared" si="15"/>
        <v>0</v>
      </c>
      <c r="N84" s="42">
        <f t="shared" si="16"/>
        <v>0</v>
      </c>
      <c r="O84" s="42">
        <f t="shared" si="23"/>
        <v>0</v>
      </c>
      <c r="P84" s="42">
        <f t="shared" si="17"/>
        <v>1.8249999999999999E-2</v>
      </c>
    </row>
    <row r="85" spans="1:16" x14ac:dyDescent="0.3">
      <c r="A85" s="47">
        <f t="shared" si="24"/>
        <v>46024</v>
      </c>
      <c r="B85" s="49">
        <f t="shared" si="25"/>
        <v>0.85416666666666574</v>
      </c>
      <c r="C85" s="42">
        <f>'Leden vík data'!V84+P85</f>
        <v>0.60324999999999995</v>
      </c>
      <c r="D85" s="42">
        <f t="shared" si="18"/>
        <v>0</v>
      </c>
      <c r="E85" s="42">
        <f t="shared" si="19"/>
        <v>0</v>
      </c>
      <c r="F85" s="42">
        <f t="shared" si="20"/>
        <v>0.60324999999999995</v>
      </c>
      <c r="G85" s="42">
        <f t="shared" si="21"/>
        <v>0</v>
      </c>
      <c r="H85" s="42">
        <f t="shared" si="22"/>
        <v>0</v>
      </c>
      <c r="I85" s="42">
        <f t="shared" si="13"/>
        <v>-0.60324999999999995</v>
      </c>
      <c r="J85" s="43">
        <f>MIN('Výpočty '!$B$1*0.9, MAX('Výpočty '!$B$1*0.05, J84 + M85 - MIN(O85, MAX(0, J84 - ('Výpočty '!$B$1*0.1))) - P85))</f>
        <v>1</v>
      </c>
      <c r="K85" s="46">
        <f>J85/'Výpočty '!$B$1</f>
        <v>0.05</v>
      </c>
      <c r="L85" s="42">
        <f t="shared" si="14"/>
        <v>0</v>
      </c>
      <c r="M85" s="42">
        <f t="shared" si="15"/>
        <v>0</v>
      </c>
      <c r="N85" s="42">
        <f t="shared" si="16"/>
        <v>0</v>
      </c>
      <c r="O85" s="42">
        <f t="shared" si="23"/>
        <v>0</v>
      </c>
      <c r="P85" s="42">
        <f t="shared" si="17"/>
        <v>1.8249999999999999E-2</v>
      </c>
    </row>
    <row r="86" spans="1:16" x14ac:dyDescent="0.3">
      <c r="A86" s="47">
        <f t="shared" si="24"/>
        <v>46024</v>
      </c>
      <c r="B86" s="49">
        <f t="shared" si="25"/>
        <v>0.86458333333333237</v>
      </c>
      <c r="C86" s="42">
        <f>'Leden vík data'!V85+P86</f>
        <v>0.65325</v>
      </c>
      <c r="D86" s="42">
        <f t="shared" si="18"/>
        <v>0</v>
      </c>
      <c r="E86" s="42">
        <f t="shared" si="19"/>
        <v>0</v>
      </c>
      <c r="F86" s="42">
        <f t="shared" si="20"/>
        <v>0.65325</v>
      </c>
      <c r="G86" s="42">
        <f t="shared" si="21"/>
        <v>0</v>
      </c>
      <c r="H86" s="42">
        <f t="shared" si="22"/>
        <v>0</v>
      </c>
      <c r="I86" s="42">
        <f t="shared" si="13"/>
        <v>-0.65325</v>
      </c>
      <c r="J86" s="43">
        <f>MIN('Výpočty '!$B$1*0.9, MAX('Výpočty '!$B$1*0.05, J85 + M86 - MIN(O86, MAX(0, J85 - ('Výpočty '!$B$1*0.1))) - P86))</f>
        <v>1</v>
      </c>
      <c r="K86" s="46">
        <f>J86/'Výpočty '!$B$1</f>
        <v>0.05</v>
      </c>
      <c r="L86" s="42">
        <f t="shared" si="14"/>
        <v>0</v>
      </c>
      <c r="M86" s="42">
        <f t="shared" si="15"/>
        <v>0</v>
      </c>
      <c r="N86" s="42">
        <f t="shared" si="16"/>
        <v>0</v>
      </c>
      <c r="O86" s="42">
        <f t="shared" si="23"/>
        <v>0</v>
      </c>
      <c r="P86" s="42">
        <f t="shared" si="17"/>
        <v>1.8249999999999999E-2</v>
      </c>
    </row>
    <row r="87" spans="1:16" x14ac:dyDescent="0.3">
      <c r="A87" s="47">
        <f t="shared" si="24"/>
        <v>46024</v>
      </c>
      <c r="B87" s="49">
        <f t="shared" si="25"/>
        <v>0.874999999999999</v>
      </c>
      <c r="C87" s="42">
        <f>'Leden vík data'!V86+P87</f>
        <v>0.60324999999999995</v>
      </c>
      <c r="D87" s="42">
        <f t="shared" si="18"/>
        <v>0</v>
      </c>
      <c r="E87" s="42">
        <f t="shared" si="19"/>
        <v>0</v>
      </c>
      <c r="F87" s="42">
        <f t="shared" si="20"/>
        <v>0.60324999999999995</v>
      </c>
      <c r="G87" s="42">
        <f t="shared" si="21"/>
        <v>0</v>
      </c>
      <c r="H87" s="42">
        <f t="shared" si="22"/>
        <v>0</v>
      </c>
      <c r="I87" s="42">
        <f t="shared" si="13"/>
        <v>-0.60324999999999995</v>
      </c>
      <c r="J87" s="43">
        <f>MIN('Výpočty '!$B$1*0.9, MAX('Výpočty '!$B$1*0.05, J86 + M87 - MIN(O87, MAX(0, J86 - ('Výpočty '!$B$1*0.1))) - P87))</f>
        <v>1</v>
      </c>
      <c r="K87" s="46">
        <f>J87/'Výpočty '!$B$1</f>
        <v>0.05</v>
      </c>
      <c r="L87" s="42">
        <f t="shared" si="14"/>
        <v>0</v>
      </c>
      <c r="M87" s="42">
        <f t="shared" si="15"/>
        <v>0</v>
      </c>
      <c r="N87" s="42">
        <f t="shared" si="16"/>
        <v>0</v>
      </c>
      <c r="O87" s="42">
        <f t="shared" si="23"/>
        <v>0</v>
      </c>
      <c r="P87" s="42">
        <f t="shared" si="17"/>
        <v>1.8249999999999999E-2</v>
      </c>
    </row>
    <row r="88" spans="1:16" x14ac:dyDescent="0.3">
      <c r="A88" s="47">
        <f t="shared" si="24"/>
        <v>46024</v>
      </c>
      <c r="B88" s="49">
        <f t="shared" si="25"/>
        <v>0.88541666666666563</v>
      </c>
      <c r="C88" s="42">
        <f>'Leden vík data'!V87+P88</f>
        <v>0.58199999999999996</v>
      </c>
      <c r="D88" s="42">
        <f t="shared" si="18"/>
        <v>0</v>
      </c>
      <c r="E88" s="42">
        <f t="shared" si="19"/>
        <v>0</v>
      </c>
      <c r="F88" s="42">
        <f t="shared" si="20"/>
        <v>0.58199999999999996</v>
      </c>
      <c r="G88" s="42">
        <f t="shared" si="21"/>
        <v>0</v>
      </c>
      <c r="H88" s="42">
        <f t="shared" si="22"/>
        <v>0</v>
      </c>
      <c r="I88" s="42">
        <f t="shared" si="13"/>
        <v>-0.58199999999999996</v>
      </c>
      <c r="J88" s="43">
        <f>MIN('Výpočty '!$B$1*0.9, MAX('Výpočty '!$B$1*0.05, J87 + M88 - MIN(O88, MAX(0, J87 - ('Výpočty '!$B$1*0.1))) - P88))</f>
        <v>1</v>
      </c>
      <c r="K88" s="46">
        <f>J88/'Výpočty '!$B$1</f>
        <v>0.05</v>
      </c>
      <c r="L88" s="42">
        <f t="shared" si="14"/>
        <v>0</v>
      </c>
      <c r="M88" s="42">
        <f t="shared" si="15"/>
        <v>0</v>
      </c>
      <c r="N88" s="42">
        <f t="shared" si="16"/>
        <v>0</v>
      </c>
      <c r="O88" s="42">
        <f t="shared" si="23"/>
        <v>0</v>
      </c>
      <c r="P88" s="42">
        <f t="shared" si="17"/>
        <v>1.8249999999999999E-2</v>
      </c>
    </row>
    <row r="89" spans="1:16" x14ac:dyDescent="0.3">
      <c r="A89" s="47">
        <f t="shared" si="24"/>
        <v>46024</v>
      </c>
      <c r="B89" s="49">
        <f t="shared" si="25"/>
        <v>0.89583333333333226</v>
      </c>
      <c r="C89" s="42">
        <f>'Leden vík data'!V88+P89</f>
        <v>1.1204999999999998</v>
      </c>
      <c r="D89" s="42">
        <f t="shared" si="18"/>
        <v>0</v>
      </c>
      <c r="E89" s="42">
        <f t="shared" si="19"/>
        <v>0</v>
      </c>
      <c r="F89" s="42">
        <f t="shared" si="20"/>
        <v>1.1204999999999998</v>
      </c>
      <c r="G89" s="42">
        <f t="shared" si="21"/>
        <v>0</v>
      </c>
      <c r="H89" s="42">
        <f t="shared" si="22"/>
        <v>0</v>
      </c>
      <c r="I89" s="42">
        <f t="shared" si="13"/>
        <v>-1.1204999999999998</v>
      </c>
      <c r="J89" s="43">
        <f>MIN('Výpočty '!$B$1*0.9, MAX('Výpočty '!$B$1*0.05, J88 + M89 - MIN(O89, MAX(0, J88 - ('Výpočty '!$B$1*0.1))) - P89))</f>
        <v>1</v>
      </c>
      <c r="K89" s="46">
        <f>J89/'Výpočty '!$B$1</f>
        <v>0.05</v>
      </c>
      <c r="L89" s="42">
        <f t="shared" si="14"/>
        <v>0</v>
      </c>
      <c r="M89" s="42">
        <f t="shared" si="15"/>
        <v>0</v>
      </c>
      <c r="N89" s="42">
        <f t="shared" si="16"/>
        <v>0</v>
      </c>
      <c r="O89" s="42">
        <f t="shared" si="23"/>
        <v>0</v>
      </c>
      <c r="P89" s="42">
        <f t="shared" si="17"/>
        <v>1.8249999999999999E-2</v>
      </c>
    </row>
    <row r="90" spans="1:16" x14ac:dyDescent="0.3">
      <c r="A90" s="47">
        <f t="shared" si="24"/>
        <v>46024</v>
      </c>
      <c r="B90" s="49">
        <f t="shared" si="25"/>
        <v>0.90624999999999889</v>
      </c>
      <c r="C90" s="42">
        <f>'Leden vík data'!V89+P90</f>
        <v>1.1204999999999998</v>
      </c>
      <c r="D90" s="42">
        <f t="shared" si="18"/>
        <v>0</v>
      </c>
      <c r="E90" s="42">
        <f t="shared" si="19"/>
        <v>0</v>
      </c>
      <c r="F90" s="42">
        <f t="shared" si="20"/>
        <v>1.1204999999999998</v>
      </c>
      <c r="G90" s="42">
        <f t="shared" si="21"/>
        <v>0</v>
      </c>
      <c r="H90" s="42">
        <f t="shared" si="22"/>
        <v>0</v>
      </c>
      <c r="I90" s="42">
        <f t="shared" si="13"/>
        <v>-1.1204999999999998</v>
      </c>
      <c r="J90" s="43">
        <f>MIN('Výpočty '!$B$1*0.9, MAX('Výpočty '!$B$1*0.05, J89 + M90 - MIN(O90, MAX(0, J89 - ('Výpočty '!$B$1*0.1))) - P90))</f>
        <v>1</v>
      </c>
      <c r="K90" s="46">
        <f>J90/'Výpočty '!$B$1</f>
        <v>0.05</v>
      </c>
      <c r="L90" s="42">
        <f t="shared" si="14"/>
        <v>0</v>
      </c>
      <c r="M90" s="42">
        <f t="shared" si="15"/>
        <v>0</v>
      </c>
      <c r="N90" s="42">
        <f t="shared" si="16"/>
        <v>0</v>
      </c>
      <c r="O90" s="42">
        <f t="shared" si="23"/>
        <v>0</v>
      </c>
      <c r="P90" s="42">
        <f t="shared" si="17"/>
        <v>1.8249999999999999E-2</v>
      </c>
    </row>
    <row r="91" spans="1:16" x14ac:dyDescent="0.3">
      <c r="A91" s="47">
        <f t="shared" si="24"/>
        <v>46024</v>
      </c>
      <c r="B91" s="49">
        <f t="shared" si="25"/>
        <v>0.91666666666666552</v>
      </c>
      <c r="C91" s="42">
        <f>'Leden vík data'!V90+P91</f>
        <v>1.6547499999999997</v>
      </c>
      <c r="D91" s="42">
        <f t="shared" si="18"/>
        <v>0</v>
      </c>
      <c r="E91" s="42">
        <f t="shared" si="19"/>
        <v>0</v>
      </c>
      <c r="F91" s="42">
        <f t="shared" si="20"/>
        <v>1.6547499999999997</v>
      </c>
      <c r="G91" s="42">
        <f t="shared" si="21"/>
        <v>0</v>
      </c>
      <c r="H91" s="42">
        <f t="shared" si="22"/>
        <v>0</v>
      </c>
      <c r="I91" s="42">
        <f t="shared" si="13"/>
        <v>-1.6547499999999997</v>
      </c>
      <c r="J91" s="43">
        <f>MIN('Výpočty '!$B$1*0.9, MAX('Výpočty '!$B$1*0.05, J90 + M91 - MIN(O91, MAX(0, J90 - ('Výpočty '!$B$1*0.1))) - P91))</f>
        <v>1</v>
      </c>
      <c r="K91" s="46">
        <f>J91/'Výpočty '!$B$1</f>
        <v>0.05</v>
      </c>
      <c r="L91" s="42">
        <f t="shared" si="14"/>
        <v>0</v>
      </c>
      <c r="M91" s="42">
        <f t="shared" si="15"/>
        <v>0</v>
      </c>
      <c r="N91" s="42">
        <f t="shared" si="16"/>
        <v>0</v>
      </c>
      <c r="O91" s="42">
        <f t="shared" si="23"/>
        <v>0</v>
      </c>
      <c r="P91" s="42">
        <f t="shared" si="17"/>
        <v>1.8249999999999999E-2</v>
      </c>
    </row>
    <row r="92" spans="1:16" x14ac:dyDescent="0.3">
      <c r="A92" s="47">
        <f t="shared" si="24"/>
        <v>46024</v>
      </c>
      <c r="B92" s="49">
        <f t="shared" si="25"/>
        <v>0.92708333333333215</v>
      </c>
      <c r="C92" s="42">
        <f>'Leden vík data'!V91+P92</f>
        <v>1.6297499999999998</v>
      </c>
      <c r="D92" s="42">
        <f t="shared" si="18"/>
        <v>0</v>
      </c>
      <c r="E92" s="42">
        <f t="shared" si="19"/>
        <v>0</v>
      </c>
      <c r="F92" s="42">
        <f t="shared" si="20"/>
        <v>1.6297499999999998</v>
      </c>
      <c r="G92" s="42">
        <f t="shared" si="21"/>
        <v>0</v>
      </c>
      <c r="H92" s="42">
        <f t="shared" si="22"/>
        <v>0</v>
      </c>
      <c r="I92" s="42">
        <f t="shared" si="13"/>
        <v>-1.6297499999999998</v>
      </c>
      <c r="J92" s="43">
        <f>MIN('Výpočty '!$B$1*0.9, MAX('Výpočty '!$B$1*0.05, J91 + M92 - MIN(O92, MAX(0, J91 - ('Výpočty '!$B$1*0.1))) - P92))</f>
        <v>1</v>
      </c>
      <c r="K92" s="46">
        <f>J92/'Výpočty '!$B$1</f>
        <v>0.05</v>
      </c>
      <c r="L92" s="42">
        <f t="shared" si="14"/>
        <v>0</v>
      </c>
      <c r="M92" s="42">
        <f t="shared" si="15"/>
        <v>0</v>
      </c>
      <c r="N92" s="42">
        <f t="shared" si="16"/>
        <v>0</v>
      </c>
      <c r="O92" s="42">
        <f t="shared" si="23"/>
        <v>0</v>
      </c>
      <c r="P92" s="42">
        <f t="shared" si="17"/>
        <v>1.8249999999999999E-2</v>
      </c>
    </row>
    <row r="93" spans="1:16" x14ac:dyDescent="0.3">
      <c r="A93" s="47">
        <f t="shared" si="24"/>
        <v>46024</v>
      </c>
      <c r="B93" s="49">
        <f t="shared" si="25"/>
        <v>0.93749999999999878</v>
      </c>
      <c r="C93" s="42">
        <f>'Leden vík data'!V92+P93</f>
        <v>1.6297499999999998</v>
      </c>
      <c r="D93" s="42">
        <f t="shared" si="18"/>
        <v>0</v>
      </c>
      <c r="E93" s="42">
        <f t="shared" si="19"/>
        <v>0</v>
      </c>
      <c r="F93" s="42">
        <f t="shared" si="20"/>
        <v>1.6297499999999998</v>
      </c>
      <c r="G93" s="42">
        <f t="shared" si="21"/>
        <v>0</v>
      </c>
      <c r="H93" s="42">
        <f t="shared" si="22"/>
        <v>0</v>
      </c>
      <c r="I93" s="42">
        <f t="shared" si="13"/>
        <v>-1.6297499999999998</v>
      </c>
      <c r="J93" s="43">
        <f>MIN('Výpočty '!$B$1*0.9, MAX('Výpočty '!$B$1*0.05, J92 + M93 - MIN(O93, MAX(0, J92 - ('Výpočty '!$B$1*0.1))) - P93))</f>
        <v>1</v>
      </c>
      <c r="K93" s="46">
        <f>J93/'Výpočty '!$B$1</f>
        <v>0.05</v>
      </c>
      <c r="L93" s="42">
        <f t="shared" si="14"/>
        <v>0</v>
      </c>
      <c r="M93" s="42">
        <f t="shared" si="15"/>
        <v>0</v>
      </c>
      <c r="N93" s="42">
        <f t="shared" si="16"/>
        <v>0</v>
      </c>
      <c r="O93" s="42">
        <f t="shared" si="23"/>
        <v>0</v>
      </c>
      <c r="P93" s="42">
        <f t="shared" si="17"/>
        <v>1.8249999999999999E-2</v>
      </c>
    </row>
    <row r="94" spans="1:16" x14ac:dyDescent="0.3">
      <c r="A94" s="47">
        <f t="shared" si="24"/>
        <v>46024</v>
      </c>
      <c r="B94" s="49">
        <f t="shared" si="25"/>
        <v>0.94791666666666541</v>
      </c>
      <c r="C94" s="42">
        <f>'Leden vík data'!V93+P94</f>
        <v>0.57199999999999995</v>
      </c>
      <c r="D94" s="42">
        <f t="shared" si="18"/>
        <v>0</v>
      </c>
      <c r="E94" s="42">
        <f t="shared" si="19"/>
        <v>0</v>
      </c>
      <c r="F94" s="42">
        <f t="shared" si="20"/>
        <v>0.57199999999999995</v>
      </c>
      <c r="G94" s="42">
        <f t="shared" si="21"/>
        <v>0</v>
      </c>
      <c r="H94" s="42">
        <f t="shared" si="22"/>
        <v>0</v>
      </c>
      <c r="I94" s="42">
        <f t="shared" si="13"/>
        <v>-0.57199999999999995</v>
      </c>
      <c r="J94" s="43">
        <f>MIN('Výpočty '!$B$1*0.9, MAX('Výpočty '!$B$1*0.05, J93 + M94 - MIN(O94, MAX(0, J93 - ('Výpočty '!$B$1*0.1))) - P94))</f>
        <v>1</v>
      </c>
      <c r="K94" s="46">
        <f>J94/'Výpočty '!$B$1</f>
        <v>0.05</v>
      </c>
      <c r="L94" s="42">
        <f t="shared" si="14"/>
        <v>0</v>
      </c>
      <c r="M94" s="42">
        <f t="shared" si="15"/>
        <v>0</v>
      </c>
      <c r="N94" s="42">
        <f t="shared" si="16"/>
        <v>0</v>
      </c>
      <c r="O94" s="42">
        <f t="shared" si="23"/>
        <v>0</v>
      </c>
      <c r="P94" s="42">
        <f t="shared" si="17"/>
        <v>1.8249999999999999E-2</v>
      </c>
    </row>
    <row r="95" spans="1:16" x14ac:dyDescent="0.3">
      <c r="A95" s="47">
        <f t="shared" si="24"/>
        <v>46024</v>
      </c>
      <c r="B95" s="49">
        <f t="shared" si="25"/>
        <v>0.95833333333333204</v>
      </c>
      <c r="C95" s="42">
        <f>'Leden vík data'!V94+P95</f>
        <v>0.57199999999999995</v>
      </c>
      <c r="D95" s="42">
        <f t="shared" si="18"/>
        <v>0</v>
      </c>
      <c r="E95" s="42">
        <f t="shared" si="19"/>
        <v>0</v>
      </c>
      <c r="F95" s="42">
        <f t="shared" si="20"/>
        <v>0.57199999999999995</v>
      </c>
      <c r="G95" s="42">
        <f t="shared" si="21"/>
        <v>0</v>
      </c>
      <c r="H95" s="42">
        <f t="shared" si="22"/>
        <v>0</v>
      </c>
      <c r="I95" s="42">
        <f t="shared" si="13"/>
        <v>-0.57199999999999995</v>
      </c>
      <c r="J95" s="43">
        <f>MIN('Výpočty '!$B$1*0.9, MAX('Výpočty '!$B$1*0.05, J94 + M95 - MIN(O95, MAX(0, J94 - ('Výpočty '!$B$1*0.1))) - P95))</f>
        <v>1</v>
      </c>
      <c r="K95" s="46">
        <f>J95/'Výpočty '!$B$1</f>
        <v>0.05</v>
      </c>
      <c r="L95" s="42">
        <f t="shared" si="14"/>
        <v>0</v>
      </c>
      <c r="M95" s="42">
        <f t="shared" si="15"/>
        <v>0</v>
      </c>
      <c r="N95" s="42">
        <f t="shared" si="16"/>
        <v>0</v>
      </c>
      <c r="O95" s="42">
        <f t="shared" si="23"/>
        <v>0</v>
      </c>
      <c r="P95" s="42">
        <f t="shared" si="17"/>
        <v>1.8249999999999999E-2</v>
      </c>
    </row>
    <row r="96" spans="1:16" x14ac:dyDescent="0.3">
      <c r="A96" s="47">
        <f t="shared" si="24"/>
        <v>46024</v>
      </c>
      <c r="B96" s="49">
        <f t="shared" si="25"/>
        <v>0.96874999999999867</v>
      </c>
      <c r="C96" s="42">
        <f>'Leden vík data'!V95+P96</f>
        <v>0.57199999999999995</v>
      </c>
      <c r="D96" s="42">
        <f t="shared" si="18"/>
        <v>0</v>
      </c>
      <c r="E96" s="42">
        <f t="shared" si="19"/>
        <v>0</v>
      </c>
      <c r="F96" s="42">
        <f t="shared" si="20"/>
        <v>0.57199999999999995</v>
      </c>
      <c r="G96" s="42">
        <f t="shared" si="21"/>
        <v>0</v>
      </c>
      <c r="H96" s="42">
        <f t="shared" si="22"/>
        <v>0</v>
      </c>
      <c r="I96" s="42">
        <f t="shared" si="13"/>
        <v>-0.57199999999999995</v>
      </c>
      <c r="J96" s="43">
        <f>MIN('Výpočty '!$B$1*0.9, MAX('Výpočty '!$B$1*0.05, J95 + M96 - MIN(O96, MAX(0, J95 - ('Výpočty '!$B$1*0.1))) - P96))</f>
        <v>1</v>
      </c>
      <c r="K96" s="46">
        <f>J96/'Výpočty '!$B$1</f>
        <v>0.05</v>
      </c>
      <c r="L96" s="42">
        <f t="shared" si="14"/>
        <v>0</v>
      </c>
      <c r="M96" s="42">
        <f t="shared" si="15"/>
        <v>0</v>
      </c>
      <c r="N96" s="42">
        <f t="shared" si="16"/>
        <v>0</v>
      </c>
      <c r="O96" s="42">
        <f t="shared" si="23"/>
        <v>0</v>
      </c>
      <c r="P96" s="42">
        <f t="shared" si="17"/>
        <v>1.8249999999999999E-2</v>
      </c>
    </row>
    <row r="97" spans="1:16" x14ac:dyDescent="0.3">
      <c r="A97" s="47">
        <f t="shared" si="24"/>
        <v>46024</v>
      </c>
      <c r="B97" s="49">
        <f t="shared" si="25"/>
        <v>0.9791666666666653</v>
      </c>
      <c r="C97" s="42">
        <f>'Leden vík data'!V96+P97</f>
        <v>0.57199999999999995</v>
      </c>
      <c r="D97" s="42">
        <f t="shared" si="18"/>
        <v>0</v>
      </c>
      <c r="E97" s="42">
        <f t="shared" si="19"/>
        <v>0</v>
      </c>
      <c r="F97" s="42">
        <f t="shared" si="20"/>
        <v>0.57199999999999995</v>
      </c>
      <c r="G97" s="42">
        <f t="shared" si="21"/>
        <v>0</v>
      </c>
      <c r="H97" s="42">
        <f t="shared" si="22"/>
        <v>0</v>
      </c>
      <c r="I97" s="42">
        <f t="shared" si="13"/>
        <v>-0.57199999999999995</v>
      </c>
      <c r="J97" s="43">
        <f>MIN('Výpočty '!$B$1*0.9, MAX('Výpočty '!$B$1*0.05, J96 + M97 - MIN(O97, MAX(0, J96 - ('Výpočty '!$B$1*0.1))) - P97))</f>
        <v>1</v>
      </c>
      <c r="K97" s="46">
        <f>J97/'Výpočty '!$B$1</f>
        <v>0.05</v>
      </c>
      <c r="L97" s="42">
        <f t="shared" si="14"/>
        <v>0</v>
      </c>
      <c r="M97" s="42">
        <f t="shared" si="15"/>
        <v>0</v>
      </c>
      <c r="N97" s="42">
        <f t="shared" si="16"/>
        <v>0</v>
      </c>
      <c r="O97" s="42">
        <f t="shared" si="23"/>
        <v>0</v>
      </c>
      <c r="P97" s="42">
        <f t="shared" si="17"/>
        <v>1.8249999999999999E-2</v>
      </c>
    </row>
    <row r="98" spans="1:16" x14ac:dyDescent="0.3">
      <c r="A98" s="47">
        <f t="shared" si="24"/>
        <v>46024</v>
      </c>
      <c r="B98" s="49">
        <f t="shared" si="25"/>
        <v>0.98958333333333193</v>
      </c>
      <c r="C98" s="42">
        <f>'Leden vík data'!V97+P98</f>
        <v>0.56699999999999995</v>
      </c>
      <c r="D98" s="42">
        <f t="shared" si="18"/>
        <v>0</v>
      </c>
      <c r="E98" s="42">
        <f t="shared" si="19"/>
        <v>0</v>
      </c>
      <c r="F98" s="42">
        <f t="shared" si="20"/>
        <v>0.56699999999999995</v>
      </c>
      <c r="G98" s="42">
        <f t="shared" si="21"/>
        <v>0</v>
      </c>
      <c r="H98" s="42">
        <f>MAX(0, MIN(C98 - D98, N98 ))</f>
        <v>0</v>
      </c>
      <c r="I98" s="42">
        <f t="shared" si="13"/>
        <v>-0.56699999999999995</v>
      </c>
      <c r="J98" s="43">
        <f>MIN('Výpočty '!$B$1*0.9, MAX('Výpočty '!$B$1*0.05, J97 + M98 - MIN(O98, MAX(0, J97 - ('Výpočty '!$B$1*0.1))) - P98))</f>
        <v>1</v>
      </c>
      <c r="K98" s="46">
        <f>J98/'Výpočty '!$B$1</f>
        <v>0.05</v>
      </c>
      <c r="L98" s="42">
        <f t="shared" si="14"/>
        <v>0</v>
      </c>
      <c r="M98" s="42">
        <f t="shared" si="15"/>
        <v>0</v>
      </c>
      <c r="N98" s="42">
        <f t="shared" si="16"/>
        <v>0</v>
      </c>
      <c r="O98" s="42">
        <f t="shared" si="23"/>
        <v>0</v>
      </c>
      <c r="P98" s="42">
        <f t="shared" si="17"/>
        <v>1.8249999999999999E-2</v>
      </c>
    </row>
    <row r="99" spans="1:16" x14ac:dyDescent="0.3">
      <c r="A99" s="48" t="s">
        <v>5</v>
      </c>
      <c r="B99" s="48" t="s">
        <v>268</v>
      </c>
      <c r="C99" s="44">
        <f t="shared" ref="C99:D99" si="26">SUM(C3:C98)</f>
        <v>100.44150000000013</v>
      </c>
      <c r="D99" s="44">
        <f t="shared" si="26"/>
        <v>17.295000000000005</v>
      </c>
      <c r="E99" s="44">
        <f>SUM(E3:E98)</f>
        <v>17.295000000000005</v>
      </c>
      <c r="F99" s="44">
        <f t="shared" ref="F99:I99" si="27">SUM(F3:F98)</f>
        <v>58.163250000000126</v>
      </c>
      <c r="G99" s="44">
        <f t="shared" si="27"/>
        <v>0</v>
      </c>
      <c r="H99" s="44">
        <f t="shared" si="27"/>
        <v>24.983249999999881</v>
      </c>
      <c r="I99" s="44">
        <f t="shared" si="27"/>
        <v>-83.146500000000003</v>
      </c>
      <c r="J99" s="45">
        <f>J98</f>
        <v>1</v>
      </c>
      <c r="K99" s="51">
        <f>K98</f>
        <v>0.05</v>
      </c>
      <c r="L99" s="44">
        <f>SUM(L3:L98)</f>
        <v>0</v>
      </c>
      <c r="M99" s="44">
        <f t="shared" ref="M99:P99" si="28">SUM(M3:M98)</f>
        <v>0</v>
      </c>
      <c r="N99" s="44">
        <f t="shared" si="28"/>
        <v>25.612499999999873</v>
      </c>
      <c r="O99" s="44">
        <f t="shared" si="28"/>
        <v>28.458333333333218</v>
      </c>
      <c r="P99" s="44">
        <f t="shared" si="28"/>
        <v>1.7520000000000036</v>
      </c>
    </row>
    <row r="102" spans="1:16" ht="23.4" x14ac:dyDescent="0.45">
      <c r="J102" s="69" t="s">
        <v>312</v>
      </c>
      <c r="K102" s="71">
        <f>MAX(J3:J98)</f>
        <v>6.355083333333333</v>
      </c>
      <c r="L102" s="97" t="s">
        <v>316</v>
      </c>
    </row>
    <row r="103" spans="1:16" ht="23.4" x14ac:dyDescent="0.45">
      <c r="J103" s="69" t="s">
        <v>313</v>
      </c>
      <c r="K103" s="71">
        <f>MIN(J3:J98)</f>
        <v>1</v>
      </c>
      <c r="L103" s="97"/>
    </row>
    <row r="104" spans="1:16" ht="23.4" x14ac:dyDescent="0.45">
      <c r="J104" s="69" t="s">
        <v>314</v>
      </c>
      <c r="K104" s="71">
        <f>J98 -J2</f>
        <v>-6</v>
      </c>
      <c r="L104" s="97"/>
    </row>
    <row r="105" spans="1:16" ht="23.4" x14ac:dyDescent="0.45">
      <c r="J105" s="69" t="s">
        <v>315</v>
      </c>
      <c r="K105" s="71">
        <f>MAX(J3:J98) - MIN(J3:J98)</f>
        <v>5.355083333333333</v>
      </c>
      <c r="L105" s="97"/>
    </row>
    <row r="108" spans="1:16" x14ac:dyDescent="0.3">
      <c r="D108" s="2" t="s">
        <v>72</v>
      </c>
      <c r="E108" s="72">
        <f ca="1">SUM(OFFSET('Leden vík data'!$D$2:$D$97, 0, ROW(A1)-1))</f>
        <v>65.5</v>
      </c>
      <c r="F108" s="80" t="s">
        <v>316</v>
      </c>
    </row>
    <row r="109" spans="1:16" x14ac:dyDescent="0.3">
      <c r="D109" s="2" t="s">
        <v>181</v>
      </c>
      <c r="E109" s="72">
        <f ca="1">SUM(OFFSET('Leden vík data'!$D$2:$D$97, 0, ROW(A2)-1))</f>
        <v>3.3750000000000002E-2</v>
      </c>
      <c r="F109" s="80"/>
    </row>
    <row r="110" spans="1:16" x14ac:dyDescent="0.3">
      <c r="D110" s="2" t="s">
        <v>180</v>
      </c>
      <c r="E110" s="72">
        <f ca="1">SUM(OFFSET('Leden vík data'!$D$2:$D$97, 0, ROW(A3)-1))</f>
        <v>0.25500000000000012</v>
      </c>
      <c r="F110" s="80"/>
    </row>
    <row r="111" spans="1:16" x14ac:dyDescent="0.3">
      <c r="D111" s="2" t="s">
        <v>179</v>
      </c>
      <c r="E111" s="72">
        <f ca="1">SUM(OFFSET('Leden vík data'!$D$2:$D$97, 0, ROW(A4)-1))</f>
        <v>13.5</v>
      </c>
      <c r="F111" s="80"/>
    </row>
    <row r="112" spans="1:16" x14ac:dyDescent="0.3">
      <c r="D112" s="2" t="s">
        <v>178</v>
      </c>
      <c r="E112" s="72">
        <f ca="1">SUM(OFFSET('Leden vík data'!$D$2:$D$97, 0, ROW(A5)-1))</f>
        <v>0.375</v>
      </c>
      <c r="F112" s="80"/>
    </row>
    <row r="113" spans="4:6" x14ac:dyDescent="0.3">
      <c r="D113" s="2" t="s">
        <v>177</v>
      </c>
      <c r="E113" s="72">
        <f ca="1">SUM(OFFSET('Leden vík data'!$D$2:$D$97, 0, ROW(A6)-1))</f>
        <v>5.25</v>
      </c>
      <c r="F113" s="80"/>
    </row>
    <row r="114" spans="4:6" x14ac:dyDescent="0.3">
      <c r="D114" s="2" t="s">
        <v>60</v>
      </c>
      <c r="E114" s="72">
        <f ca="1">SUM(OFFSET('Leden vík data'!$D$2:$D$97, 0, ROW(A7)-1))</f>
        <v>0.61624999999999985</v>
      </c>
      <c r="F114" s="80"/>
    </row>
    <row r="115" spans="4:6" x14ac:dyDescent="0.3">
      <c r="D115" s="2" t="s">
        <v>176</v>
      </c>
      <c r="E115" s="72">
        <f ca="1">SUM(OFFSET('Leden vík data'!$D$2:$D$97, 0, ROW(A8)-1))</f>
        <v>1.0625</v>
      </c>
      <c r="F115" s="80"/>
    </row>
    <row r="116" spans="4:6" x14ac:dyDescent="0.3">
      <c r="D116" s="2" t="s">
        <v>39</v>
      </c>
      <c r="E116" s="72">
        <f ca="1">SUM(OFFSET('Leden vík data'!$D$2:$D$97, 0, ROW(A9)-1))</f>
        <v>2.625</v>
      </c>
      <c r="F116" s="80"/>
    </row>
    <row r="117" spans="4:6" x14ac:dyDescent="0.3">
      <c r="D117" s="2" t="s">
        <v>36</v>
      </c>
      <c r="E117" s="72">
        <f ca="1">SUM(OFFSET('Leden vík data'!$D$2:$D$97, 0, ROW(A10)-1))</f>
        <v>1.5</v>
      </c>
      <c r="F117" s="80"/>
    </row>
    <row r="118" spans="4:6" x14ac:dyDescent="0.3">
      <c r="D118" s="2" t="s">
        <v>41</v>
      </c>
      <c r="E118" s="72">
        <f ca="1">SUM(OFFSET('Leden vík data'!$D$2:$D$97, 0, ROW(A11)-1))</f>
        <v>5.4999999999999991</v>
      </c>
      <c r="F118" s="80"/>
    </row>
    <row r="119" spans="4:6" x14ac:dyDescent="0.3">
      <c r="D119" s="2" t="s">
        <v>175</v>
      </c>
      <c r="E119" s="72">
        <f ca="1">SUM(OFFSET('Leden vík data'!$D$2:$D$97, 0, ROW(A12)-1))</f>
        <v>0.54200000000000026</v>
      </c>
      <c r="F119" s="80"/>
    </row>
    <row r="120" spans="4:6" x14ac:dyDescent="0.3">
      <c r="D120" s="2" t="s">
        <v>64</v>
      </c>
      <c r="E120" s="72">
        <f ca="1">SUM(OFFSET('Leden vík data'!$D$2:$D$97, 0, ROW(A13)-1))</f>
        <v>0.32000000000000017</v>
      </c>
      <c r="F120" s="80"/>
    </row>
    <row r="121" spans="4:6" x14ac:dyDescent="0.3">
      <c r="D121" s="2" t="s">
        <v>62</v>
      </c>
      <c r="E121" s="72">
        <f ca="1">SUM(OFFSET('Leden vík data'!$D$2:$D$97, 0, ROW(A14)-1))</f>
        <v>0.1</v>
      </c>
      <c r="F121" s="80"/>
    </row>
    <row r="122" spans="4:6" x14ac:dyDescent="0.3">
      <c r="D122" s="2" t="s">
        <v>174</v>
      </c>
      <c r="E122" s="72">
        <f ca="1">SUM(OFFSET('Leden vík data'!$D$2:$D$97, 0, ROW(A15)-1))</f>
        <v>0.13</v>
      </c>
      <c r="F122" s="80"/>
    </row>
    <row r="123" spans="4:6" x14ac:dyDescent="0.3">
      <c r="D123" s="2" t="s">
        <v>173</v>
      </c>
      <c r="E123" s="72">
        <f ca="1">SUM(OFFSET('Leden vík data'!$D$2:$D$97, 0, ROW(A16)-1))</f>
        <v>0.50000000000000011</v>
      </c>
      <c r="F123" s="80"/>
    </row>
    <row r="124" spans="4:6" x14ac:dyDescent="0.3">
      <c r="D124" s="2" t="s">
        <v>172</v>
      </c>
      <c r="E124" s="72">
        <f ca="1">SUM(OFFSET('Leden vík data'!$D$2:$D$97, 0, ROW(A17)-1))</f>
        <v>0.16</v>
      </c>
      <c r="F124" s="80"/>
    </row>
    <row r="125" spans="4:6" x14ac:dyDescent="0.3">
      <c r="D125" s="2" t="s">
        <v>171</v>
      </c>
      <c r="E125" s="72">
        <f ca="1">SUM(OFFSET('Leden vík data'!$D$2:$D$97, 0, ROW(A18)-1))</f>
        <v>0</v>
      </c>
      <c r="F125" s="80"/>
    </row>
  </sheetData>
  <mergeCells count="4">
    <mergeCell ref="A1:A2"/>
    <mergeCell ref="B1:B2"/>
    <mergeCell ref="L102:L105"/>
    <mergeCell ref="F108:F125"/>
  </mergeCells>
  <conditionalFormatting sqref="I1:I99">
    <cfRule type="cellIs" dxfId="35" priority="7" operator="lessThan">
      <formula>0</formula>
    </cfRule>
  </conditionalFormatting>
  <conditionalFormatting sqref="I3:I99">
    <cfRule type="cellIs" dxfId="34" priority="5" operator="lessThan">
      <formula>0</formula>
    </cfRule>
    <cfRule type="cellIs" dxfId="33" priority="6" operator="greaterThan">
      <formula>0</formula>
    </cfRule>
  </conditionalFormatting>
  <conditionalFormatting sqref="J3:J98">
    <cfRule type="expression" dxfId="32" priority="2">
      <formula>J3&lt;Kapacita_baterie*Soc_Min</formula>
    </cfRule>
    <cfRule type="expression" dxfId="31" priority="3">
      <formula>J3=Kapacita_baterie*Soc_Min</formula>
    </cfRule>
    <cfRule type="expression" dxfId="30" priority="4">
      <formula>J3&gt;=Kapacita_baterie*Soc_Max</formula>
    </cfRule>
  </conditionalFormatting>
  <conditionalFormatting sqref="J102">
    <cfRule type="cellIs" dxfId="29" priority="1" operator="lessThan">
      <formula>0</formula>
    </cfRule>
  </conditionalFormatting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1A97-DD2F-4113-B64C-A6544F935FE1}">
  <sheetPr>
    <tabColor theme="4" tint="0.59999389629810485"/>
  </sheetPr>
  <dimension ref="A1:V164"/>
  <sheetViews>
    <sheetView topLeftCell="G1" zoomScale="115" zoomScaleNormal="115" workbookViewId="0">
      <selection activeCell="V2" sqref="V2:V97"/>
    </sheetView>
  </sheetViews>
  <sheetFormatPr defaultRowHeight="14.4" x14ac:dyDescent="0.3"/>
  <cols>
    <col min="1" max="1" width="11.88671875" customWidth="1"/>
    <col min="3" max="3" width="33.44140625" customWidth="1"/>
    <col min="4" max="4" width="34.44140625" customWidth="1"/>
    <col min="6" max="6" width="14.5546875" customWidth="1"/>
    <col min="7" max="7" width="15.6640625" customWidth="1"/>
    <col min="8" max="8" width="14.5546875" customWidth="1"/>
    <col min="9" max="9" width="20" customWidth="1"/>
    <col min="15" max="15" width="13.6640625" customWidth="1"/>
    <col min="17" max="17" width="19.88671875" customWidth="1"/>
    <col min="19" max="19" width="18.109375" customWidth="1"/>
    <col min="20" max="20" width="17.5546875" customWidth="1"/>
    <col min="22" max="22" width="23.88671875" customWidth="1"/>
  </cols>
  <sheetData>
    <row r="1" spans="1:22" x14ac:dyDescent="0.3">
      <c r="A1" s="17" t="s">
        <v>184</v>
      </c>
      <c r="B1" s="17" t="s">
        <v>183</v>
      </c>
      <c r="C1" s="17" t="s">
        <v>182</v>
      </c>
      <c r="D1" s="17" t="s">
        <v>72</v>
      </c>
      <c r="E1" s="17" t="s">
        <v>181</v>
      </c>
      <c r="F1" s="17" t="s">
        <v>180</v>
      </c>
      <c r="G1" s="17" t="s">
        <v>179</v>
      </c>
      <c r="H1" s="17" t="s">
        <v>178</v>
      </c>
      <c r="I1" s="17" t="s">
        <v>177</v>
      </c>
      <c r="J1" s="17" t="s">
        <v>60</v>
      </c>
      <c r="K1" s="17" t="s">
        <v>176</v>
      </c>
      <c r="L1" s="17" t="s">
        <v>39</v>
      </c>
      <c r="M1" s="17" t="s">
        <v>36</v>
      </c>
      <c r="N1" s="17" t="s">
        <v>41</v>
      </c>
      <c r="O1" s="17" t="s">
        <v>175</v>
      </c>
      <c r="P1" s="17" t="s">
        <v>64</v>
      </c>
      <c r="Q1" s="17" t="s">
        <v>62</v>
      </c>
      <c r="R1" s="17" t="s">
        <v>174</v>
      </c>
      <c r="S1" s="17" t="s">
        <v>173</v>
      </c>
      <c r="T1" s="17" t="s">
        <v>172</v>
      </c>
      <c r="U1" s="17" t="s">
        <v>171</v>
      </c>
      <c r="V1" s="17" t="s">
        <v>170</v>
      </c>
    </row>
    <row r="2" spans="1:22" x14ac:dyDescent="0.3">
      <c r="A2" s="19">
        <v>46024</v>
      </c>
      <c r="B2" s="4" t="s">
        <v>169</v>
      </c>
      <c r="C2" s="4">
        <v>7.4999999999999997E-3</v>
      </c>
      <c r="D2" s="4">
        <v>0.5</v>
      </c>
      <c r="E2" s="4">
        <v>0</v>
      </c>
      <c r="F2" s="4">
        <v>1.4999999999999999E-2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5.0000000000000001E-3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13">
        <f>C2+D2+E2+F2+G2+H2+I2+J2+K2+L2+M2+N2+O2+P2+Q2+R2+S2+T2+U2</f>
        <v>0.52749999999999997</v>
      </c>
    </row>
    <row r="3" spans="1:22" x14ac:dyDescent="0.3">
      <c r="A3" s="19">
        <v>46024</v>
      </c>
      <c r="B3" s="4" t="s">
        <v>168</v>
      </c>
      <c r="C3" s="4">
        <v>7.4999999999999997E-3</v>
      </c>
      <c r="D3" s="4">
        <v>0.5</v>
      </c>
      <c r="E3" s="4">
        <v>0</v>
      </c>
      <c r="F3" s="4">
        <v>1.4999999999999999E-2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5.0000000000000001E-3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13">
        <f t="shared" ref="V3:V66" si="0">C3+D3+E3+F3+G3+H3+I3+J3+K3+L3+M3+N3+O3+P3+Q3+R3+S3+T3+U3</f>
        <v>0.52749999999999997</v>
      </c>
    </row>
    <row r="4" spans="1:22" x14ac:dyDescent="0.3">
      <c r="A4" s="19">
        <v>46024</v>
      </c>
      <c r="B4" s="4" t="s">
        <v>167</v>
      </c>
      <c r="C4" s="4">
        <v>7.4999999999999997E-3</v>
      </c>
      <c r="D4" s="4">
        <v>0.5</v>
      </c>
      <c r="E4" s="4">
        <v>0</v>
      </c>
      <c r="F4" s="4">
        <v>1.4999999999999999E-2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5.0000000000000001E-3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13">
        <f t="shared" si="0"/>
        <v>0.52749999999999997</v>
      </c>
    </row>
    <row r="5" spans="1:22" x14ac:dyDescent="0.3">
      <c r="A5" s="19">
        <v>46024</v>
      </c>
      <c r="B5" s="4" t="s">
        <v>166</v>
      </c>
      <c r="C5" s="4">
        <v>7.4999999999999997E-3</v>
      </c>
      <c r="D5" s="4">
        <v>0.5</v>
      </c>
      <c r="E5" s="4">
        <v>0</v>
      </c>
      <c r="F5" s="4">
        <v>1.4999999999999999E-2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5.0000000000000001E-3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13">
        <f t="shared" si="0"/>
        <v>0.52749999999999997</v>
      </c>
    </row>
    <row r="6" spans="1:22" x14ac:dyDescent="0.3">
      <c r="A6" s="19">
        <v>46024</v>
      </c>
      <c r="B6" s="4" t="s">
        <v>165</v>
      </c>
      <c r="C6" s="4">
        <v>7.4999999999999997E-3</v>
      </c>
      <c r="D6" s="4">
        <v>0.5</v>
      </c>
      <c r="E6" s="4">
        <v>0</v>
      </c>
      <c r="F6" s="4">
        <v>1.4999999999999999E-2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5.0000000000000001E-3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13">
        <f t="shared" si="0"/>
        <v>0.52749999999999997</v>
      </c>
    </row>
    <row r="7" spans="1:22" x14ac:dyDescent="0.3">
      <c r="A7" s="19">
        <v>46024</v>
      </c>
      <c r="B7" s="4" t="s">
        <v>164</v>
      </c>
      <c r="C7" s="4">
        <v>7.4999999999999997E-3</v>
      </c>
      <c r="D7" s="4">
        <v>0.5</v>
      </c>
      <c r="E7" s="4">
        <v>0</v>
      </c>
      <c r="F7" s="4">
        <v>1.4999999999999999E-2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5.0000000000000001E-3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13">
        <f t="shared" si="0"/>
        <v>0.52749999999999997</v>
      </c>
    </row>
    <row r="8" spans="1:22" x14ac:dyDescent="0.3">
      <c r="A8" s="19">
        <v>46024</v>
      </c>
      <c r="B8" s="4" t="s">
        <v>163</v>
      </c>
      <c r="C8" s="4">
        <v>7.4999999999999997E-3</v>
      </c>
      <c r="D8" s="4">
        <v>0.5</v>
      </c>
      <c r="E8" s="4">
        <v>0</v>
      </c>
      <c r="F8" s="4">
        <v>1.4999999999999999E-2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5.0000000000000001E-3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13">
        <f t="shared" si="0"/>
        <v>0.52749999999999997</v>
      </c>
    </row>
    <row r="9" spans="1:22" x14ac:dyDescent="0.3">
      <c r="A9" s="19">
        <v>46024</v>
      </c>
      <c r="B9" s="4" t="s">
        <v>162</v>
      </c>
      <c r="C9" s="4">
        <v>7.4999999999999997E-3</v>
      </c>
      <c r="D9" s="4">
        <v>0.5</v>
      </c>
      <c r="E9" s="4">
        <v>0</v>
      </c>
      <c r="F9" s="4">
        <v>1.4999999999999999E-2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13">
        <f t="shared" si="0"/>
        <v>0.52249999999999996</v>
      </c>
    </row>
    <row r="10" spans="1:22" x14ac:dyDescent="0.3">
      <c r="A10" s="19">
        <v>46024</v>
      </c>
      <c r="B10" s="62" t="s">
        <v>161</v>
      </c>
      <c r="C10" s="62">
        <v>7.4999999999999997E-3</v>
      </c>
      <c r="D10" s="62">
        <v>0.5</v>
      </c>
      <c r="E10" s="62">
        <v>0</v>
      </c>
      <c r="F10" s="62">
        <v>1.4999999999999999E-2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13">
        <f t="shared" si="0"/>
        <v>0.52249999999999996</v>
      </c>
    </row>
    <row r="11" spans="1:22" x14ac:dyDescent="0.3">
      <c r="A11" s="19">
        <v>46024</v>
      </c>
      <c r="B11" s="62" t="s">
        <v>160</v>
      </c>
      <c r="C11" s="62">
        <v>7.4999999999999997E-3</v>
      </c>
      <c r="D11" s="62">
        <v>0.5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2">
        <v>0</v>
      </c>
      <c r="V11" s="13">
        <f t="shared" si="0"/>
        <v>0.50749999999999995</v>
      </c>
    </row>
    <row r="12" spans="1:22" x14ac:dyDescent="0.3">
      <c r="A12" s="19">
        <v>46024</v>
      </c>
      <c r="B12" s="62" t="s">
        <v>159</v>
      </c>
      <c r="C12" s="62">
        <v>7.4999999999999997E-3</v>
      </c>
      <c r="D12" s="62">
        <v>0.5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13">
        <f t="shared" si="0"/>
        <v>0.50749999999999995</v>
      </c>
    </row>
    <row r="13" spans="1:22" x14ac:dyDescent="0.3">
      <c r="A13" s="19">
        <v>46024</v>
      </c>
      <c r="B13" s="62" t="s">
        <v>158</v>
      </c>
      <c r="C13" s="62">
        <v>7.4999999999999997E-3</v>
      </c>
      <c r="D13" s="62">
        <v>0.5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13">
        <f t="shared" si="0"/>
        <v>0.50749999999999995</v>
      </c>
    </row>
    <row r="14" spans="1:22" x14ac:dyDescent="0.3">
      <c r="A14" s="19">
        <v>46024</v>
      </c>
      <c r="B14" s="62" t="s">
        <v>157</v>
      </c>
      <c r="C14" s="62">
        <v>7.4999999999999997E-3</v>
      </c>
      <c r="D14" s="62">
        <v>0.5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13">
        <f t="shared" si="0"/>
        <v>0.50749999999999995</v>
      </c>
    </row>
    <row r="15" spans="1:22" x14ac:dyDescent="0.3">
      <c r="A15" s="19">
        <v>46024</v>
      </c>
      <c r="B15" s="62" t="s">
        <v>156</v>
      </c>
      <c r="C15" s="62">
        <v>7.4999999999999997E-3</v>
      </c>
      <c r="D15" s="62">
        <v>0.5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13">
        <f t="shared" si="0"/>
        <v>0.50749999999999995</v>
      </c>
    </row>
    <row r="16" spans="1:22" x14ac:dyDescent="0.3">
      <c r="A16" s="19">
        <v>46024</v>
      </c>
      <c r="B16" s="62" t="s">
        <v>155</v>
      </c>
      <c r="C16" s="62">
        <v>7.4999999999999997E-3</v>
      </c>
      <c r="D16" s="62">
        <v>0.5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13">
        <f t="shared" si="0"/>
        <v>0.50749999999999995</v>
      </c>
    </row>
    <row r="17" spans="1:22" x14ac:dyDescent="0.3">
      <c r="A17" s="19">
        <v>46024</v>
      </c>
      <c r="B17" s="62" t="s">
        <v>154</v>
      </c>
      <c r="C17" s="62">
        <v>7.4999999999999997E-3</v>
      </c>
      <c r="D17" s="62">
        <v>0.5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2">
        <v>0</v>
      </c>
      <c r="V17" s="13">
        <f t="shared" si="0"/>
        <v>0.50749999999999995</v>
      </c>
    </row>
    <row r="18" spans="1:22" x14ac:dyDescent="0.3">
      <c r="A18" s="19">
        <v>46024</v>
      </c>
      <c r="B18" s="62" t="s">
        <v>153</v>
      </c>
      <c r="C18" s="62">
        <v>7.4999999999999997E-3</v>
      </c>
      <c r="D18" s="62">
        <v>0.5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13">
        <f t="shared" si="0"/>
        <v>0.50749999999999995</v>
      </c>
    </row>
    <row r="19" spans="1:22" x14ac:dyDescent="0.3">
      <c r="A19" s="19">
        <v>46024</v>
      </c>
      <c r="B19" s="62" t="s">
        <v>152</v>
      </c>
      <c r="C19" s="62">
        <v>7.4999999999999997E-3</v>
      </c>
      <c r="D19" s="62">
        <v>0.5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13">
        <f t="shared" si="0"/>
        <v>0.50749999999999995</v>
      </c>
    </row>
    <row r="20" spans="1:22" x14ac:dyDescent="0.3">
      <c r="A20" s="19">
        <v>46024</v>
      </c>
      <c r="B20" s="62" t="s">
        <v>151</v>
      </c>
      <c r="C20" s="62">
        <v>7.4999999999999997E-3</v>
      </c>
      <c r="D20" s="62">
        <v>0.5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3">
        <v>0.05</v>
      </c>
      <c r="R20" s="62">
        <v>0</v>
      </c>
      <c r="S20" s="62">
        <v>0</v>
      </c>
      <c r="T20" s="62">
        <v>0</v>
      </c>
      <c r="U20" s="62">
        <v>0</v>
      </c>
      <c r="V20" s="13">
        <f t="shared" si="0"/>
        <v>0.5575</v>
      </c>
    </row>
    <row r="21" spans="1:22" x14ac:dyDescent="0.3">
      <c r="A21" s="19">
        <v>46024</v>
      </c>
      <c r="B21" s="62" t="s">
        <v>150</v>
      </c>
      <c r="C21" s="62">
        <v>7.4999999999999997E-3</v>
      </c>
      <c r="D21" s="62">
        <v>0.5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13">
        <f t="shared" si="0"/>
        <v>0.50749999999999995</v>
      </c>
    </row>
    <row r="22" spans="1:22" x14ac:dyDescent="0.3">
      <c r="A22" s="19">
        <v>46024</v>
      </c>
      <c r="B22" s="62" t="s">
        <v>149</v>
      </c>
      <c r="C22" s="62">
        <v>7.4999999999999997E-3</v>
      </c>
      <c r="D22" s="62">
        <v>0.5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13">
        <f t="shared" si="0"/>
        <v>0.50749999999999995</v>
      </c>
    </row>
    <row r="23" spans="1:22" x14ac:dyDescent="0.3">
      <c r="A23" s="19">
        <v>46024</v>
      </c>
      <c r="B23" s="62" t="s">
        <v>148</v>
      </c>
      <c r="C23" s="62">
        <v>7.4999999999999997E-3</v>
      </c>
      <c r="D23" s="62">
        <v>0.5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13">
        <f t="shared" si="0"/>
        <v>0.50749999999999995</v>
      </c>
    </row>
    <row r="24" spans="1:22" x14ac:dyDescent="0.3">
      <c r="A24" s="19">
        <v>46024</v>
      </c>
      <c r="B24" s="62" t="s">
        <v>147</v>
      </c>
      <c r="C24" s="62">
        <v>7.4999999999999997E-3</v>
      </c>
      <c r="D24" s="62">
        <v>0.5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13">
        <f t="shared" si="0"/>
        <v>0.50749999999999995</v>
      </c>
    </row>
    <row r="25" spans="1:22" x14ac:dyDescent="0.3">
      <c r="A25" s="19">
        <v>46024</v>
      </c>
      <c r="B25" s="62" t="s">
        <v>146</v>
      </c>
      <c r="C25" s="62">
        <v>7.4999999999999997E-3</v>
      </c>
      <c r="D25" s="62">
        <v>0.5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13">
        <f t="shared" si="0"/>
        <v>0.50749999999999995</v>
      </c>
    </row>
    <row r="26" spans="1:22" x14ac:dyDescent="0.3">
      <c r="A26" s="19">
        <v>46024</v>
      </c>
      <c r="B26" s="62" t="s">
        <v>145</v>
      </c>
      <c r="C26" s="62">
        <v>7.4999999999999997E-3</v>
      </c>
      <c r="D26" s="62">
        <v>0.5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13">
        <f t="shared" si="0"/>
        <v>0.50749999999999995</v>
      </c>
    </row>
    <row r="27" spans="1:22" x14ac:dyDescent="0.3">
      <c r="A27" s="19">
        <v>46024</v>
      </c>
      <c r="B27" s="4" t="s">
        <v>144</v>
      </c>
      <c r="C27" s="4">
        <v>7.4999999999999997E-3</v>
      </c>
      <c r="D27" s="4">
        <v>0.5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13">
        <f t="shared" si="0"/>
        <v>0.50749999999999995</v>
      </c>
    </row>
    <row r="28" spans="1:22" x14ac:dyDescent="0.3">
      <c r="A28" s="19">
        <v>46024</v>
      </c>
      <c r="B28" s="4" t="s">
        <v>143</v>
      </c>
      <c r="C28" s="4">
        <v>7.4999999999999997E-3</v>
      </c>
      <c r="D28" s="4">
        <v>0.5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13">
        <f t="shared" si="0"/>
        <v>0.50749999999999995</v>
      </c>
    </row>
    <row r="29" spans="1:22" x14ac:dyDescent="0.3">
      <c r="A29" s="19">
        <v>46024</v>
      </c>
      <c r="B29" s="4" t="s">
        <v>142</v>
      </c>
      <c r="C29" s="4">
        <v>7.4999999999999997E-3</v>
      </c>
      <c r="D29" s="4">
        <v>0.5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13">
        <f t="shared" si="0"/>
        <v>0.50749999999999995</v>
      </c>
    </row>
    <row r="30" spans="1:22" x14ac:dyDescent="0.3">
      <c r="A30" s="19">
        <v>46024</v>
      </c>
      <c r="B30" s="4" t="s">
        <v>141</v>
      </c>
      <c r="C30" s="4">
        <v>7.4999999999999997E-3</v>
      </c>
      <c r="D30" s="4">
        <v>0.5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0.01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13">
        <f t="shared" si="0"/>
        <v>0.51749999999999996</v>
      </c>
    </row>
    <row r="31" spans="1:22" x14ac:dyDescent="0.3">
      <c r="A31" s="19">
        <v>46024</v>
      </c>
      <c r="B31" s="4" t="s">
        <v>140</v>
      </c>
      <c r="C31" s="4">
        <v>7.4999999999999997E-3</v>
      </c>
      <c r="D31" s="4">
        <v>0.5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13">
        <f t="shared" si="0"/>
        <v>0.51749999999999996</v>
      </c>
    </row>
    <row r="32" spans="1:22" x14ac:dyDescent="0.3">
      <c r="A32" s="19">
        <v>46024</v>
      </c>
      <c r="B32" s="4" t="s">
        <v>139</v>
      </c>
      <c r="C32" s="4">
        <v>7.4999999999999997E-3</v>
      </c>
      <c r="D32" s="4">
        <v>0.5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0.01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13">
        <f t="shared" si="0"/>
        <v>0.51749999999999996</v>
      </c>
    </row>
    <row r="33" spans="1:22" x14ac:dyDescent="0.3">
      <c r="A33" s="19">
        <v>46024</v>
      </c>
      <c r="B33" s="4" t="s">
        <v>138</v>
      </c>
      <c r="C33" s="4">
        <v>7.4999999999999997E-3</v>
      </c>
      <c r="D33" s="4">
        <v>0.5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2.2499999999999999E-2</v>
      </c>
      <c r="P33" s="4">
        <v>5.0000000000000001E-3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13">
        <f t="shared" si="0"/>
        <v>0.53499999999999992</v>
      </c>
    </row>
    <row r="34" spans="1:22" x14ac:dyDescent="0.3">
      <c r="A34" s="19">
        <v>46024</v>
      </c>
      <c r="B34" s="4" t="s">
        <v>137</v>
      </c>
      <c r="C34" s="4">
        <v>7.4999999999999997E-3</v>
      </c>
      <c r="D34" s="4">
        <v>0.5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2.2499999999999999E-2</v>
      </c>
      <c r="P34" s="4">
        <v>5.0000000000000001E-3</v>
      </c>
      <c r="Q34" s="4">
        <v>0</v>
      </c>
      <c r="R34" s="4">
        <v>3.2500000000000001E-2</v>
      </c>
      <c r="S34" s="4">
        <v>0</v>
      </c>
      <c r="T34" s="4">
        <v>0</v>
      </c>
      <c r="U34" s="4">
        <v>0</v>
      </c>
      <c r="V34" s="13">
        <f t="shared" si="0"/>
        <v>0.56749999999999989</v>
      </c>
    </row>
    <row r="35" spans="1:22" x14ac:dyDescent="0.3">
      <c r="A35" s="19">
        <v>46024</v>
      </c>
      <c r="B35" s="4" t="s">
        <v>136</v>
      </c>
      <c r="C35" s="4">
        <v>7.4999999999999997E-3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1.7999999999999999E-2</v>
      </c>
      <c r="P35" s="4">
        <v>5.0000000000000001E-3</v>
      </c>
      <c r="Q35" s="4">
        <v>0</v>
      </c>
      <c r="R35" s="4">
        <v>0</v>
      </c>
      <c r="S35" s="4">
        <v>0</v>
      </c>
      <c r="T35" s="4">
        <v>0.16</v>
      </c>
      <c r="U35" s="4">
        <v>0</v>
      </c>
      <c r="V35" s="13">
        <f t="shared" si="0"/>
        <v>1.1904999999999999</v>
      </c>
    </row>
    <row r="36" spans="1:22" x14ac:dyDescent="0.3">
      <c r="A36" s="19">
        <v>46024</v>
      </c>
      <c r="B36" s="4" t="s">
        <v>135</v>
      </c>
      <c r="C36" s="4">
        <v>7.4999999999999997E-3</v>
      </c>
      <c r="D36" s="4">
        <v>1</v>
      </c>
      <c r="E36" s="4">
        <v>0</v>
      </c>
      <c r="F36" s="4">
        <v>0</v>
      </c>
      <c r="G36" s="4">
        <v>1.5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1.7999999999999999E-2</v>
      </c>
      <c r="P36" s="4">
        <v>5.0000000000000001E-3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13">
        <f t="shared" si="0"/>
        <v>2.5305</v>
      </c>
    </row>
    <row r="37" spans="1:22" x14ac:dyDescent="0.3">
      <c r="A37" s="19">
        <v>46024</v>
      </c>
      <c r="B37" s="4" t="s">
        <v>134</v>
      </c>
      <c r="C37" s="4">
        <v>7.4999999999999997E-3</v>
      </c>
      <c r="D37" s="4">
        <v>1</v>
      </c>
      <c r="E37" s="4">
        <v>0</v>
      </c>
      <c r="F37" s="4">
        <v>0</v>
      </c>
      <c r="G37" s="4">
        <v>1.5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1.7999999999999999E-2</v>
      </c>
      <c r="P37" s="4">
        <v>5.0000000000000001E-3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13">
        <f t="shared" si="0"/>
        <v>2.5305</v>
      </c>
    </row>
    <row r="38" spans="1:22" x14ac:dyDescent="0.3">
      <c r="A38" s="19">
        <v>46024</v>
      </c>
      <c r="B38" s="4" t="s">
        <v>133</v>
      </c>
      <c r="C38" s="4">
        <v>7.4999999999999997E-3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8.0000000000000002E-3</v>
      </c>
      <c r="P38" s="4">
        <v>5.0000000000000001E-3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13">
        <f t="shared" si="0"/>
        <v>1.0205</v>
      </c>
    </row>
    <row r="39" spans="1:22" x14ac:dyDescent="0.3">
      <c r="A39" s="19">
        <v>46024</v>
      </c>
      <c r="B39" s="4" t="s">
        <v>132</v>
      </c>
      <c r="C39" s="4">
        <v>7.4999999999999997E-3</v>
      </c>
      <c r="D39" s="4">
        <v>1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8.0000000000000002E-3</v>
      </c>
      <c r="P39" s="4">
        <v>5.0000000000000001E-3</v>
      </c>
      <c r="Q39" s="4">
        <v>0</v>
      </c>
      <c r="R39" s="4">
        <v>3.2500000000000001E-2</v>
      </c>
      <c r="S39" s="4">
        <v>0</v>
      </c>
      <c r="T39" s="4">
        <v>0</v>
      </c>
      <c r="U39" s="4">
        <v>0</v>
      </c>
      <c r="V39" s="13">
        <f t="shared" si="0"/>
        <v>1.0529999999999999</v>
      </c>
    </row>
    <row r="40" spans="1:22" x14ac:dyDescent="0.3">
      <c r="A40" s="19">
        <v>46024</v>
      </c>
      <c r="B40" s="4" t="s">
        <v>131</v>
      </c>
      <c r="C40" s="4">
        <v>7.4999999999999997E-3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0.52500000000000002</v>
      </c>
      <c r="M40" s="4">
        <v>0</v>
      </c>
      <c r="N40" s="4">
        <v>0</v>
      </c>
      <c r="O40" s="4">
        <v>8.0000000000000002E-3</v>
      </c>
      <c r="P40" s="4">
        <v>5.0000000000000001E-3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13">
        <f t="shared" si="0"/>
        <v>1.5455000000000001</v>
      </c>
    </row>
    <row r="41" spans="1:22" x14ac:dyDescent="0.3">
      <c r="A41" s="19">
        <v>46024</v>
      </c>
      <c r="B41" s="4" t="s">
        <v>130</v>
      </c>
      <c r="C41" s="4">
        <v>7.4999999999999997E-3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0.52500000000000002</v>
      </c>
      <c r="M41" s="4">
        <v>0</v>
      </c>
      <c r="N41" s="4">
        <v>0</v>
      </c>
      <c r="O41" s="4">
        <v>0</v>
      </c>
      <c r="P41" s="4">
        <v>5.0000000000000001E-3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13">
        <f t="shared" si="0"/>
        <v>1.5375000000000001</v>
      </c>
    </row>
    <row r="42" spans="1:22" x14ac:dyDescent="0.3">
      <c r="A42" s="19">
        <v>46024</v>
      </c>
      <c r="B42" s="4" t="s">
        <v>129</v>
      </c>
      <c r="C42" s="4">
        <v>7.4999999999999997E-3</v>
      </c>
      <c r="D42" s="4">
        <v>1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0.52500000000000002</v>
      </c>
      <c r="M42" s="4">
        <v>0</v>
      </c>
      <c r="N42" s="4">
        <v>0</v>
      </c>
      <c r="O42" s="4">
        <v>0</v>
      </c>
      <c r="P42" s="4">
        <v>5.0000000000000001E-3</v>
      </c>
      <c r="Q42" s="4">
        <v>0</v>
      </c>
      <c r="R42" s="4">
        <v>0</v>
      </c>
      <c r="S42" s="4">
        <v>2.5000000000000001E-2</v>
      </c>
      <c r="T42" s="4">
        <v>0</v>
      </c>
      <c r="U42" s="4">
        <v>0</v>
      </c>
      <c r="V42" s="13">
        <f t="shared" si="0"/>
        <v>1.5625</v>
      </c>
    </row>
    <row r="43" spans="1:22" x14ac:dyDescent="0.3">
      <c r="A43" s="19">
        <v>46024</v>
      </c>
      <c r="B43" s="4" t="s">
        <v>128</v>
      </c>
      <c r="C43" s="4">
        <v>7.4999999999999997E-3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0.52500000000000002</v>
      </c>
      <c r="M43" s="4">
        <v>0</v>
      </c>
      <c r="N43" s="4">
        <v>0</v>
      </c>
      <c r="O43" s="4">
        <v>0</v>
      </c>
      <c r="P43" s="4">
        <v>5.0000000000000001E-3</v>
      </c>
      <c r="Q43" s="4">
        <v>0</v>
      </c>
      <c r="R43" s="4">
        <v>0</v>
      </c>
      <c r="S43" s="4">
        <v>2.5000000000000001E-2</v>
      </c>
      <c r="T43" s="4">
        <v>0</v>
      </c>
      <c r="U43" s="4">
        <v>0</v>
      </c>
      <c r="V43" s="13">
        <f t="shared" si="0"/>
        <v>1.5625</v>
      </c>
    </row>
    <row r="44" spans="1:22" x14ac:dyDescent="0.3">
      <c r="A44" s="19">
        <v>46024</v>
      </c>
      <c r="B44" s="4" t="s">
        <v>127</v>
      </c>
      <c r="C44" s="4">
        <v>7.4999999999999997E-3</v>
      </c>
      <c r="D44" s="4">
        <v>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0.52500000000000002</v>
      </c>
      <c r="M44" s="4">
        <v>0</v>
      </c>
      <c r="N44" s="4">
        <v>0</v>
      </c>
      <c r="O44" s="4">
        <v>0</v>
      </c>
      <c r="P44" s="4">
        <v>5.0000000000000001E-3</v>
      </c>
      <c r="Q44" s="4">
        <v>0</v>
      </c>
      <c r="R44" s="4">
        <v>0</v>
      </c>
      <c r="S44" s="4">
        <v>2.5000000000000001E-2</v>
      </c>
      <c r="T44" s="4">
        <v>0</v>
      </c>
      <c r="U44" s="4">
        <v>0</v>
      </c>
      <c r="V44" s="13">
        <f t="shared" si="0"/>
        <v>1.5625</v>
      </c>
    </row>
    <row r="45" spans="1:22" x14ac:dyDescent="0.3">
      <c r="A45" s="19">
        <v>46024</v>
      </c>
      <c r="B45" s="4" t="s">
        <v>126</v>
      </c>
      <c r="C45" s="4">
        <v>7.4999999999999997E-3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5.0000000000000001E-3</v>
      </c>
      <c r="Q45" s="4">
        <v>0</v>
      </c>
      <c r="R45" s="4">
        <v>0</v>
      </c>
      <c r="S45" s="4">
        <v>2.5000000000000001E-2</v>
      </c>
      <c r="T45" s="4">
        <v>0</v>
      </c>
      <c r="U45" s="4">
        <v>0</v>
      </c>
      <c r="V45" s="13">
        <f t="shared" si="0"/>
        <v>1.0374999999999999</v>
      </c>
    </row>
    <row r="46" spans="1:22" x14ac:dyDescent="0.3">
      <c r="A46" s="19">
        <v>46024</v>
      </c>
      <c r="B46" s="62" t="s">
        <v>125</v>
      </c>
      <c r="C46" s="62">
        <v>7.4999999999999997E-3</v>
      </c>
      <c r="D46" s="62">
        <v>1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5.0000000000000001E-3</v>
      </c>
      <c r="Q46" s="62">
        <v>0</v>
      </c>
      <c r="R46" s="62">
        <v>0</v>
      </c>
      <c r="S46" s="62">
        <v>2.5000000000000001E-2</v>
      </c>
      <c r="T46" s="62">
        <v>0</v>
      </c>
      <c r="U46" s="62">
        <v>0</v>
      </c>
      <c r="V46" s="13">
        <f t="shared" si="0"/>
        <v>1.0374999999999999</v>
      </c>
    </row>
    <row r="47" spans="1:22" x14ac:dyDescent="0.3">
      <c r="A47" s="19">
        <v>46024</v>
      </c>
      <c r="B47" s="62" t="s">
        <v>124</v>
      </c>
      <c r="C47" s="62">
        <v>7.4999999999999997E-3</v>
      </c>
      <c r="D47" s="62">
        <v>1</v>
      </c>
      <c r="E47" s="62">
        <v>0</v>
      </c>
      <c r="F47" s="62">
        <v>0</v>
      </c>
      <c r="G47" s="62">
        <v>1.5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0.375</v>
      </c>
      <c r="N47" s="62">
        <v>0</v>
      </c>
      <c r="O47" s="62">
        <v>0</v>
      </c>
      <c r="P47" s="62">
        <v>5.0000000000000001E-3</v>
      </c>
      <c r="Q47" s="62">
        <v>0</v>
      </c>
      <c r="R47" s="62">
        <v>0</v>
      </c>
      <c r="S47" s="62">
        <v>2.5000000000000001E-2</v>
      </c>
      <c r="T47" s="62">
        <v>0</v>
      </c>
      <c r="U47" s="62">
        <v>0</v>
      </c>
      <c r="V47" s="13">
        <f t="shared" si="0"/>
        <v>2.9125000000000001</v>
      </c>
    </row>
    <row r="48" spans="1:22" x14ac:dyDescent="0.3">
      <c r="A48" s="19">
        <v>46024</v>
      </c>
      <c r="B48" s="62" t="s">
        <v>123</v>
      </c>
      <c r="C48" s="62">
        <v>7.4999999999999997E-3</v>
      </c>
      <c r="D48" s="62">
        <v>1</v>
      </c>
      <c r="E48" s="62">
        <v>0</v>
      </c>
      <c r="F48" s="62">
        <v>0</v>
      </c>
      <c r="G48" s="62">
        <v>1.5</v>
      </c>
      <c r="H48" s="62">
        <v>0</v>
      </c>
      <c r="I48" s="62">
        <v>0.75</v>
      </c>
      <c r="J48" s="62">
        <v>0</v>
      </c>
      <c r="K48" s="62">
        <v>0</v>
      </c>
      <c r="L48" s="62">
        <v>0</v>
      </c>
      <c r="M48" s="62">
        <v>0.375</v>
      </c>
      <c r="N48" s="62">
        <v>0</v>
      </c>
      <c r="O48" s="62">
        <v>0</v>
      </c>
      <c r="P48" s="62">
        <v>5.0000000000000001E-3</v>
      </c>
      <c r="Q48" s="62">
        <v>0</v>
      </c>
      <c r="R48" s="62">
        <v>0</v>
      </c>
      <c r="S48" s="62">
        <v>2.5000000000000001E-2</v>
      </c>
      <c r="T48" s="62">
        <v>0</v>
      </c>
      <c r="U48" s="62">
        <v>0</v>
      </c>
      <c r="V48" s="13">
        <f t="shared" si="0"/>
        <v>3.6625000000000001</v>
      </c>
    </row>
    <row r="49" spans="1:22" x14ac:dyDescent="0.3">
      <c r="A49" s="19">
        <v>46024</v>
      </c>
      <c r="B49" s="62" t="s">
        <v>122</v>
      </c>
      <c r="C49" s="62">
        <v>7.4999999999999997E-3</v>
      </c>
      <c r="D49" s="62">
        <v>1</v>
      </c>
      <c r="E49" s="62">
        <v>0</v>
      </c>
      <c r="F49" s="62">
        <v>0</v>
      </c>
      <c r="G49" s="62">
        <v>1.5</v>
      </c>
      <c r="H49" s="62">
        <v>0</v>
      </c>
      <c r="I49" s="62">
        <v>0.75</v>
      </c>
      <c r="J49" s="62">
        <v>0</v>
      </c>
      <c r="K49" s="62">
        <v>0</v>
      </c>
      <c r="L49" s="62">
        <v>0</v>
      </c>
      <c r="M49" s="62">
        <v>0.375</v>
      </c>
      <c r="N49" s="62">
        <v>0</v>
      </c>
      <c r="O49" s="62">
        <v>0</v>
      </c>
      <c r="P49" s="62">
        <v>5.0000000000000001E-3</v>
      </c>
      <c r="Q49" s="62">
        <v>0</v>
      </c>
      <c r="R49" s="62">
        <v>0</v>
      </c>
      <c r="S49" s="62">
        <v>2.5000000000000001E-2</v>
      </c>
      <c r="T49" s="62">
        <v>0</v>
      </c>
      <c r="U49" s="62">
        <v>0</v>
      </c>
      <c r="V49" s="13">
        <f t="shared" si="0"/>
        <v>3.6625000000000001</v>
      </c>
    </row>
    <row r="50" spans="1:22" x14ac:dyDescent="0.3">
      <c r="A50" s="19">
        <v>46024</v>
      </c>
      <c r="B50" s="62" t="s">
        <v>121</v>
      </c>
      <c r="C50" s="62">
        <v>7.4999999999999997E-3</v>
      </c>
      <c r="D50" s="62">
        <v>1</v>
      </c>
      <c r="E50" s="62">
        <v>0</v>
      </c>
      <c r="F50" s="62">
        <v>0</v>
      </c>
      <c r="G50" s="62">
        <v>1.5</v>
      </c>
      <c r="H50" s="62">
        <v>0</v>
      </c>
      <c r="I50" s="62">
        <v>0.75</v>
      </c>
      <c r="J50" s="62">
        <v>0</v>
      </c>
      <c r="K50" s="62">
        <v>0</v>
      </c>
      <c r="L50" s="62">
        <v>0</v>
      </c>
      <c r="M50" s="62">
        <v>0.375</v>
      </c>
      <c r="N50" s="62">
        <v>0</v>
      </c>
      <c r="O50" s="62">
        <v>0</v>
      </c>
      <c r="P50" s="62">
        <v>5.0000000000000001E-3</v>
      </c>
      <c r="Q50" s="62">
        <v>0</v>
      </c>
      <c r="R50" s="62">
        <v>0</v>
      </c>
      <c r="S50" s="62">
        <v>2.5000000000000001E-2</v>
      </c>
      <c r="T50" s="62">
        <v>0</v>
      </c>
      <c r="U50" s="62">
        <v>0</v>
      </c>
      <c r="V50" s="13">
        <f t="shared" si="0"/>
        <v>3.6625000000000001</v>
      </c>
    </row>
    <row r="51" spans="1:22" x14ac:dyDescent="0.3">
      <c r="A51" s="19">
        <v>46024</v>
      </c>
      <c r="B51" s="62" t="s">
        <v>120</v>
      </c>
      <c r="C51" s="62">
        <v>7.4999999999999997E-3</v>
      </c>
      <c r="D51" s="62">
        <v>1</v>
      </c>
      <c r="E51" s="62">
        <v>0</v>
      </c>
      <c r="F51" s="62">
        <v>0</v>
      </c>
      <c r="G51" s="62">
        <v>0</v>
      </c>
      <c r="H51" s="62">
        <v>0</v>
      </c>
      <c r="I51" s="62">
        <v>0.75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5.0000000000000001E-3</v>
      </c>
      <c r="Q51" s="62">
        <v>0</v>
      </c>
      <c r="R51" s="62">
        <v>0</v>
      </c>
      <c r="S51" s="62">
        <v>2.5000000000000001E-2</v>
      </c>
      <c r="T51" s="62">
        <v>0</v>
      </c>
      <c r="U51" s="62">
        <v>0</v>
      </c>
      <c r="V51" s="13">
        <f t="shared" si="0"/>
        <v>1.7874999999999999</v>
      </c>
    </row>
    <row r="52" spans="1:22" x14ac:dyDescent="0.3">
      <c r="A52" s="19">
        <v>46024</v>
      </c>
      <c r="B52" s="62" t="s">
        <v>119</v>
      </c>
      <c r="C52" s="62">
        <v>7.4999999999999997E-3</v>
      </c>
      <c r="D52" s="62">
        <v>1</v>
      </c>
      <c r="E52" s="62">
        <v>0</v>
      </c>
      <c r="F52" s="62">
        <v>0</v>
      </c>
      <c r="G52" s="62">
        <v>0</v>
      </c>
      <c r="H52" s="62">
        <v>0</v>
      </c>
      <c r="I52" s="62">
        <v>0.75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5.0000000000000001E-3</v>
      </c>
      <c r="Q52" s="62">
        <v>0</v>
      </c>
      <c r="R52" s="62">
        <v>0</v>
      </c>
      <c r="S52" s="62">
        <v>2.5000000000000001E-2</v>
      </c>
      <c r="T52" s="62">
        <v>0</v>
      </c>
      <c r="U52" s="62">
        <v>0</v>
      </c>
      <c r="V52" s="13">
        <f t="shared" si="0"/>
        <v>1.7874999999999999</v>
      </c>
    </row>
    <row r="53" spans="1:22" x14ac:dyDescent="0.3">
      <c r="A53" s="19">
        <v>46024</v>
      </c>
      <c r="B53" s="62" t="s">
        <v>118</v>
      </c>
      <c r="C53" s="62">
        <v>7.4999999999999997E-3</v>
      </c>
      <c r="D53" s="62">
        <v>1</v>
      </c>
      <c r="E53" s="62">
        <v>0</v>
      </c>
      <c r="F53" s="62">
        <v>0</v>
      </c>
      <c r="G53" s="62">
        <v>0</v>
      </c>
      <c r="H53" s="62">
        <v>0</v>
      </c>
      <c r="I53" s="62">
        <v>0.75</v>
      </c>
      <c r="J53" s="62">
        <v>0</v>
      </c>
      <c r="K53" s="62">
        <v>0</v>
      </c>
      <c r="L53" s="62">
        <v>0</v>
      </c>
      <c r="M53" s="62">
        <v>0</v>
      </c>
      <c r="N53" s="62">
        <v>0</v>
      </c>
      <c r="O53" s="62">
        <v>0</v>
      </c>
      <c r="P53" s="62">
        <v>5.0000000000000001E-3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13">
        <f t="shared" si="0"/>
        <v>1.7625</v>
      </c>
    </row>
    <row r="54" spans="1:22" x14ac:dyDescent="0.3">
      <c r="A54" s="19">
        <v>46024</v>
      </c>
      <c r="B54" s="62" t="s">
        <v>117</v>
      </c>
      <c r="C54" s="62">
        <v>7.4999999999999997E-3</v>
      </c>
      <c r="D54" s="62">
        <v>1</v>
      </c>
      <c r="E54" s="62">
        <v>0</v>
      </c>
      <c r="F54" s="62">
        <v>0</v>
      </c>
      <c r="G54" s="62">
        <v>0</v>
      </c>
      <c r="H54" s="62">
        <v>0</v>
      </c>
      <c r="I54" s="62">
        <v>0.75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5.0000000000000001E-3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13">
        <f t="shared" si="0"/>
        <v>1.7625</v>
      </c>
    </row>
    <row r="55" spans="1:22" x14ac:dyDescent="0.3">
      <c r="A55" s="19">
        <v>46024</v>
      </c>
      <c r="B55" s="4" t="s">
        <v>116</v>
      </c>
      <c r="C55" s="4">
        <v>7.4999999999999997E-3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0.55000000000000004</v>
      </c>
      <c r="O55" s="4">
        <v>0</v>
      </c>
      <c r="P55" s="4">
        <v>5.0000000000000001E-3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13">
        <f t="shared" si="0"/>
        <v>1.5625</v>
      </c>
    </row>
    <row r="56" spans="1:22" x14ac:dyDescent="0.3">
      <c r="A56" s="19">
        <v>46024</v>
      </c>
      <c r="B56" s="4" t="s">
        <v>115</v>
      </c>
      <c r="C56" s="4">
        <v>7.4999999999999997E-3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0.55000000000000004</v>
      </c>
      <c r="O56" s="4">
        <v>0</v>
      </c>
      <c r="P56" s="4">
        <v>5.0000000000000001E-3</v>
      </c>
      <c r="Q56" s="4">
        <v>0</v>
      </c>
      <c r="R56" s="4">
        <v>3.2500000000000001E-2</v>
      </c>
      <c r="S56" s="4">
        <v>0</v>
      </c>
      <c r="T56" s="4">
        <v>0</v>
      </c>
      <c r="U56" s="4">
        <v>0</v>
      </c>
      <c r="V56" s="13">
        <f t="shared" si="0"/>
        <v>1.595</v>
      </c>
    </row>
    <row r="57" spans="1:22" x14ac:dyDescent="0.3">
      <c r="A57" s="19">
        <v>46024</v>
      </c>
      <c r="B57" s="4" t="s">
        <v>114</v>
      </c>
      <c r="C57" s="4">
        <v>7.4999999999999997E-3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0.55000000000000004</v>
      </c>
      <c r="O57" s="4">
        <v>0</v>
      </c>
      <c r="P57" s="4">
        <v>5.0000000000000001E-3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13">
        <f t="shared" si="0"/>
        <v>1.5625</v>
      </c>
    </row>
    <row r="58" spans="1:22" x14ac:dyDescent="0.3">
      <c r="A58" s="19">
        <v>46024</v>
      </c>
      <c r="B58" s="4" t="s">
        <v>113</v>
      </c>
      <c r="C58" s="4">
        <v>7.4999999999999997E-3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6.25E-2</v>
      </c>
      <c r="L58" s="4">
        <v>0</v>
      </c>
      <c r="M58" s="4">
        <v>0</v>
      </c>
      <c r="N58" s="4">
        <v>0.55000000000000004</v>
      </c>
      <c r="O58" s="4">
        <v>0</v>
      </c>
      <c r="P58" s="4">
        <v>5.0000000000000001E-3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13">
        <f t="shared" si="0"/>
        <v>1.625</v>
      </c>
    </row>
    <row r="59" spans="1:22" x14ac:dyDescent="0.3">
      <c r="A59" s="19">
        <v>46024</v>
      </c>
      <c r="B59" s="4" t="s">
        <v>112</v>
      </c>
      <c r="C59" s="4">
        <v>7.4999999999999997E-3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6.25E-2</v>
      </c>
      <c r="L59" s="4">
        <v>0</v>
      </c>
      <c r="M59" s="4">
        <v>0</v>
      </c>
      <c r="N59" s="4">
        <v>0.55000000000000004</v>
      </c>
      <c r="O59" s="4">
        <v>0</v>
      </c>
      <c r="P59" s="4">
        <v>5.0000000000000001E-3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13">
        <f t="shared" si="0"/>
        <v>1.625</v>
      </c>
    </row>
    <row r="60" spans="1:22" x14ac:dyDescent="0.3">
      <c r="A60" s="19">
        <v>46024</v>
      </c>
      <c r="B60" s="4" t="s">
        <v>111</v>
      </c>
      <c r="C60" s="4">
        <v>7.4999999999999997E-3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2.1250000000000002E-2</v>
      </c>
      <c r="K60" s="4">
        <v>6.25E-2</v>
      </c>
      <c r="L60" s="4">
        <v>0</v>
      </c>
      <c r="M60" s="4">
        <v>0</v>
      </c>
      <c r="N60" s="4">
        <v>0</v>
      </c>
      <c r="O60" s="4">
        <v>0</v>
      </c>
      <c r="P60" s="4">
        <v>5.0000000000000001E-3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13">
        <f t="shared" si="0"/>
        <v>1.0962499999999999</v>
      </c>
    </row>
    <row r="61" spans="1:22" x14ac:dyDescent="0.3">
      <c r="A61" s="19">
        <v>46024</v>
      </c>
      <c r="B61" s="4" t="s">
        <v>110</v>
      </c>
      <c r="C61" s="4">
        <v>7.4999999999999997E-3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2.1250000000000002E-2</v>
      </c>
      <c r="K61" s="4">
        <v>6.25E-2</v>
      </c>
      <c r="L61" s="4">
        <v>0</v>
      </c>
      <c r="M61" s="4">
        <v>0</v>
      </c>
      <c r="N61" s="4">
        <v>0</v>
      </c>
      <c r="O61" s="4">
        <v>0</v>
      </c>
      <c r="P61" s="4">
        <v>5.0000000000000001E-3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13">
        <f t="shared" si="0"/>
        <v>1.0962499999999999</v>
      </c>
    </row>
    <row r="62" spans="1:22" x14ac:dyDescent="0.3">
      <c r="A62" s="19">
        <v>46024</v>
      </c>
      <c r="B62" s="4" t="s">
        <v>109</v>
      </c>
      <c r="C62" s="4">
        <v>7.4999999999999997E-3</v>
      </c>
      <c r="D62" s="4">
        <v>0.5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2.1250000000000002E-2</v>
      </c>
      <c r="K62" s="4">
        <v>6.25E-2</v>
      </c>
      <c r="L62" s="4">
        <v>0</v>
      </c>
      <c r="M62" s="4">
        <v>0</v>
      </c>
      <c r="N62" s="4">
        <v>0</v>
      </c>
      <c r="O62" s="4">
        <v>0</v>
      </c>
      <c r="P62" s="4">
        <v>5.0000000000000001E-3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13">
        <f t="shared" si="0"/>
        <v>0.59624999999999995</v>
      </c>
    </row>
    <row r="63" spans="1:22" x14ac:dyDescent="0.3">
      <c r="A63" s="19">
        <v>46024</v>
      </c>
      <c r="B63" s="4" t="s">
        <v>108</v>
      </c>
      <c r="C63" s="4">
        <v>7.4999999999999997E-3</v>
      </c>
      <c r="D63" s="4">
        <v>0.5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2.1250000000000002E-2</v>
      </c>
      <c r="K63" s="4">
        <v>6.25E-2</v>
      </c>
      <c r="L63" s="4">
        <v>0</v>
      </c>
      <c r="M63" s="4">
        <v>0</v>
      </c>
      <c r="N63" s="4">
        <v>0</v>
      </c>
      <c r="O63" s="4">
        <v>0</v>
      </c>
      <c r="P63" s="4">
        <v>5.0000000000000001E-3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13">
        <f t="shared" si="0"/>
        <v>0.59624999999999995</v>
      </c>
    </row>
    <row r="64" spans="1:22" x14ac:dyDescent="0.3">
      <c r="A64" s="19">
        <v>46024</v>
      </c>
      <c r="B64" s="4" t="s">
        <v>107</v>
      </c>
      <c r="C64" s="4">
        <v>7.4999999999999997E-3</v>
      </c>
      <c r="D64" s="4">
        <v>0.5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2.1250000000000002E-2</v>
      </c>
      <c r="K64" s="4">
        <v>6.25E-2</v>
      </c>
      <c r="L64" s="4">
        <v>0</v>
      </c>
      <c r="M64" s="4">
        <v>0</v>
      </c>
      <c r="N64" s="4">
        <v>0</v>
      </c>
      <c r="O64" s="4">
        <v>0</v>
      </c>
      <c r="P64" s="4">
        <v>5.0000000000000001E-3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13">
        <f t="shared" si="0"/>
        <v>0.59624999999999995</v>
      </c>
    </row>
    <row r="65" spans="1:22" x14ac:dyDescent="0.3">
      <c r="A65" s="19">
        <v>46024</v>
      </c>
      <c r="B65" s="4" t="s">
        <v>106</v>
      </c>
      <c r="C65" s="4">
        <v>7.4999999999999997E-3</v>
      </c>
      <c r="D65" s="4">
        <v>0.5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2.1250000000000002E-2</v>
      </c>
      <c r="K65" s="4">
        <v>6.25E-2</v>
      </c>
      <c r="L65" s="4">
        <v>0</v>
      </c>
      <c r="M65" s="4">
        <v>0</v>
      </c>
      <c r="N65" s="4">
        <v>0</v>
      </c>
      <c r="O65" s="4">
        <v>0</v>
      </c>
      <c r="P65" s="4">
        <v>5.0000000000000001E-3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13">
        <f t="shared" si="0"/>
        <v>0.59624999999999995</v>
      </c>
    </row>
    <row r="66" spans="1:22" x14ac:dyDescent="0.3">
      <c r="A66" s="19">
        <v>46024</v>
      </c>
      <c r="B66" s="62" t="s">
        <v>105</v>
      </c>
      <c r="C66" s="62">
        <v>7.4999999999999997E-3</v>
      </c>
      <c r="D66" s="62">
        <v>0.5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2.1250000000000002E-2</v>
      </c>
      <c r="K66" s="62">
        <v>6.25E-2</v>
      </c>
      <c r="L66" s="62">
        <v>0</v>
      </c>
      <c r="M66" s="62">
        <v>0</v>
      </c>
      <c r="N66" s="62">
        <v>0</v>
      </c>
      <c r="O66" s="62">
        <v>6.0000000000000001E-3</v>
      </c>
      <c r="P66" s="62">
        <v>5.0000000000000001E-3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13">
        <f t="shared" si="0"/>
        <v>0.60224999999999995</v>
      </c>
    </row>
    <row r="67" spans="1:22" x14ac:dyDescent="0.3">
      <c r="A67" s="19">
        <v>46024</v>
      </c>
      <c r="B67" s="62" t="s">
        <v>104</v>
      </c>
      <c r="C67" s="62">
        <v>7.4999999999999997E-3</v>
      </c>
      <c r="D67" s="62">
        <v>0.5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2.1250000000000002E-2</v>
      </c>
      <c r="K67" s="62">
        <v>6.25E-2</v>
      </c>
      <c r="L67" s="62">
        <v>0</v>
      </c>
      <c r="M67" s="62">
        <v>0</v>
      </c>
      <c r="N67" s="62">
        <v>0</v>
      </c>
      <c r="O67" s="62">
        <v>6.0000000000000001E-3</v>
      </c>
      <c r="P67" s="62">
        <v>5.0000000000000001E-3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13">
        <f t="shared" ref="V67:V97" si="1">C67+D67+E67+F67+G67+H67+I67+J67+K67+L67+M67+N67+O67+P67+Q67+R67+S67+T67+U67</f>
        <v>0.60224999999999995</v>
      </c>
    </row>
    <row r="68" spans="1:22" x14ac:dyDescent="0.3">
      <c r="A68" s="19">
        <v>46024</v>
      </c>
      <c r="B68" s="62" t="s">
        <v>103</v>
      </c>
      <c r="C68" s="62">
        <v>7.4999999999999997E-3</v>
      </c>
      <c r="D68" s="62">
        <v>0.5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2.1250000000000002E-2</v>
      </c>
      <c r="K68" s="62">
        <v>6.25E-2</v>
      </c>
      <c r="L68" s="62">
        <v>0</v>
      </c>
      <c r="M68" s="62">
        <v>0</v>
      </c>
      <c r="N68" s="62">
        <v>0</v>
      </c>
      <c r="O68" s="62">
        <v>6.0000000000000001E-3</v>
      </c>
      <c r="P68" s="62">
        <v>5.0000000000000001E-3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13">
        <f t="shared" si="1"/>
        <v>0.60224999999999995</v>
      </c>
    </row>
    <row r="69" spans="1:22" x14ac:dyDescent="0.3">
      <c r="A69" s="19">
        <v>46024</v>
      </c>
      <c r="B69" s="62" t="s">
        <v>102</v>
      </c>
      <c r="C69" s="62">
        <v>7.4999999999999997E-3</v>
      </c>
      <c r="D69" s="62">
        <v>0.5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2.1250000000000002E-2</v>
      </c>
      <c r="K69" s="62">
        <v>6.25E-2</v>
      </c>
      <c r="L69" s="62">
        <v>0</v>
      </c>
      <c r="M69" s="62">
        <v>0</v>
      </c>
      <c r="N69" s="62">
        <v>0</v>
      </c>
      <c r="O69" s="62">
        <v>6.0000000000000001E-3</v>
      </c>
      <c r="P69" s="62">
        <v>5.0000000000000001E-3</v>
      </c>
      <c r="Q69" s="62">
        <v>0</v>
      </c>
      <c r="R69" s="62">
        <v>3.2500000000000001E-2</v>
      </c>
      <c r="S69" s="62">
        <v>0</v>
      </c>
      <c r="T69" s="62">
        <v>0</v>
      </c>
      <c r="U69" s="62">
        <v>0</v>
      </c>
      <c r="V69" s="13">
        <f t="shared" si="1"/>
        <v>0.63474999999999993</v>
      </c>
    </row>
    <row r="70" spans="1:22" x14ac:dyDescent="0.3">
      <c r="A70" s="19">
        <v>46024</v>
      </c>
      <c r="B70" s="62" t="s">
        <v>101</v>
      </c>
      <c r="C70" s="62">
        <v>7.4999999999999997E-3</v>
      </c>
      <c r="D70" s="62">
        <v>0.5</v>
      </c>
      <c r="E70" s="62">
        <v>0</v>
      </c>
      <c r="F70" s="62">
        <v>0</v>
      </c>
      <c r="G70" s="62">
        <v>0</v>
      </c>
      <c r="H70" s="62">
        <v>0.375</v>
      </c>
      <c r="I70" s="62">
        <v>0</v>
      </c>
      <c r="J70" s="62">
        <v>2.1250000000000002E-2</v>
      </c>
      <c r="K70" s="62">
        <v>6.25E-2</v>
      </c>
      <c r="L70" s="62">
        <v>0</v>
      </c>
      <c r="M70" s="62">
        <v>0</v>
      </c>
      <c r="N70" s="62">
        <v>0</v>
      </c>
      <c r="O70" s="62">
        <v>6.0000000000000001E-3</v>
      </c>
      <c r="P70" s="62">
        <v>5.0000000000000001E-3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13">
        <f t="shared" si="1"/>
        <v>0.97724999999999995</v>
      </c>
    </row>
    <row r="71" spans="1:22" x14ac:dyDescent="0.3">
      <c r="A71" s="19">
        <v>46024</v>
      </c>
      <c r="B71" s="62" t="s">
        <v>100</v>
      </c>
      <c r="C71" s="62">
        <v>7.4999999999999997E-3</v>
      </c>
      <c r="D71" s="62">
        <v>0.5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2.1250000000000002E-2</v>
      </c>
      <c r="K71" s="62">
        <v>6.25E-2</v>
      </c>
      <c r="L71" s="62">
        <v>0</v>
      </c>
      <c r="M71" s="62">
        <v>0</v>
      </c>
      <c r="N71" s="62">
        <v>0</v>
      </c>
      <c r="O71" s="62">
        <v>6.0000000000000001E-3</v>
      </c>
      <c r="P71" s="62">
        <v>5.0000000000000001E-3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13">
        <f t="shared" si="1"/>
        <v>0.60224999999999995</v>
      </c>
    </row>
    <row r="72" spans="1:22" x14ac:dyDescent="0.3">
      <c r="A72" s="19">
        <v>46024</v>
      </c>
      <c r="B72" s="62" t="s">
        <v>99</v>
      </c>
      <c r="C72" s="62">
        <v>7.4999999999999997E-3</v>
      </c>
      <c r="D72" s="62">
        <v>0.5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2.1250000000000002E-2</v>
      </c>
      <c r="K72" s="62">
        <v>6.25E-2</v>
      </c>
      <c r="L72" s="62">
        <v>0</v>
      </c>
      <c r="M72" s="62">
        <v>0</v>
      </c>
      <c r="N72" s="62">
        <v>0</v>
      </c>
      <c r="O72" s="62">
        <v>6.0000000000000001E-3</v>
      </c>
      <c r="P72" s="62">
        <v>5.0000000000000001E-3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13">
        <f t="shared" si="1"/>
        <v>0.60224999999999995</v>
      </c>
    </row>
    <row r="73" spans="1:22" x14ac:dyDescent="0.3">
      <c r="A73" s="19">
        <v>46024</v>
      </c>
      <c r="B73" s="62" t="s">
        <v>98</v>
      </c>
      <c r="C73" s="62">
        <v>7.4999999999999997E-3</v>
      </c>
      <c r="D73" s="62">
        <v>0.5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6.25E-2</v>
      </c>
      <c r="L73" s="62">
        <v>0</v>
      </c>
      <c r="M73" s="62">
        <v>0</v>
      </c>
      <c r="N73" s="62">
        <v>0</v>
      </c>
      <c r="O73" s="62">
        <v>6.0000000000000001E-3</v>
      </c>
      <c r="P73" s="62">
        <v>5.0000000000000001E-3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13">
        <f t="shared" si="1"/>
        <v>0.58099999999999996</v>
      </c>
    </row>
    <row r="74" spans="1:22" x14ac:dyDescent="0.3">
      <c r="A74" s="19">
        <v>46024</v>
      </c>
      <c r="B74" s="62" t="s">
        <v>97</v>
      </c>
      <c r="C74" s="62">
        <v>7.4999999999999997E-3</v>
      </c>
      <c r="D74" s="62">
        <v>0.5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6.25E-2</v>
      </c>
      <c r="L74" s="62">
        <v>0</v>
      </c>
      <c r="M74" s="62">
        <v>0</v>
      </c>
      <c r="N74" s="62">
        <v>0</v>
      </c>
      <c r="O74" s="62">
        <v>6.0000000000000001E-3</v>
      </c>
      <c r="P74" s="62">
        <v>5.0000000000000001E-3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13">
        <f t="shared" si="1"/>
        <v>0.58099999999999996</v>
      </c>
    </row>
    <row r="75" spans="1:22" x14ac:dyDescent="0.3">
      <c r="A75" s="19">
        <v>46024</v>
      </c>
      <c r="B75" s="4" t="s">
        <v>96</v>
      </c>
      <c r="C75" s="4">
        <v>7.4999999999999997E-3</v>
      </c>
      <c r="D75" s="4">
        <v>0.5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1.2999999999999999E-2</v>
      </c>
      <c r="P75" s="4">
        <v>5.0000000000000001E-3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13">
        <f t="shared" si="1"/>
        <v>0.52549999999999997</v>
      </c>
    </row>
    <row r="76" spans="1:22" x14ac:dyDescent="0.3">
      <c r="A76" s="19">
        <v>46024</v>
      </c>
      <c r="B76" s="4" t="s">
        <v>95</v>
      </c>
      <c r="C76" s="4">
        <v>7.4999999999999997E-3</v>
      </c>
      <c r="D76" s="4">
        <v>1</v>
      </c>
      <c r="E76" s="4">
        <v>0</v>
      </c>
      <c r="F76" s="4">
        <v>0</v>
      </c>
      <c r="G76" s="4">
        <v>1.5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1.2999999999999999E-2</v>
      </c>
      <c r="P76" s="4">
        <v>5.0000000000000001E-3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13">
        <f t="shared" si="1"/>
        <v>2.5255000000000001</v>
      </c>
    </row>
    <row r="77" spans="1:22" x14ac:dyDescent="0.3">
      <c r="A77" s="19">
        <v>46024</v>
      </c>
      <c r="B77" s="4" t="s">
        <v>94</v>
      </c>
      <c r="C77" s="4">
        <v>7.4999999999999997E-3</v>
      </c>
      <c r="D77" s="4">
        <v>1</v>
      </c>
      <c r="E77" s="4">
        <v>0</v>
      </c>
      <c r="F77" s="4">
        <v>0</v>
      </c>
      <c r="G77" s="4">
        <v>1.5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1.2999999999999999E-2</v>
      </c>
      <c r="P77" s="4">
        <v>5.0000000000000001E-3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13">
        <f t="shared" si="1"/>
        <v>2.5255000000000001</v>
      </c>
    </row>
    <row r="78" spans="1:22" x14ac:dyDescent="0.3">
      <c r="A78" s="19">
        <v>46024</v>
      </c>
      <c r="B78" s="4" t="s">
        <v>93</v>
      </c>
      <c r="C78" s="4">
        <v>7.4999999999999997E-3</v>
      </c>
      <c r="D78" s="4">
        <v>1</v>
      </c>
      <c r="E78" s="4">
        <v>0</v>
      </c>
      <c r="F78" s="4">
        <v>0</v>
      </c>
      <c r="G78" s="4">
        <v>1.5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1.2999999999999999E-2</v>
      </c>
      <c r="P78" s="4">
        <v>5.0000000000000001E-3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13">
        <f t="shared" si="1"/>
        <v>2.5255000000000001</v>
      </c>
    </row>
    <row r="79" spans="1:22" x14ac:dyDescent="0.3">
      <c r="A79" s="19">
        <v>46024</v>
      </c>
      <c r="B79" s="4" t="s">
        <v>92</v>
      </c>
      <c r="C79" s="4">
        <v>7.4999999999999997E-3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2.1250000000000002E-2</v>
      </c>
      <c r="K79" s="4">
        <v>0</v>
      </c>
      <c r="L79" s="4">
        <v>0</v>
      </c>
      <c r="M79" s="4">
        <v>0</v>
      </c>
      <c r="N79" s="4">
        <v>0</v>
      </c>
      <c r="O79" s="4">
        <v>1.2999999999999999E-2</v>
      </c>
      <c r="P79" s="4">
        <v>5.0000000000000001E-3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13">
        <f t="shared" si="1"/>
        <v>1.0467499999999998</v>
      </c>
    </row>
    <row r="80" spans="1:22" x14ac:dyDescent="0.3">
      <c r="A80" s="19">
        <v>46024</v>
      </c>
      <c r="B80" s="4" t="s">
        <v>91</v>
      </c>
      <c r="C80" s="4">
        <v>7.4999999999999997E-3</v>
      </c>
      <c r="D80" s="4">
        <v>1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2.1250000000000002E-2</v>
      </c>
      <c r="K80" s="4">
        <v>0</v>
      </c>
      <c r="L80" s="4">
        <v>0</v>
      </c>
      <c r="M80" s="4">
        <v>0</v>
      </c>
      <c r="N80" s="4">
        <v>0</v>
      </c>
      <c r="O80" s="4">
        <v>1.2999999999999999E-2</v>
      </c>
      <c r="P80" s="4">
        <v>5.0000000000000001E-3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13">
        <f t="shared" si="1"/>
        <v>1.0467499999999998</v>
      </c>
    </row>
    <row r="81" spans="1:22" x14ac:dyDescent="0.3">
      <c r="A81" s="19">
        <v>46024</v>
      </c>
      <c r="B81" s="4" t="s">
        <v>90</v>
      </c>
      <c r="C81" s="4">
        <v>7.4999999999999997E-3</v>
      </c>
      <c r="D81" s="4">
        <v>0.5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2.1250000000000002E-2</v>
      </c>
      <c r="K81" s="4">
        <v>0</v>
      </c>
      <c r="L81" s="4">
        <v>0</v>
      </c>
      <c r="M81" s="4">
        <v>0</v>
      </c>
      <c r="N81" s="4">
        <v>0</v>
      </c>
      <c r="O81" s="4">
        <v>1.2999999999999999E-2</v>
      </c>
      <c r="P81" s="4">
        <v>5.0000000000000001E-3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13">
        <f t="shared" si="1"/>
        <v>0.54674999999999996</v>
      </c>
    </row>
    <row r="82" spans="1:22" x14ac:dyDescent="0.3">
      <c r="A82" s="19">
        <v>46024</v>
      </c>
      <c r="B82" s="4" t="s">
        <v>89</v>
      </c>
      <c r="C82" s="4">
        <v>7.4999999999999997E-3</v>
      </c>
      <c r="D82" s="4">
        <v>0.5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2.1250000000000002E-2</v>
      </c>
      <c r="K82" s="4">
        <v>0</v>
      </c>
      <c r="L82" s="4">
        <v>0</v>
      </c>
      <c r="M82" s="4">
        <v>0</v>
      </c>
      <c r="N82" s="4">
        <v>0</v>
      </c>
      <c r="O82" s="4">
        <v>2.2499999999999999E-2</v>
      </c>
      <c r="P82" s="4">
        <v>5.0000000000000001E-3</v>
      </c>
      <c r="Q82" s="4">
        <v>0</v>
      </c>
      <c r="R82" s="4">
        <v>0</v>
      </c>
      <c r="S82" s="4">
        <v>2.5000000000000001E-2</v>
      </c>
      <c r="T82" s="4">
        <v>0</v>
      </c>
      <c r="U82" s="4">
        <v>0</v>
      </c>
      <c r="V82" s="13">
        <f t="shared" si="1"/>
        <v>0.58124999999999993</v>
      </c>
    </row>
    <row r="83" spans="1:22" x14ac:dyDescent="0.3">
      <c r="A83" s="19">
        <v>46024</v>
      </c>
      <c r="B83" s="4" t="s">
        <v>88</v>
      </c>
      <c r="C83" s="4">
        <v>7.4999999999999997E-3</v>
      </c>
      <c r="D83" s="4">
        <v>0.5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2.1250000000000002E-2</v>
      </c>
      <c r="K83" s="4">
        <v>0</v>
      </c>
      <c r="L83" s="4">
        <v>0</v>
      </c>
      <c r="M83" s="4">
        <v>0</v>
      </c>
      <c r="N83" s="4">
        <v>0</v>
      </c>
      <c r="O83" s="4">
        <v>2.2499999999999999E-2</v>
      </c>
      <c r="P83" s="4">
        <v>5.0000000000000001E-3</v>
      </c>
      <c r="Q83" s="4">
        <v>0</v>
      </c>
      <c r="R83" s="4">
        <v>0</v>
      </c>
      <c r="S83" s="4">
        <v>2.5000000000000001E-2</v>
      </c>
      <c r="T83" s="4">
        <v>0</v>
      </c>
      <c r="U83" s="4">
        <v>0</v>
      </c>
      <c r="V83" s="13">
        <f t="shared" si="1"/>
        <v>0.58124999999999993</v>
      </c>
    </row>
    <row r="84" spans="1:22" x14ac:dyDescent="0.3">
      <c r="A84" s="19">
        <v>46024</v>
      </c>
      <c r="B84" s="4" t="s">
        <v>87</v>
      </c>
      <c r="C84" s="4">
        <v>7.4999999999999997E-3</v>
      </c>
      <c r="D84" s="4">
        <v>0.5</v>
      </c>
      <c r="E84" s="4">
        <v>3.7499999999999999E-3</v>
      </c>
      <c r="F84" s="4">
        <v>0</v>
      </c>
      <c r="G84" s="4">
        <v>0</v>
      </c>
      <c r="H84" s="4">
        <v>0</v>
      </c>
      <c r="I84" s="4">
        <v>0</v>
      </c>
      <c r="J84" s="4">
        <v>2.1250000000000002E-2</v>
      </c>
      <c r="K84" s="4">
        <v>0</v>
      </c>
      <c r="L84" s="4">
        <v>0</v>
      </c>
      <c r="M84" s="4">
        <v>0</v>
      </c>
      <c r="N84" s="4">
        <v>0</v>
      </c>
      <c r="O84" s="4">
        <v>2.2499999999999999E-2</v>
      </c>
      <c r="P84" s="4">
        <v>5.0000000000000001E-3</v>
      </c>
      <c r="Q84" s="4">
        <v>0</v>
      </c>
      <c r="R84" s="4">
        <v>0</v>
      </c>
      <c r="S84" s="4">
        <v>2.5000000000000001E-2</v>
      </c>
      <c r="T84" s="4">
        <v>0</v>
      </c>
      <c r="U84" s="4">
        <v>0</v>
      </c>
      <c r="V84" s="13">
        <f t="shared" si="1"/>
        <v>0.58499999999999996</v>
      </c>
    </row>
    <row r="85" spans="1:22" x14ac:dyDescent="0.3">
      <c r="A85" s="19">
        <v>46024</v>
      </c>
      <c r="B85" s="4" t="s">
        <v>86</v>
      </c>
      <c r="C85" s="4">
        <v>7.4999999999999997E-3</v>
      </c>
      <c r="D85" s="4">
        <v>0.5</v>
      </c>
      <c r="E85" s="4">
        <v>3.7499999999999999E-3</v>
      </c>
      <c r="F85" s="4">
        <v>0</v>
      </c>
      <c r="G85" s="4">
        <v>0</v>
      </c>
      <c r="H85" s="4">
        <v>0</v>
      </c>
      <c r="I85" s="4">
        <v>0</v>
      </c>
      <c r="J85" s="4">
        <v>2.1250000000000002E-2</v>
      </c>
      <c r="K85" s="4">
        <v>0</v>
      </c>
      <c r="L85" s="4">
        <v>0</v>
      </c>
      <c r="M85" s="4">
        <v>0</v>
      </c>
      <c r="N85" s="4">
        <v>0</v>
      </c>
      <c r="O85" s="4">
        <v>2.2499999999999999E-2</v>
      </c>
      <c r="P85" s="4">
        <v>5.0000000000000001E-3</v>
      </c>
      <c r="Q85">
        <v>0.05</v>
      </c>
      <c r="R85" s="4">
        <v>0</v>
      </c>
      <c r="S85" s="4">
        <v>2.5000000000000001E-2</v>
      </c>
      <c r="T85" s="4">
        <v>0</v>
      </c>
      <c r="U85" s="4">
        <v>0</v>
      </c>
      <c r="V85" s="13">
        <f t="shared" si="1"/>
        <v>0.63500000000000001</v>
      </c>
    </row>
    <row r="86" spans="1:22" x14ac:dyDescent="0.3">
      <c r="A86" s="19">
        <v>46024</v>
      </c>
      <c r="B86" s="4" t="s">
        <v>85</v>
      </c>
      <c r="C86" s="4">
        <v>7.4999999999999997E-3</v>
      </c>
      <c r="D86" s="4">
        <v>0.5</v>
      </c>
      <c r="E86" s="4">
        <v>3.7499999999999999E-3</v>
      </c>
      <c r="F86" s="4">
        <v>0</v>
      </c>
      <c r="G86" s="4">
        <v>0</v>
      </c>
      <c r="H86" s="4">
        <v>0</v>
      </c>
      <c r="I86" s="4">
        <v>0</v>
      </c>
      <c r="J86" s="4">
        <v>2.1250000000000002E-2</v>
      </c>
      <c r="K86" s="4">
        <v>0</v>
      </c>
      <c r="L86" s="4">
        <v>0</v>
      </c>
      <c r="M86" s="4">
        <v>0</v>
      </c>
      <c r="N86" s="4">
        <v>0</v>
      </c>
      <c r="O86" s="4">
        <v>2.2499999999999999E-2</v>
      </c>
      <c r="P86" s="4">
        <v>5.0000000000000001E-3</v>
      </c>
      <c r="Q86" s="4">
        <v>0</v>
      </c>
      <c r="R86" s="4">
        <v>0</v>
      </c>
      <c r="S86" s="4">
        <v>2.5000000000000001E-2</v>
      </c>
      <c r="T86" s="4">
        <v>0</v>
      </c>
      <c r="U86" s="4">
        <v>0</v>
      </c>
      <c r="V86" s="13">
        <f t="shared" si="1"/>
        <v>0.58499999999999996</v>
      </c>
    </row>
    <row r="87" spans="1:22" x14ac:dyDescent="0.3">
      <c r="A87" s="19">
        <v>46024</v>
      </c>
      <c r="B87" s="4" t="s">
        <v>84</v>
      </c>
      <c r="C87" s="4">
        <v>7.4999999999999997E-3</v>
      </c>
      <c r="D87" s="4">
        <v>0.5</v>
      </c>
      <c r="E87" s="4">
        <v>3.7499999999999999E-3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2.2499999999999999E-2</v>
      </c>
      <c r="P87" s="4">
        <v>5.0000000000000001E-3</v>
      </c>
      <c r="Q87" s="4">
        <v>0</v>
      </c>
      <c r="R87" s="4">
        <v>0</v>
      </c>
      <c r="S87" s="4">
        <v>2.5000000000000001E-2</v>
      </c>
      <c r="T87" s="4">
        <v>0</v>
      </c>
      <c r="U87" s="4">
        <v>0</v>
      </c>
      <c r="V87" s="13">
        <f t="shared" si="1"/>
        <v>0.56374999999999997</v>
      </c>
    </row>
    <row r="88" spans="1:22" x14ac:dyDescent="0.3">
      <c r="A88" s="19">
        <v>46024</v>
      </c>
      <c r="B88" s="4" t="s">
        <v>83</v>
      </c>
      <c r="C88" s="4">
        <v>7.4999999999999997E-3</v>
      </c>
      <c r="D88" s="4">
        <v>0.5</v>
      </c>
      <c r="E88" s="4">
        <v>3.7499999999999999E-3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0.55000000000000004</v>
      </c>
      <c r="O88" s="4">
        <v>1.0999999999999999E-2</v>
      </c>
      <c r="P88" s="4">
        <v>5.0000000000000001E-3</v>
      </c>
      <c r="Q88" s="4">
        <v>0</v>
      </c>
      <c r="R88" s="4">
        <v>0</v>
      </c>
      <c r="S88" s="4">
        <v>2.5000000000000001E-2</v>
      </c>
      <c r="T88" s="4">
        <v>0</v>
      </c>
      <c r="U88" s="4">
        <v>0</v>
      </c>
      <c r="V88" s="13">
        <f t="shared" si="1"/>
        <v>1.1022499999999997</v>
      </c>
    </row>
    <row r="89" spans="1:22" x14ac:dyDescent="0.3">
      <c r="A89" s="19">
        <v>46024</v>
      </c>
      <c r="B89" s="4" t="s">
        <v>82</v>
      </c>
      <c r="C89" s="4">
        <v>7.4999999999999997E-3</v>
      </c>
      <c r="D89" s="4">
        <v>0.5</v>
      </c>
      <c r="E89" s="4">
        <v>3.7499999999999999E-3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0.55000000000000004</v>
      </c>
      <c r="O89" s="4">
        <v>1.0999999999999999E-2</v>
      </c>
      <c r="P89" s="4">
        <v>5.0000000000000001E-3</v>
      </c>
      <c r="Q89" s="4">
        <v>0</v>
      </c>
      <c r="R89" s="4">
        <v>0</v>
      </c>
      <c r="S89" s="4">
        <v>2.5000000000000001E-2</v>
      </c>
      <c r="T89" s="4">
        <v>0</v>
      </c>
      <c r="U89" s="4">
        <v>0</v>
      </c>
      <c r="V89" s="13">
        <f t="shared" si="1"/>
        <v>1.1022499999999997</v>
      </c>
    </row>
    <row r="90" spans="1:22" x14ac:dyDescent="0.3">
      <c r="A90" s="19">
        <v>46024</v>
      </c>
      <c r="B90" s="4" t="s">
        <v>81</v>
      </c>
      <c r="C90" s="4">
        <v>7.4999999999999997E-3</v>
      </c>
      <c r="D90" s="4">
        <v>1</v>
      </c>
      <c r="E90" s="4">
        <v>3.7499999999999999E-3</v>
      </c>
      <c r="F90" s="4">
        <v>1.4999999999999999E-2</v>
      </c>
      <c r="G90" s="4">
        <v>0</v>
      </c>
      <c r="H90" s="4">
        <v>0</v>
      </c>
      <c r="I90" s="4">
        <v>0</v>
      </c>
      <c r="J90" s="4">
        <v>2.1250000000000002E-2</v>
      </c>
      <c r="K90" s="4">
        <v>0</v>
      </c>
      <c r="L90" s="4">
        <v>0</v>
      </c>
      <c r="M90" s="4">
        <v>0</v>
      </c>
      <c r="N90" s="4">
        <v>0.55000000000000004</v>
      </c>
      <c r="O90" s="4">
        <v>8.9999999999999993E-3</v>
      </c>
      <c r="P90" s="4">
        <v>5.0000000000000001E-3</v>
      </c>
      <c r="Q90" s="4">
        <v>0</v>
      </c>
      <c r="R90" s="4">
        <v>0</v>
      </c>
      <c r="S90" s="4">
        <v>2.5000000000000001E-2</v>
      </c>
      <c r="T90" s="4">
        <v>0</v>
      </c>
      <c r="U90" s="4">
        <v>0</v>
      </c>
      <c r="V90" s="13">
        <f t="shared" si="1"/>
        <v>1.6364999999999996</v>
      </c>
    </row>
    <row r="91" spans="1:22" x14ac:dyDescent="0.3">
      <c r="A91" s="19">
        <v>46024</v>
      </c>
      <c r="B91" s="4" t="s">
        <v>80</v>
      </c>
      <c r="C91" s="4">
        <v>7.4999999999999997E-3</v>
      </c>
      <c r="D91" s="4">
        <v>1</v>
      </c>
      <c r="E91" s="4">
        <v>3.7499999999999999E-3</v>
      </c>
      <c r="F91" s="4">
        <v>1.4999999999999999E-2</v>
      </c>
      <c r="G91" s="4">
        <v>0</v>
      </c>
      <c r="H91" s="4">
        <v>0</v>
      </c>
      <c r="I91" s="4">
        <v>0</v>
      </c>
      <c r="J91" s="4">
        <v>2.1250000000000002E-2</v>
      </c>
      <c r="K91" s="4">
        <v>0</v>
      </c>
      <c r="L91" s="4">
        <v>0</v>
      </c>
      <c r="M91" s="4">
        <v>0</v>
      </c>
      <c r="N91" s="4">
        <v>0.55000000000000004</v>
      </c>
      <c r="O91" s="4">
        <v>8.9999999999999993E-3</v>
      </c>
      <c r="P91" s="4">
        <v>5.0000000000000001E-3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13">
        <f t="shared" si="1"/>
        <v>1.6114999999999997</v>
      </c>
    </row>
    <row r="92" spans="1:22" x14ac:dyDescent="0.3">
      <c r="A92" s="19">
        <v>46024</v>
      </c>
      <c r="B92" s="4" t="s">
        <v>79</v>
      </c>
      <c r="C92" s="4">
        <v>7.4999999999999997E-3</v>
      </c>
      <c r="D92" s="4">
        <v>1</v>
      </c>
      <c r="E92" s="4">
        <v>3.7499999999999999E-3</v>
      </c>
      <c r="F92" s="4">
        <v>1.4999999999999999E-2</v>
      </c>
      <c r="G92" s="4">
        <v>0</v>
      </c>
      <c r="H92" s="4">
        <v>0</v>
      </c>
      <c r="I92" s="4">
        <v>0</v>
      </c>
      <c r="J92" s="4">
        <v>2.1250000000000002E-2</v>
      </c>
      <c r="K92" s="4">
        <v>0</v>
      </c>
      <c r="L92" s="4">
        <v>0</v>
      </c>
      <c r="M92" s="4">
        <v>0</v>
      </c>
      <c r="N92" s="4">
        <v>0.55000000000000004</v>
      </c>
      <c r="O92" s="4">
        <v>8.9999999999999993E-3</v>
      </c>
      <c r="P92" s="4">
        <v>5.0000000000000001E-3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13">
        <f t="shared" si="1"/>
        <v>1.6114999999999997</v>
      </c>
    </row>
    <row r="93" spans="1:22" x14ac:dyDescent="0.3">
      <c r="A93" s="19">
        <v>46024</v>
      </c>
      <c r="B93" s="4" t="s">
        <v>78</v>
      </c>
      <c r="C93" s="4">
        <v>7.4999999999999997E-3</v>
      </c>
      <c r="D93" s="4">
        <v>0.5</v>
      </c>
      <c r="E93" s="4">
        <v>0</v>
      </c>
      <c r="F93" s="4">
        <v>1.4999999999999999E-2</v>
      </c>
      <c r="G93" s="4">
        <v>0</v>
      </c>
      <c r="H93" s="4">
        <v>0</v>
      </c>
      <c r="I93" s="4">
        <v>0</v>
      </c>
      <c r="J93" s="4">
        <v>2.1250000000000002E-2</v>
      </c>
      <c r="K93" s="4">
        <v>0</v>
      </c>
      <c r="L93" s="4">
        <v>0</v>
      </c>
      <c r="M93" s="4">
        <v>0</v>
      </c>
      <c r="N93" s="4">
        <v>0</v>
      </c>
      <c r="O93" s="4">
        <v>5.0000000000000001E-3</v>
      </c>
      <c r="P93" s="4">
        <v>5.0000000000000001E-3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13">
        <f t="shared" si="1"/>
        <v>0.55374999999999996</v>
      </c>
    </row>
    <row r="94" spans="1:22" x14ac:dyDescent="0.3">
      <c r="A94" s="19">
        <v>46024</v>
      </c>
      <c r="B94" s="4" t="s">
        <v>77</v>
      </c>
      <c r="C94" s="4">
        <v>7.4999999999999997E-3</v>
      </c>
      <c r="D94" s="4">
        <v>0.5</v>
      </c>
      <c r="E94" s="4">
        <v>0</v>
      </c>
      <c r="F94" s="4">
        <v>1.4999999999999999E-2</v>
      </c>
      <c r="G94" s="4">
        <v>0</v>
      </c>
      <c r="H94" s="4">
        <v>0</v>
      </c>
      <c r="I94" s="4">
        <v>0</v>
      </c>
      <c r="J94" s="4">
        <v>2.1250000000000002E-2</v>
      </c>
      <c r="K94" s="4">
        <v>0</v>
      </c>
      <c r="L94" s="4">
        <v>0</v>
      </c>
      <c r="M94" s="4">
        <v>0</v>
      </c>
      <c r="N94" s="4">
        <v>0</v>
      </c>
      <c r="O94" s="4">
        <v>5.0000000000000001E-3</v>
      </c>
      <c r="P94" s="4">
        <v>5.0000000000000001E-3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13">
        <f t="shared" si="1"/>
        <v>0.55374999999999996</v>
      </c>
    </row>
    <row r="95" spans="1:22" x14ac:dyDescent="0.3">
      <c r="A95" s="19">
        <v>46024</v>
      </c>
      <c r="B95" s="4" t="s">
        <v>76</v>
      </c>
      <c r="C95" s="4">
        <v>7.4999999999999997E-3</v>
      </c>
      <c r="D95" s="4">
        <v>0.5</v>
      </c>
      <c r="E95" s="4">
        <v>0</v>
      </c>
      <c r="F95" s="4">
        <v>1.4999999999999999E-2</v>
      </c>
      <c r="G95" s="4">
        <v>0</v>
      </c>
      <c r="H95" s="4">
        <v>0</v>
      </c>
      <c r="I95" s="4">
        <v>0</v>
      </c>
      <c r="J95" s="4">
        <v>2.1250000000000002E-2</v>
      </c>
      <c r="K95" s="4">
        <v>0</v>
      </c>
      <c r="L95" s="4">
        <v>0</v>
      </c>
      <c r="M95" s="4">
        <v>0</v>
      </c>
      <c r="N95" s="4">
        <v>0</v>
      </c>
      <c r="O95" s="4">
        <v>5.0000000000000001E-3</v>
      </c>
      <c r="P95" s="4">
        <v>5.0000000000000001E-3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13">
        <f t="shared" si="1"/>
        <v>0.55374999999999996</v>
      </c>
    </row>
    <row r="96" spans="1:22" x14ac:dyDescent="0.3">
      <c r="A96" s="19">
        <v>46024</v>
      </c>
      <c r="B96" s="4" t="s">
        <v>75</v>
      </c>
      <c r="C96" s="4">
        <v>7.4999999999999997E-3</v>
      </c>
      <c r="D96" s="4">
        <v>0.5</v>
      </c>
      <c r="E96" s="4">
        <v>0</v>
      </c>
      <c r="F96" s="4">
        <v>1.4999999999999999E-2</v>
      </c>
      <c r="G96" s="4">
        <v>0</v>
      </c>
      <c r="H96" s="4">
        <v>0</v>
      </c>
      <c r="I96" s="4">
        <v>0</v>
      </c>
      <c r="J96" s="4">
        <v>2.1250000000000002E-2</v>
      </c>
      <c r="K96" s="4">
        <v>0</v>
      </c>
      <c r="L96" s="4">
        <v>0</v>
      </c>
      <c r="M96" s="4">
        <v>0</v>
      </c>
      <c r="N96" s="4">
        <v>0</v>
      </c>
      <c r="O96" s="4">
        <v>5.0000000000000001E-3</v>
      </c>
      <c r="P96" s="4">
        <v>5.0000000000000001E-3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13">
        <f t="shared" si="1"/>
        <v>0.55374999999999996</v>
      </c>
    </row>
    <row r="97" spans="1:22" x14ac:dyDescent="0.3">
      <c r="A97" s="19">
        <v>46024</v>
      </c>
      <c r="B97" s="4" t="s">
        <v>74</v>
      </c>
      <c r="C97" s="4">
        <v>7.4999999999999997E-3</v>
      </c>
      <c r="D97" s="4">
        <v>0.5</v>
      </c>
      <c r="E97" s="4">
        <v>0</v>
      </c>
      <c r="F97" s="4">
        <v>1.4999999999999999E-2</v>
      </c>
      <c r="G97" s="4">
        <v>0</v>
      </c>
      <c r="H97" s="4">
        <v>0</v>
      </c>
      <c r="I97" s="4">
        <v>0</v>
      </c>
      <c r="J97" s="4">
        <v>2.1250000000000002E-2</v>
      </c>
      <c r="K97" s="4">
        <v>0</v>
      </c>
      <c r="L97" s="4">
        <v>0</v>
      </c>
      <c r="M97" s="4">
        <v>0</v>
      </c>
      <c r="N97" s="4">
        <v>0</v>
      </c>
      <c r="O97" s="4">
        <v>5.0000000000000001E-3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13">
        <f t="shared" si="1"/>
        <v>0.54874999999999996</v>
      </c>
    </row>
    <row r="98" spans="1:2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>SUM(V2:V97)</f>
        <v>98.689499999999938</v>
      </c>
    </row>
    <row r="106" spans="1:22" x14ac:dyDescent="0.3">
      <c r="C106" s="17" t="s">
        <v>73</v>
      </c>
    </row>
    <row r="107" spans="1:22" x14ac:dyDescent="0.3">
      <c r="C107" s="16" t="s">
        <v>72</v>
      </c>
      <c r="D107" s="15" t="s">
        <v>71</v>
      </c>
      <c r="E107" s="4"/>
    </row>
    <row r="108" spans="1:22" x14ac:dyDescent="0.3">
      <c r="B108">
        <v>13</v>
      </c>
      <c r="C108" s="16" t="s">
        <v>70</v>
      </c>
      <c r="D108" s="15">
        <v>90</v>
      </c>
      <c r="E108" s="14" t="s">
        <v>69</v>
      </c>
      <c r="F108">
        <v>22.5</v>
      </c>
      <c r="G108">
        <v>2.2499999999999999E-2</v>
      </c>
      <c r="I108" t="s">
        <v>37</v>
      </c>
    </row>
    <row r="109" spans="1:22" x14ac:dyDescent="0.3">
      <c r="B109">
        <v>3</v>
      </c>
      <c r="C109" s="16" t="s">
        <v>68</v>
      </c>
      <c r="D109" s="15">
        <v>60</v>
      </c>
      <c r="E109" s="14" t="s">
        <v>67</v>
      </c>
      <c r="F109">
        <v>15</v>
      </c>
      <c r="G109">
        <v>1.4999999999999999E-2</v>
      </c>
      <c r="I109" t="s">
        <v>37</v>
      </c>
    </row>
    <row r="110" spans="1:22" x14ac:dyDescent="0.3">
      <c r="B110">
        <v>1</v>
      </c>
      <c r="C110" s="16" t="s">
        <v>66</v>
      </c>
      <c r="D110" s="15">
        <v>15</v>
      </c>
      <c r="E110" s="14" t="s">
        <v>65</v>
      </c>
      <c r="F110">
        <v>3.75</v>
      </c>
      <c r="G110">
        <v>3.7499999999999999E-3</v>
      </c>
      <c r="I110" t="s">
        <v>37</v>
      </c>
    </row>
    <row r="111" spans="1:22" x14ac:dyDescent="0.3">
      <c r="B111">
        <v>2</v>
      </c>
      <c r="C111" s="16" t="s">
        <v>64</v>
      </c>
      <c r="D111" s="15">
        <v>20</v>
      </c>
      <c r="E111" s="14" t="s">
        <v>63</v>
      </c>
      <c r="F111">
        <v>5</v>
      </c>
      <c r="G111">
        <v>5.0000000000000001E-3</v>
      </c>
      <c r="I111" t="s">
        <v>37</v>
      </c>
    </row>
    <row r="112" spans="1:22" x14ac:dyDescent="0.3">
      <c r="C112" s="16" t="s">
        <v>62</v>
      </c>
      <c r="D112" s="15">
        <v>200</v>
      </c>
      <c r="E112" s="14" t="s">
        <v>61</v>
      </c>
      <c r="F112">
        <v>50</v>
      </c>
      <c r="G112">
        <v>0.05</v>
      </c>
      <c r="I112" t="s">
        <v>37</v>
      </c>
    </row>
    <row r="113" spans="2:9" x14ac:dyDescent="0.3">
      <c r="B113">
        <v>1</v>
      </c>
      <c r="C113" s="16" t="s">
        <v>60</v>
      </c>
      <c r="D113" s="15">
        <v>85</v>
      </c>
      <c r="E113" s="14" t="s">
        <v>59</v>
      </c>
      <c r="F113" t="s">
        <v>58</v>
      </c>
      <c r="G113">
        <v>2.1250000000000002E-2</v>
      </c>
      <c r="I113" t="s">
        <v>37</v>
      </c>
    </row>
    <row r="114" spans="2:9" x14ac:dyDescent="0.3">
      <c r="B114">
        <v>1</v>
      </c>
      <c r="C114" s="16" t="s">
        <v>57</v>
      </c>
      <c r="D114" s="15">
        <v>250</v>
      </c>
      <c r="E114" s="14" t="s">
        <v>56</v>
      </c>
      <c r="F114">
        <v>62.5</v>
      </c>
      <c r="G114">
        <v>6.25E-2</v>
      </c>
      <c r="I114" t="s">
        <v>37</v>
      </c>
    </row>
    <row r="115" spans="2:9" x14ac:dyDescent="0.3">
      <c r="B115">
        <v>1</v>
      </c>
      <c r="C115" s="16" t="s">
        <v>55</v>
      </c>
      <c r="D115" s="15">
        <v>100</v>
      </c>
      <c r="E115" s="14" t="s">
        <v>54</v>
      </c>
      <c r="F115">
        <v>25</v>
      </c>
      <c r="G115">
        <v>2.5000000000000001E-2</v>
      </c>
      <c r="I115" t="s">
        <v>37</v>
      </c>
    </row>
    <row r="116" spans="2:9" x14ac:dyDescent="0.3">
      <c r="B116">
        <v>1</v>
      </c>
      <c r="C116" s="16" t="s">
        <v>53</v>
      </c>
      <c r="D116" s="15">
        <v>1300</v>
      </c>
      <c r="E116" s="14" t="s">
        <v>52</v>
      </c>
      <c r="F116">
        <v>325</v>
      </c>
      <c r="G116">
        <v>0.32500000000000001</v>
      </c>
      <c r="I116" t="s">
        <v>37</v>
      </c>
    </row>
    <row r="117" spans="2:9" x14ac:dyDescent="0.3">
      <c r="B117">
        <v>1</v>
      </c>
      <c r="C117" s="16" t="s">
        <v>51</v>
      </c>
      <c r="D117" s="15">
        <v>800</v>
      </c>
      <c r="E117" s="14" t="s">
        <v>50</v>
      </c>
      <c r="F117">
        <v>160</v>
      </c>
      <c r="G117">
        <v>0.16</v>
      </c>
    </row>
    <row r="118" spans="2:9" x14ac:dyDescent="0.3">
      <c r="B118">
        <v>1</v>
      </c>
      <c r="C118" s="16" t="s">
        <v>49</v>
      </c>
      <c r="D118" s="15">
        <v>1500</v>
      </c>
      <c r="E118" s="14" t="s">
        <v>35</v>
      </c>
      <c r="F118">
        <v>375</v>
      </c>
      <c r="G118">
        <v>0.375</v>
      </c>
    </row>
    <row r="119" spans="2:9" x14ac:dyDescent="0.3">
      <c r="B119">
        <v>1</v>
      </c>
      <c r="C119" s="16" t="s">
        <v>48</v>
      </c>
      <c r="D119" s="15">
        <v>120</v>
      </c>
      <c r="E119" s="14" t="s">
        <v>47</v>
      </c>
      <c r="F119">
        <v>30</v>
      </c>
      <c r="G119">
        <v>0.03</v>
      </c>
    </row>
    <row r="120" spans="2:9" x14ac:dyDescent="0.3">
      <c r="B120">
        <v>1</v>
      </c>
      <c r="C120" s="16" t="s">
        <v>46</v>
      </c>
      <c r="D120" s="15">
        <v>3000</v>
      </c>
      <c r="E120" s="14" t="s">
        <v>45</v>
      </c>
      <c r="F120">
        <v>750</v>
      </c>
      <c r="G120">
        <v>0.75</v>
      </c>
    </row>
    <row r="121" spans="2:9" x14ac:dyDescent="0.3">
      <c r="B121">
        <v>1</v>
      </c>
      <c r="C121" s="16" t="s">
        <v>44</v>
      </c>
      <c r="D121" s="15">
        <v>6000</v>
      </c>
      <c r="E121" s="14" t="s">
        <v>43</v>
      </c>
      <c r="F121">
        <v>1500</v>
      </c>
      <c r="G121" t="s">
        <v>42</v>
      </c>
      <c r="H121">
        <v>1.5</v>
      </c>
    </row>
    <row r="122" spans="2:9" x14ac:dyDescent="0.3">
      <c r="B122">
        <v>1</v>
      </c>
      <c r="C122" s="16" t="s">
        <v>41</v>
      </c>
      <c r="D122" s="15">
        <v>2200</v>
      </c>
      <c r="E122" s="14" t="s">
        <v>40</v>
      </c>
      <c r="F122">
        <v>550</v>
      </c>
      <c r="H122">
        <v>0.55000000000000004</v>
      </c>
      <c r="I122" t="s">
        <v>37</v>
      </c>
    </row>
    <row r="123" spans="2:9" x14ac:dyDescent="0.3">
      <c r="B123">
        <v>1</v>
      </c>
      <c r="C123" s="16" t="s">
        <v>39</v>
      </c>
      <c r="D123" s="15">
        <v>2100</v>
      </c>
      <c r="E123" s="14" t="s">
        <v>38</v>
      </c>
      <c r="F123">
        <v>525</v>
      </c>
      <c r="H123">
        <v>0.52500000000000002</v>
      </c>
      <c r="I123" t="s">
        <v>37</v>
      </c>
    </row>
    <row r="124" spans="2:9" x14ac:dyDescent="0.3">
      <c r="B124">
        <v>1</v>
      </c>
      <c r="C124" s="16" t="s">
        <v>36</v>
      </c>
      <c r="D124" s="15">
        <v>1500</v>
      </c>
      <c r="E124" s="14" t="s">
        <v>35</v>
      </c>
      <c r="F124">
        <v>375</v>
      </c>
      <c r="H124">
        <v>0.375</v>
      </c>
    </row>
    <row r="125" spans="2:9" x14ac:dyDescent="0.3">
      <c r="B125">
        <v>1</v>
      </c>
      <c r="C125" s="16" t="s">
        <v>34</v>
      </c>
      <c r="D125" s="15">
        <v>30</v>
      </c>
      <c r="E125" s="14" t="s">
        <v>33</v>
      </c>
      <c r="F125">
        <v>7.5</v>
      </c>
      <c r="H125">
        <v>7.4999999999999997E-3</v>
      </c>
    </row>
    <row r="126" spans="2:9" x14ac:dyDescent="0.3">
      <c r="B126">
        <v>1</v>
      </c>
      <c r="C126" s="16" t="s">
        <v>32</v>
      </c>
      <c r="D126" s="15">
        <v>1000</v>
      </c>
      <c r="E126" s="14" t="s">
        <v>31</v>
      </c>
      <c r="F126">
        <v>250</v>
      </c>
      <c r="H126">
        <v>0.25</v>
      </c>
    </row>
    <row r="145" spans="3:3" x14ac:dyDescent="0.3">
      <c r="C145" s="72" t="s">
        <v>72</v>
      </c>
    </row>
    <row r="146" spans="3:3" x14ac:dyDescent="0.3">
      <c r="C146" s="72" t="s">
        <v>70</v>
      </c>
    </row>
    <row r="147" spans="3:3" x14ac:dyDescent="0.3">
      <c r="C147" s="72" t="s">
        <v>68</v>
      </c>
    </row>
    <row r="148" spans="3:3" x14ac:dyDescent="0.3">
      <c r="C148" s="72" t="s">
        <v>66</v>
      </c>
    </row>
    <row r="149" spans="3:3" x14ac:dyDescent="0.3">
      <c r="C149" s="72" t="s">
        <v>64</v>
      </c>
    </row>
    <row r="150" spans="3:3" x14ac:dyDescent="0.3">
      <c r="C150" s="72" t="s">
        <v>62</v>
      </c>
    </row>
    <row r="151" spans="3:3" x14ac:dyDescent="0.3">
      <c r="C151" s="72" t="s">
        <v>60</v>
      </c>
    </row>
    <row r="152" spans="3:3" x14ac:dyDescent="0.3">
      <c r="C152" s="72" t="s">
        <v>57</v>
      </c>
    </row>
    <row r="153" spans="3:3" x14ac:dyDescent="0.3">
      <c r="C153" s="72" t="s">
        <v>55</v>
      </c>
    </row>
    <row r="154" spans="3:3" x14ac:dyDescent="0.3">
      <c r="C154" s="72" t="s">
        <v>53</v>
      </c>
    </row>
    <row r="155" spans="3:3" x14ac:dyDescent="0.3">
      <c r="C155" s="72" t="s">
        <v>51</v>
      </c>
    </row>
    <row r="156" spans="3:3" x14ac:dyDescent="0.3">
      <c r="C156" s="72" t="s">
        <v>49</v>
      </c>
    </row>
    <row r="157" spans="3:3" x14ac:dyDescent="0.3">
      <c r="C157" s="72" t="s">
        <v>48</v>
      </c>
    </row>
    <row r="158" spans="3:3" x14ac:dyDescent="0.3">
      <c r="C158" s="72" t="s">
        <v>46</v>
      </c>
    </row>
    <row r="159" spans="3:3" x14ac:dyDescent="0.3">
      <c r="C159" s="72" t="s">
        <v>44</v>
      </c>
    </row>
    <row r="160" spans="3:3" x14ac:dyDescent="0.3">
      <c r="C160" s="72" t="s">
        <v>41</v>
      </c>
    </row>
    <row r="161" spans="3:3" x14ac:dyDescent="0.3">
      <c r="C161" s="72" t="s">
        <v>39</v>
      </c>
    </row>
    <row r="162" spans="3:3" x14ac:dyDescent="0.3">
      <c r="C162" s="72" t="s">
        <v>36</v>
      </c>
    </row>
    <row r="163" spans="3:3" x14ac:dyDescent="0.3">
      <c r="C163" s="72" t="s">
        <v>34</v>
      </c>
    </row>
    <row r="164" spans="3:3" x14ac:dyDescent="0.3">
      <c r="C164" s="72" t="s">
        <v>32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CC22-6CE0-4890-A951-3F85E8B0DB39}">
  <sheetPr>
    <tabColor theme="4" tint="0.59999389629810485"/>
  </sheetPr>
  <dimension ref="A1"/>
  <sheetViews>
    <sheetView topLeftCell="A95" zoomScale="40" zoomScaleNormal="40" workbookViewId="0">
      <selection activeCell="AG500" sqref="AG500"/>
    </sheetView>
  </sheetViews>
  <sheetFormatPr defaultRowHeight="14.4" x14ac:dyDescent="0.3"/>
  <sheetData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5E49-D4C2-4FDD-A457-9F3832D3D45F}">
  <sheetPr>
    <tabColor theme="4" tint="0.59999389629810485"/>
  </sheetPr>
  <dimension ref="A1:O30"/>
  <sheetViews>
    <sheetView zoomScale="66" zoomScaleNormal="66" workbookViewId="0">
      <selection activeCell="D53" sqref="D53"/>
    </sheetView>
  </sheetViews>
  <sheetFormatPr defaultRowHeight="14.4" x14ac:dyDescent="0.3"/>
  <cols>
    <col min="1" max="1" width="17.33203125" bestFit="1" customWidth="1"/>
    <col min="2" max="2" width="35.44140625" bestFit="1" customWidth="1"/>
    <col min="3" max="3" width="19.5546875" bestFit="1" customWidth="1"/>
    <col min="4" max="4" width="23.6640625" bestFit="1" customWidth="1"/>
    <col min="5" max="5" width="19.109375" bestFit="1" customWidth="1"/>
    <col min="6" max="6" width="24.44140625" bestFit="1" customWidth="1"/>
    <col min="7" max="7" width="20.88671875" bestFit="1" customWidth="1"/>
    <col min="8" max="8" width="17.44140625" bestFit="1" customWidth="1"/>
    <col min="9" max="9" width="25.88671875" bestFit="1" customWidth="1"/>
    <col min="10" max="10" width="16.44140625" bestFit="1" customWidth="1"/>
    <col min="11" max="11" width="18.88671875" bestFit="1" customWidth="1"/>
    <col min="12" max="12" width="13.33203125" bestFit="1" customWidth="1"/>
    <col min="13" max="13" width="24" bestFit="1" customWidth="1"/>
    <col min="14" max="15" width="24.5546875" bestFit="1" customWidth="1"/>
  </cols>
  <sheetData>
    <row r="1" spans="1:15" x14ac:dyDescent="0.3">
      <c r="A1" s="64" t="s">
        <v>204</v>
      </c>
      <c r="B1" s="4" t="s">
        <v>207</v>
      </c>
      <c r="C1" s="4" t="s">
        <v>298</v>
      </c>
      <c r="D1" s="4" t="s">
        <v>306</v>
      </c>
      <c r="E1" s="4" t="s">
        <v>299</v>
      </c>
      <c r="F1" s="4" t="s">
        <v>307</v>
      </c>
      <c r="G1" s="4" t="s">
        <v>300</v>
      </c>
      <c r="H1" s="4" t="s">
        <v>297</v>
      </c>
      <c r="I1" s="4" t="s">
        <v>301</v>
      </c>
      <c r="J1" s="4" t="s">
        <v>302</v>
      </c>
      <c r="K1" s="65" t="s">
        <v>310</v>
      </c>
      <c r="L1" s="4" t="s">
        <v>303</v>
      </c>
      <c r="M1" s="4" t="s">
        <v>304</v>
      </c>
      <c r="N1" s="4" t="s">
        <v>305</v>
      </c>
      <c r="O1" s="4" t="s">
        <v>308</v>
      </c>
    </row>
    <row r="2" spans="1:15" x14ac:dyDescent="0.3">
      <c r="A2" s="31">
        <v>46023</v>
      </c>
      <c r="B2" s="4">
        <v>1.940499999999999</v>
      </c>
      <c r="C2" s="4">
        <v>21.309000000000001</v>
      </c>
      <c r="D2" s="4">
        <v>24.197003086419752</v>
      </c>
      <c r="E2" s="4">
        <v>42.536996913580253</v>
      </c>
      <c r="F2" s="4">
        <v>26.885558984910848</v>
      </c>
      <c r="G2" s="4">
        <v>1.7852561728395009</v>
      </c>
      <c r="H2" s="4">
        <v>67.798499999999947</v>
      </c>
      <c r="I2" s="4">
        <v>23.321003086419754</v>
      </c>
      <c r="J2" s="4">
        <v>-46.489500000000021</v>
      </c>
      <c r="K2" s="4">
        <v>96</v>
      </c>
      <c r="L2" s="4">
        <v>28.620810530137998</v>
      </c>
      <c r="M2" s="4">
        <v>15.824919444444451</v>
      </c>
      <c r="N2" s="4">
        <v>17.583243827160498</v>
      </c>
      <c r="O2" s="4">
        <v>1.7520000000000036</v>
      </c>
    </row>
    <row r="3" spans="1:15" x14ac:dyDescent="0.3">
      <c r="A3" s="66" t="s">
        <v>272</v>
      </c>
      <c r="B3" s="4">
        <v>1.940499999999999</v>
      </c>
      <c r="C3" s="4">
        <v>21.309000000000001</v>
      </c>
      <c r="D3" s="4">
        <v>24.197003086419752</v>
      </c>
      <c r="E3" s="4">
        <v>42.536996913580253</v>
      </c>
      <c r="F3" s="4">
        <v>26.885558984910848</v>
      </c>
      <c r="G3" s="4">
        <v>1.7852561728395009</v>
      </c>
      <c r="H3" s="4">
        <v>67.798499999999947</v>
      </c>
      <c r="I3" s="4">
        <v>23.321003086419754</v>
      </c>
      <c r="J3" s="4">
        <v>-46.489500000000021</v>
      </c>
      <c r="K3" s="4">
        <v>96</v>
      </c>
      <c r="L3" s="4">
        <v>28.620810530137998</v>
      </c>
      <c r="M3" s="4">
        <v>15.824919444444451</v>
      </c>
      <c r="N3" s="4">
        <v>17.583243827160498</v>
      </c>
      <c r="O3" s="4">
        <v>1.7520000000000036</v>
      </c>
    </row>
    <row r="4" spans="1:15" x14ac:dyDescent="0.3">
      <c r="A4" s="67" t="s">
        <v>273</v>
      </c>
      <c r="B4" s="4">
        <v>0</v>
      </c>
      <c r="C4" s="4">
        <v>0</v>
      </c>
      <c r="D4" s="4">
        <v>2.2509999999999999</v>
      </c>
      <c r="E4" s="4">
        <v>0</v>
      </c>
      <c r="F4" s="4">
        <v>2.5011111111111108</v>
      </c>
      <c r="G4" s="4">
        <v>0</v>
      </c>
      <c r="H4" s="4">
        <v>2.1779999999999999</v>
      </c>
      <c r="I4" s="4">
        <v>2.1779999999999999</v>
      </c>
      <c r="J4" s="4">
        <v>-2.1779999999999999</v>
      </c>
      <c r="K4" s="4">
        <v>4</v>
      </c>
      <c r="L4" s="4">
        <v>2.0021127450980396</v>
      </c>
      <c r="M4" s="4">
        <v>0</v>
      </c>
      <c r="N4" s="4">
        <v>0</v>
      </c>
      <c r="O4" s="4">
        <v>7.2999999999999995E-2</v>
      </c>
    </row>
    <row r="5" spans="1:15" x14ac:dyDescent="0.3">
      <c r="A5" s="67" t="s">
        <v>274</v>
      </c>
      <c r="B5" s="4">
        <v>0</v>
      </c>
      <c r="C5" s="4">
        <v>0</v>
      </c>
      <c r="D5" s="4">
        <v>2.2509999999999999</v>
      </c>
      <c r="E5" s="4">
        <v>0</v>
      </c>
      <c r="F5" s="4">
        <v>2.5011111111111108</v>
      </c>
      <c r="G5" s="4">
        <v>0</v>
      </c>
      <c r="H5" s="4">
        <v>2.1779999999999999</v>
      </c>
      <c r="I5" s="4">
        <v>2.1779999999999999</v>
      </c>
      <c r="J5" s="4">
        <v>-2.1779999999999999</v>
      </c>
      <c r="K5" s="4">
        <v>4</v>
      </c>
      <c r="L5" s="4">
        <v>1.443040849673203</v>
      </c>
      <c r="M5" s="4">
        <v>0</v>
      </c>
      <c r="N5" s="4">
        <v>0</v>
      </c>
      <c r="O5" s="4">
        <v>7.2999999999999995E-2</v>
      </c>
    </row>
    <row r="6" spans="1:15" x14ac:dyDescent="0.3">
      <c r="A6" s="67" t="s">
        <v>275</v>
      </c>
      <c r="B6" s="4">
        <v>0</v>
      </c>
      <c r="C6" s="4">
        <v>0</v>
      </c>
      <c r="D6" s="4">
        <v>2.19475</v>
      </c>
      <c r="E6" s="4">
        <v>0</v>
      </c>
      <c r="F6" s="4">
        <v>2.4386111111111108</v>
      </c>
      <c r="G6" s="4">
        <v>0</v>
      </c>
      <c r="H6" s="4">
        <v>2.1217499999999996</v>
      </c>
      <c r="I6" s="4">
        <v>2.1217499999999996</v>
      </c>
      <c r="J6" s="4">
        <v>-2.1217499999999996</v>
      </c>
      <c r="K6" s="4">
        <v>4</v>
      </c>
      <c r="L6" s="4">
        <v>0.8874616013071901</v>
      </c>
      <c r="M6" s="4">
        <v>0</v>
      </c>
      <c r="N6" s="4">
        <v>0</v>
      </c>
      <c r="O6" s="4">
        <v>7.2999999999999995E-2</v>
      </c>
    </row>
    <row r="7" spans="1:15" x14ac:dyDescent="0.3">
      <c r="A7" s="67" t="s">
        <v>276</v>
      </c>
      <c r="B7" s="4">
        <v>0</v>
      </c>
      <c r="C7" s="4">
        <v>0</v>
      </c>
      <c r="D7" s="4">
        <v>1.4382777777777804</v>
      </c>
      <c r="E7" s="4">
        <v>0.7012222222222193</v>
      </c>
      <c r="F7" s="4">
        <v>1.5980864197530893</v>
      </c>
      <c r="G7" s="4">
        <v>0</v>
      </c>
      <c r="H7" s="4">
        <v>2.1029999999999998</v>
      </c>
      <c r="I7" s="4">
        <v>1.4017777777777805</v>
      </c>
      <c r="J7" s="4">
        <v>-2.1029999999999998</v>
      </c>
      <c r="K7" s="4">
        <v>4</v>
      </c>
      <c r="L7" s="4">
        <v>0.36005637254902007</v>
      </c>
      <c r="M7" s="4">
        <v>0</v>
      </c>
      <c r="N7" s="4">
        <v>0</v>
      </c>
      <c r="O7" s="4">
        <v>7.2999999999999995E-2</v>
      </c>
    </row>
    <row r="8" spans="1:15" x14ac:dyDescent="0.3">
      <c r="A8" s="67" t="s">
        <v>277</v>
      </c>
      <c r="B8" s="4">
        <v>0</v>
      </c>
      <c r="C8" s="4">
        <v>0</v>
      </c>
      <c r="D8" s="4">
        <v>0</v>
      </c>
      <c r="E8" s="4">
        <v>2.1029999999999998</v>
      </c>
      <c r="F8" s="4">
        <v>0</v>
      </c>
      <c r="G8" s="4">
        <v>0</v>
      </c>
      <c r="H8" s="4">
        <v>2.1029999999999998</v>
      </c>
      <c r="I8" s="4">
        <v>0</v>
      </c>
      <c r="J8" s="4">
        <v>-2.1029999999999998</v>
      </c>
      <c r="K8" s="4">
        <v>4</v>
      </c>
      <c r="L8" s="4">
        <v>0.2</v>
      </c>
      <c r="M8" s="4">
        <v>0</v>
      </c>
      <c r="N8" s="4">
        <v>0</v>
      </c>
      <c r="O8" s="4">
        <v>7.2999999999999995E-2</v>
      </c>
    </row>
    <row r="9" spans="1:15" x14ac:dyDescent="0.3">
      <c r="A9" s="67" t="s">
        <v>278</v>
      </c>
      <c r="B9" s="4">
        <v>0</v>
      </c>
      <c r="C9" s="4">
        <v>0</v>
      </c>
      <c r="D9" s="4">
        <v>0</v>
      </c>
      <c r="E9" s="4">
        <v>2.1079999999999997</v>
      </c>
      <c r="F9" s="4">
        <v>0</v>
      </c>
      <c r="G9" s="4">
        <v>0</v>
      </c>
      <c r="H9" s="4">
        <v>2.1079999999999997</v>
      </c>
      <c r="I9" s="4">
        <v>0</v>
      </c>
      <c r="J9" s="4">
        <v>-2.1079999999999997</v>
      </c>
      <c r="K9" s="4">
        <v>4</v>
      </c>
      <c r="L9" s="4">
        <v>0.2</v>
      </c>
      <c r="M9" s="4">
        <v>0</v>
      </c>
      <c r="N9" s="4">
        <v>0</v>
      </c>
      <c r="O9" s="4">
        <v>7.2999999999999995E-2</v>
      </c>
    </row>
    <row r="10" spans="1:15" x14ac:dyDescent="0.3">
      <c r="A10" s="67" t="s">
        <v>279</v>
      </c>
      <c r="B10" s="4">
        <v>0</v>
      </c>
      <c r="C10" s="4">
        <v>0</v>
      </c>
      <c r="D10" s="4">
        <v>0</v>
      </c>
      <c r="E10" s="4">
        <v>4.7214999999999998</v>
      </c>
      <c r="F10" s="4">
        <v>0</v>
      </c>
      <c r="G10" s="4">
        <v>0</v>
      </c>
      <c r="H10" s="4">
        <v>4.7214999999999998</v>
      </c>
      <c r="I10" s="4">
        <v>0</v>
      </c>
      <c r="J10" s="4">
        <v>-4.7214999999999998</v>
      </c>
      <c r="K10" s="4">
        <v>4</v>
      </c>
      <c r="L10" s="4">
        <v>0.2</v>
      </c>
      <c r="M10" s="4">
        <v>0</v>
      </c>
      <c r="N10" s="4">
        <v>0</v>
      </c>
      <c r="O10" s="4">
        <v>7.2999999999999995E-2</v>
      </c>
    </row>
    <row r="11" spans="1:15" x14ac:dyDescent="0.3">
      <c r="A11" s="67" t="s">
        <v>280</v>
      </c>
      <c r="B11" s="4">
        <v>0</v>
      </c>
      <c r="C11" s="4">
        <v>0</v>
      </c>
      <c r="D11" s="4">
        <v>0</v>
      </c>
      <c r="E11" s="4">
        <v>4.2240000000000002</v>
      </c>
      <c r="F11" s="4">
        <v>0</v>
      </c>
      <c r="G11" s="4">
        <v>0</v>
      </c>
      <c r="H11" s="4">
        <v>4.2240000000000002</v>
      </c>
      <c r="I11" s="4">
        <v>0</v>
      </c>
      <c r="J11" s="4">
        <v>-4.2240000000000002</v>
      </c>
      <c r="K11" s="4">
        <v>4</v>
      </c>
      <c r="L11" s="4">
        <v>0.2</v>
      </c>
      <c r="M11" s="4">
        <v>0</v>
      </c>
      <c r="N11" s="4">
        <v>0</v>
      </c>
      <c r="O11" s="4">
        <v>7.2999999999999995E-2</v>
      </c>
    </row>
    <row r="12" spans="1:15" x14ac:dyDescent="0.3">
      <c r="A12" s="67" t="s">
        <v>281</v>
      </c>
      <c r="B12" s="4">
        <v>1.9E-2</v>
      </c>
      <c r="C12" s="4">
        <v>1.9E-2</v>
      </c>
      <c r="D12" s="4">
        <v>0</v>
      </c>
      <c r="E12" s="4">
        <v>0.59200000000000008</v>
      </c>
      <c r="F12" s="4">
        <v>0</v>
      </c>
      <c r="G12" s="4">
        <v>0</v>
      </c>
      <c r="H12" s="4">
        <v>0.6110000000000001</v>
      </c>
      <c r="I12" s="4">
        <v>0</v>
      </c>
      <c r="J12" s="4">
        <v>-0.59200000000000008</v>
      </c>
      <c r="K12" s="4">
        <v>4</v>
      </c>
      <c r="L12" s="4">
        <v>0.2</v>
      </c>
      <c r="M12" s="4">
        <v>0</v>
      </c>
      <c r="N12" s="4">
        <v>0</v>
      </c>
      <c r="O12" s="4">
        <v>7.2999999999999995E-2</v>
      </c>
    </row>
    <row r="13" spans="1:15" x14ac:dyDescent="0.3">
      <c r="A13" s="67" t="s">
        <v>282</v>
      </c>
      <c r="B13" s="4">
        <v>0.10124999999999999</v>
      </c>
      <c r="C13" s="4">
        <v>0.33400000000000002</v>
      </c>
      <c r="D13" s="4">
        <v>3.6499999999999998E-2</v>
      </c>
      <c r="E13" s="4">
        <v>1.7499999999999981E-3</v>
      </c>
      <c r="F13" s="4">
        <v>4.0555555555555553E-2</v>
      </c>
      <c r="G13" s="4">
        <v>0</v>
      </c>
      <c r="H13" s="4">
        <v>0.10299999999999999</v>
      </c>
      <c r="I13" s="4">
        <v>0</v>
      </c>
      <c r="J13" s="4">
        <v>0.23100000000000004</v>
      </c>
      <c r="K13" s="4">
        <v>4</v>
      </c>
      <c r="L13" s="4">
        <v>0.20511168300653596</v>
      </c>
      <c r="M13" s="4">
        <v>0.20947500000000002</v>
      </c>
      <c r="N13" s="4">
        <v>0.23275000000000001</v>
      </c>
      <c r="O13" s="4">
        <v>7.2999999999999995E-2</v>
      </c>
    </row>
    <row r="14" spans="1:15" x14ac:dyDescent="0.3">
      <c r="A14" s="67" t="s">
        <v>283</v>
      </c>
      <c r="B14" s="4">
        <v>0.10299999999999999</v>
      </c>
      <c r="C14" s="4">
        <v>2.411</v>
      </c>
      <c r="D14" s="4">
        <v>7.2999999999999995E-2</v>
      </c>
      <c r="E14" s="4">
        <v>0</v>
      </c>
      <c r="F14" s="4">
        <v>8.1111111111111106E-2</v>
      </c>
      <c r="G14" s="4">
        <v>0</v>
      </c>
      <c r="H14" s="4">
        <v>0.10299999999999999</v>
      </c>
      <c r="I14" s="4">
        <v>0</v>
      </c>
      <c r="J14" s="4">
        <v>2.3079999999999998</v>
      </c>
      <c r="K14" s="4">
        <v>4</v>
      </c>
      <c r="L14" s="4">
        <v>0.36578120915032675</v>
      </c>
      <c r="M14" s="4">
        <v>2.0771999999999999</v>
      </c>
      <c r="N14" s="4">
        <v>2.3079999999999998</v>
      </c>
      <c r="O14" s="4">
        <v>7.2999999999999995E-2</v>
      </c>
    </row>
    <row r="15" spans="1:15" x14ac:dyDescent="0.3">
      <c r="A15" s="67" t="s">
        <v>284</v>
      </c>
      <c r="B15" s="4">
        <v>1.103</v>
      </c>
      <c r="C15" s="4">
        <v>6.8279999999999994</v>
      </c>
      <c r="D15" s="4">
        <v>7.2999999999999995E-2</v>
      </c>
      <c r="E15" s="4">
        <v>0</v>
      </c>
      <c r="F15" s="4">
        <v>8.1111111111111106E-2</v>
      </c>
      <c r="G15" s="4">
        <v>0</v>
      </c>
      <c r="H15" s="4">
        <v>1.103</v>
      </c>
      <c r="I15" s="4">
        <v>0</v>
      </c>
      <c r="J15" s="4">
        <v>5.7249999999999996</v>
      </c>
      <c r="K15" s="4">
        <v>4</v>
      </c>
      <c r="L15" s="4">
        <v>1.0578034313725488</v>
      </c>
      <c r="M15" s="4">
        <v>5.1524999999999999</v>
      </c>
      <c r="N15" s="4">
        <v>5.7249999999999996</v>
      </c>
      <c r="O15" s="4">
        <v>7.2999999999999995E-2</v>
      </c>
    </row>
    <row r="16" spans="1:15" x14ac:dyDescent="0.3">
      <c r="A16" s="67" t="s">
        <v>285</v>
      </c>
      <c r="B16" s="4">
        <v>0.10299999999999999</v>
      </c>
      <c r="C16" s="4">
        <v>7.6640000000000006</v>
      </c>
      <c r="D16" s="4">
        <v>7.2999999999999995E-2</v>
      </c>
      <c r="E16" s="4">
        <v>0</v>
      </c>
      <c r="F16" s="4">
        <v>8.1111111111111106E-2</v>
      </c>
      <c r="G16" s="4">
        <v>0</v>
      </c>
      <c r="H16" s="4">
        <v>0.10299999999999999</v>
      </c>
      <c r="I16" s="4">
        <v>0</v>
      </c>
      <c r="J16" s="4">
        <v>7.5609999999999999</v>
      </c>
      <c r="K16" s="4">
        <v>4</v>
      </c>
      <c r="L16" s="4">
        <v>2.6781433006535944</v>
      </c>
      <c r="M16" s="4">
        <v>6.8048999999999999</v>
      </c>
      <c r="N16" s="4">
        <v>7.5609999999999999</v>
      </c>
      <c r="O16" s="4">
        <v>7.2999999999999995E-2</v>
      </c>
    </row>
    <row r="17" spans="1:15" x14ac:dyDescent="0.3">
      <c r="A17" s="67" t="s">
        <v>286</v>
      </c>
      <c r="B17" s="4">
        <v>0.10299999999999999</v>
      </c>
      <c r="C17" s="4">
        <v>3.4119999999999999</v>
      </c>
      <c r="D17" s="4">
        <v>7.2999999999999995E-2</v>
      </c>
      <c r="E17" s="4">
        <v>0</v>
      </c>
      <c r="F17" s="4">
        <v>8.1111111111111106E-2</v>
      </c>
      <c r="G17" s="4">
        <v>1.7852561728395009</v>
      </c>
      <c r="H17" s="4">
        <v>0.10299999999999999</v>
      </c>
      <c r="I17" s="4">
        <v>0</v>
      </c>
      <c r="J17" s="4">
        <v>3.3089999999999997</v>
      </c>
      <c r="K17" s="4">
        <v>4</v>
      </c>
      <c r="L17" s="4">
        <v>3.9054703431372539</v>
      </c>
      <c r="M17" s="4">
        <v>1.3713694444444491</v>
      </c>
      <c r="N17" s="4">
        <v>1.5237438271604991</v>
      </c>
      <c r="O17" s="4">
        <v>7.2999999999999995E-2</v>
      </c>
    </row>
    <row r="18" spans="1:15" x14ac:dyDescent="0.3">
      <c r="A18" s="67" t="s">
        <v>287</v>
      </c>
      <c r="B18" s="4">
        <v>0.36524999999999996</v>
      </c>
      <c r="C18" s="4">
        <v>0.59799999999999998</v>
      </c>
      <c r="D18" s="4">
        <v>0.81075000000000008</v>
      </c>
      <c r="E18" s="4">
        <v>0</v>
      </c>
      <c r="F18" s="4">
        <v>0.90083333333333326</v>
      </c>
      <c r="G18" s="4">
        <v>0</v>
      </c>
      <c r="H18" s="4">
        <v>1.103</v>
      </c>
      <c r="I18" s="4">
        <v>0.73775000000000013</v>
      </c>
      <c r="J18" s="4">
        <v>-0.50500000000000012</v>
      </c>
      <c r="K18" s="4">
        <v>4</v>
      </c>
      <c r="L18" s="4">
        <v>3.8715162944807551</v>
      </c>
      <c r="M18" s="4">
        <v>0.20947500000000002</v>
      </c>
      <c r="N18" s="4">
        <v>0.23275000000000001</v>
      </c>
      <c r="O18" s="4">
        <v>7.2999999999999995E-2</v>
      </c>
    </row>
    <row r="19" spans="1:15" x14ac:dyDescent="0.3">
      <c r="A19" s="67" t="s">
        <v>288</v>
      </c>
      <c r="B19" s="4">
        <v>4.2000000000000003E-2</v>
      </c>
      <c r="C19" s="4">
        <v>4.2000000000000003E-2</v>
      </c>
      <c r="D19" s="4">
        <v>0.13400000000000001</v>
      </c>
      <c r="E19" s="4">
        <v>0</v>
      </c>
      <c r="F19" s="4">
        <v>0.14888888888888888</v>
      </c>
      <c r="G19" s="4">
        <v>0</v>
      </c>
      <c r="H19" s="4">
        <v>0.10299999999999999</v>
      </c>
      <c r="I19" s="4">
        <v>6.0999999999999992E-2</v>
      </c>
      <c r="J19" s="4">
        <v>-6.0999999999999992E-2</v>
      </c>
      <c r="K19" s="4">
        <v>4</v>
      </c>
      <c r="L19" s="4">
        <v>3.8363895787944804</v>
      </c>
      <c r="M19" s="4">
        <v>0</v>
      </c>
      <c r="N19" s="4">
        <v>0</v>
      </c>
      <c r="O19" s="4">
        <v>7.2999999999999995E-2</v>
      </c>
    </row>
    <row r="20" spans="1:15" x14ac:dyDescent="0.3">
      <c r="A20" s="67" t="s">
        <v>289</v>
      </c>
      <c r="B20" s="4">
        <v>1E-3</v>
      </c>
      <c r="C20" s="4">
        <v>1E-3</v>
      </c>
      <c r="D20" s="4">
        <v>4.2725000000000009</v>
      </c>
      <c r="E20" s="4">
        <v>0</v>
      </c>
      <c r="F20" s="4">
        <v>4.7472222222222236</v>
      </c>
      <c r="G20" s="4">
        <v>0</v>
      </c>
      <c r="H20" s="4">
        <v>4.2004999999999999</v>
      </c>
      <c r="I20" s="4">
        <v>4.1995000000000005</v>
      </c>
      <c r="J20" s="4">
        <v>-4.1995000000000005</v>
      </c>
      <c r="K20" s="4">
        <v>4</v>
      </c>
      <c r="L20" s="4">
        <v>3.4205627814088593</v>
      </c>
      <c r="M20" s="4">
        <v>0</v>
      </c>
      <c r="N20" s="4">
        <v>0</v>
      </c>
      <c r="O20" s="4">
        <v>7.2999999999999995E-2</v>
      </c>
    </row>
    <row r="21" spans="1:15" x14ac:dyDescent="0.3">
      <c r="A21" s="67" t="s">
        <v>290</v>
      </c>
      <c r="B21" s="4">
        <v>0</v>
      </c>
      <c r="C21" s="4">
        <v>0</v>
      </c>
      <c r="D21" s="4">
        <v>8.1140000000000008</v>
      </c>
      <c r="E21" s="4">
        <v>0</v>
      </c>
      <c r="F21" s="4">
        <v>9.0155555555555544</v>
      </c>
      <c r="G21" s="4">
        <v>0</v>
      </c>
      <c r="H21" s="4">
        <v>8.0410000000000004</v>
      </c>
      <c r="I21" s="4">
        <v>8.0410000000000004</v>
      </c>
      <c r="J21" s="4">
        <v>-8.0410000000000004</v>
      </c>
      <c r="K21" s="4">
        <v>4</v>
      </c>
      <c r="L21" s="4">
        <v>2.2531183369644148</v>
      </c>
      <c r="M21" s="4">
        <v>0</v>
      </c>
      <c r="N21" s="4">
        <v>0</v>
      </c>
      <c r="O21" s="4">
        <v>7.2999999999999995E-2</v>
      </c>
    </row>
    <row r="22" spans="1:15" x14ac:dyDescent="0.3">
      <c r="A22" s="67" t="s">
        <v>291</v>
      </c>
      <c r="B22" s="4">
        <v>0</v>
      </c>
      <c r="C22" s="4">
        <v>0</v>
      </c>
      <c r="D22" s="4">
        <v>2.4022253086419711</v>
      </c>
      <c r="E22" s="4">
        <v>7.8547746913580294</v>
      </c>
      <c r="F22" s="4">
        <v>2.6691392318244125</v>
      </c>
      <c r="G22" s="4">
        <v>0</v>
      </c>
      <c r="H22" s="4">
        <v>10.257</v>
      </c>
      <c r="I22" s="4">
        <v>2.4022253086419711</v>
      </c>
      <c r="J22" s="4">
        <v>-10.257</v>
      </c>
      <c r="K22" s="4">
        <v>4</v>
      </c>
      <c r="L22" s="4">
        <v>0.33424200254175718</v>
      </c>
      <c r="M22" s="4">
        <v>0</v>
      </c>
      <c r="N22" s="4">
        <v>0</v>
      </c>
      <c r="O22" s="4">
        <v>7.2999999999999995E-2</v>
      </c>
    </row>
    <row r="23" spans="1:15" x14ac:dyDescent="0.3">
      <c r="A23" s="67" t="s">
        <v>292</v>
      </c>
      <c r="B23" s="4">
        <v>0</v>
      </c>
      <c r="C23" s="4">
        <v>0</v>
      </c>
      <c r="D23" s="4">
        <v>0</v>
      </c>
      <c r="E23" s="4">
        <v>3.66</v>
      </c>
      <c r="F23" s="4">
        <v>0</v>
      </c>
      <c r="G23" s="4">
        <v>0</v>
      </c>
      <c r="H23" s="4">
        <v>3.66</v>
      </c>
      <c r="I23" s="4">
        <v>0</v>
      </c>
      <c r="J23" s="4">
        <v>-3.66</v>
      </c>
      <c r="K23" s="4">
        <v>4</v>
      </c>
      <c r="L23" s="4">
        <v>0.2</v>
      </c>
      <c r="M23" s="4">
        <v>0</v>
      </c>
      <c r="N23" s="4">
        <v>0</v>
      </c>
      <c r="O23" s="4">
        <v>7.2999999999999995E-2</v>
      </c>
    </row>
    <row r="24" spans="1:15" x14ac:dyDescent="0.3">
      <c r="A24" s="67" t="s">
        <v>293</v>
      </c>
      <c r="B24" s="4">
        <v>0</v>
      </c>
      <c r="C24" s="4">
        <v>0</v>
      </c>
      <c r="D24" s="4">
        <v>0</v>
      </c>
      <c r="E24" s="4">
        <v>3.0219999999999998</v>
      </c>
      <c r="F24" s="4">
        <v>0</v>
      </c>
      <c r="G24" s="4">
        <v>0</v>
      </c>
      <c r="H24" s="4">
        <v>3.0219999999999998</v>
      </c>
      <c r="I24" s="4">
        <v>0</v>
      </c>
      <c r="J24" s="4">
        <v>-3.0219999999999998</v>
      </c>
      <c r="K24" s="4">
        <v>4</v>
      </c>
      <c r="L24" s="4">
        <v>0.2</v>
      </c>
      <c r="M24" s="4">
        <v>0</v>
      </c>
      <c r="N24" s="4">
        <v>0</v>
      </c>
      <c r="O24" s="4">
        <v>7.2999999999999995E-2</v>
      </c>
    </row>
    <row r="25" spans="1:15" x14ac:dyDescent="0.3">
      <c r="A25" s="67" t="s">
        <v>294</v>
      </c>
      <c r="B25" s="4">
        <v>0</v>
      </c>
      <c r="C25" s="4">
        <v>0</v>
      </c>
      <c r="D25" s="4">
        <v>0</v>
      </c>
      <c r="E25" s="4">
        <v>6.2190000000000012</v>
      </c>
      <c r="F25" s="4">
        <v>0</v>
      </c>
      <c r="G25" s="4">
        <v>0</v>
      </c>
      <c r="H25" s="4">
        <v>6.2190000000000012</v>
      </c>
      <c r="I25" s="4">
        <v>0</v>
      </c>
      <c r="J25" s="4">
        <v>-6.2190000000000012</v>
      </c>
      <c r="K25" s="4">
        <v>4</v>
      </c>
      <c r="L25" s="4">
        <v>0.2</v>
      </c>
      <c r="M25" s="4">
        <v>0</v>
      </c>
      <c r="N25" s="4">
        <v>0</v>
      </c>
      <c r="O25" s="4">
        <v>7.2999999999999995E-2</v>
      </c>
    </row>
    <row r="26" spans="1:15" x14ac:dyDescent="0.3">
      <c r="A26" s="67" t="s">
        <v>295</v>
      </c>
      <c r="B26" s="4">
        <v>0</v>
      </c>
      <c r="C26" s="4">
        <v>0</v>
      </c>
      <c r="D26" s="4">
        <v>0</v>
      </c>
      <c r="E26" s="4">
        <v>4.1184999999999992</v>
      </c>
      <c r="F26" s="4">
        <v>0</v>
      </c>
      <c r="G26" s="4">
        <v>0</v>
      </c>
      <c r="H26" s="4">
        <v>4.1184999999999992</v>
      </c>
      <c r="I26" s="4">
        <v>0</v>
      </c>
      <c r="J26" s="4">
        <v>-4.1184999999999992</v>
      </c>
      <c r="K26" s="4">
        <v>4</v>
      </c>
      <c r="L26" s="4">
        <v>0.2</v>
      </c>
      <c r="M26" s="4">
        <v>0</v>
      </c>
      <c r="N26" s="4">
        <v>0</v>
      </c>
      <c r="O26" s="4">
        <v>7.2999999999999995E-2</v>
      </c>
    </row>
    <row r="27" spans="1:15" x14ac:dyDescent="0.3">
      <c r="A27" s="67" t="s">
        <v>296</v>
      </c>
      <c r="B27" s="4">
        <v>0</v>
      </c>
      <c r="C27" s="4">
        <v>0</v>
      </c>
      <c r="D27" s="4">
        <v>0</v>
      </c>
      <c r="E27" s="4">
        <v>3.2112499999999997</v>
      </c>
      <c r="F27" s="4">
        <v>0</v>
      </c>
      <c r="G27" s="4">
        <v>0</v>
      </c>
      <c r="H27" s="4">
        <v>3.2112499999999997</v>
      </c>
      <c r="I27" s="4">
        <v>0</v>
      </c>
      <c r="J27" s="4">
        <v>-3.2112499999999997</v>
      </c>
      <c r="K27" s="4">
        <v>4</v>
      </c>
      <c r="L27" s="4">
        <v>0.2</v>
      </c>
      <c r="M27" s="4">
        <v>0</v>
      </c>
      <c r="N27" s="4">
        <v>0</v>
      </c>
      <c r="O27" s="4">
        <v>7.2999999999999995E-2</v>
      </c>
    </row>
    <row r="28" spans="1:15" x14ac:dyDescent="0.3">
      <c r="A28" s="61" t="s">
        <v>205</v>
      </c>
      <c r="B28" s="4"/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</row>
    <row r="29" spans="1:15" x14ac:dyDescent="0.3">
      <c r="A29" s="66" t="s">
        <v>271</v>
      </c>
      <c r="B29" s="4"/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</row>
    <row r="30" spans="1:15" x14ac:dyDescent="0.3">
      <c r="A30" s="61" t="s">
        <v>206</v>
      </c>
      <c r="B30" s="4">
        <v>1.940499999999999</v>
      </c>
      <c r="C30" s="4">
        <v>21.309000000000001</v>
      </c>
      <c r="D30" s="4">
        <v>24.197003086419752</v>
      </c>
      <c r="E30" s="4">
        <v>42.536996913580253</v>
      </c>
      <c r="F30" s="4">
        <v>26.885558984910848</v>
      </c>
      <c r="G30" s="4">
        <v>1.7852561728395009</v>
      </c>
      <c r="H30" s="4">
        <v>67.798499999999947</v>
      </c>
      <c r="I30" s="4">
        <v>23.321003086419754</v>
      </c>
      <c r="J30" s="4">
        <v>-46.489500000000021</v>
      </c>
      <c r="K30" s="4">
        <v>97</v>
      </c>
      <c r="L30" s="4">
        <v>28.620810530137998</v>
      </c>
      <c r="M30" s="4">
        <v>15.824919444444451</v>
      </c>
      <c r="N30" s="4">
        <v>17.583243827160498</v>
      </c>
      <c r="O30" s="4">
        <v>1.7520000000000036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740A-B0DE-473A-90ED-94C5FEE89FC1}">
  <sheetPr>
    <tabColor rgb="FFFF0000"/>
  </sheetPr>
  <dimension ref="A1:W125"/>
  <sheetViews>
    <sheetView zoomScale="70" zoomScaleNormal="70" workbookViewId="0">
      <selection activeCell="J3" sqref="J3:J98"/>
    </sheetView>
  </sheetViews>
  <sheetFormatPr defaultRowHeight="14.4" x14ac:dyDescent="0.3"/>
  <cols>
    <col min="1" max="2" width="15.44140625" style="3" customWidth="1"/>
    <col min="3" max="3" width="11.5546875" customWidth="1"/>
    <col min="4" max="4" width="16" customWidth="1"/>
    <col min="5" max="5" width="10.109375" customWidth="1"/>
    <col min="6" max="6" width="11" customWidth="1"/>
    <col min="7" max="7" width="12" customWidth="1"/>
    <col min="8" max="8" width="12.44140625" customWidth="1"/>
    <col min="9" max="9" width="12.5546875" customWidth="1"/>
    <col min="10" max="10" width="13.33203125" customWidth="1"/>
    <col min="11" max="11" width="12.88671875" bestFit="1" customWidth="1"/>
    <col min="12" max="12" width="15.88671875" bestFit="1" customWidth="1"/>
    <col min="13" max="13" width="16.109375" customWidth="1"/>
    <col min="14" max="14" width="19" customWidth="1"/>
    <col min="15" max="15" width="16.88671875" customWidth="1"/>
    <col min="16" max="16" width="18.33203125" customWidth="1"/>
  </cols>
  <sheetData>
    <row r="1" spans="1:16" x14ac:dyDescent="0.3">
      <c r="A1" s="77" t="s">
        <v>184</v>
      </c>
      <c r="B1" s="75" t="s">
        <v>183</v>
      </c>
      <c r="C1" s="1" t="s">
        <v>0</v>
      </c>
      <c r="D1" s="22" t="s">
        <v>203</v>
      </c>
      <c r="E1" s="23" t="s">
        <v>1</v>
      </c>
      <c r="F1" s="52" t="s">
        <v>2</v>
      </c>
      <c r="G1" s="52" t="s">
        <v>3</v>
      </c>
      <c r="H1" s="52" t="s">
        <v>200</v>
      </c>
      <c r="I1" s="22" t="s">
        <v>6</v>
      </c>
      <c r="J1" s="22" t="s">
        <v>7</v>
      </c>
      <c r="K1" s="52" t="s">
        <v>201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191</v>
      </c>
    </row>
    <row r="2" spans="1:16" x14ac:dyDescent="0.3">
      <c r="A2" s="78"/>
      <c r="B2" s="76"/>
      <c r="C2" s="2" t="s">
        <v>4</v>
      </c>
      <c r="D2" s="2" t="s">
        <v>309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>
        <v>15</v>
      </c>
      <c r="K2" s="53" t="s">
        <v>202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</row>
    <row r="3" spans="1:16" x14ac:dyDescent="0.3">
      <c r="A3" s="47">
        <f>DATE(2026,7,5)</f>
        <v>46208</v>
      </c>
      <c r="B3" s="49">
        <f>TIME(0,0,0)</f>
        <v>0</v>
      </c>
      <c r="C3" s="42">
        <f>'Červenec data'!V2+P3</f>
        <v>6.2E-2</v>
      </c>
      <c r="D3" s="42">
        <f>MIN(C3, E3)</f>
        <v>0</v>
      </c>
      <c r="E3">
        <f>ROUND(MAX(0, 13 * EXP(-((HOUR(B3)+MINUTE(B3)/60 - 12.75)^2) / 10) * 0.25 - 0.006), 3)</f>
        <v>0</v>
      </c>
      <c r="F3" s="42">
        <f>MAX(0, C3 - D3 - H3 )</f>
        <v>0</v>
      </c>
      <c r="G3" s="42">
        <f>MAX(0, E3 - D3 - M3)</f>
        <v>0</v>
      </c>
      <c r="H3" s="42">
        <f>MAX(0, MIN(C3 - D3, N3 ))</f>
        <v>6.2E-2</v>
      </c>
      <c r="I3" s="42">
        <f t="shared" ref="I3:I66" si="0">E3-C3</f>
        <v>-6.2E-2</v>
      </c>
      <c r="J3" s="43">
        <f>MIN('Výpočty '!$B$1*0.9, MAX('Výpočty '!$B$1*0.05, J2 + M3 - MIN(O3, MAX(0, J2 - ('Výpočty '!$B$1*0.1))) - P3))</f>
        <v>14.892583333333333</v>
      </c>
      <c r="K3" s="46">
        <f>J3/'Výpočty '!$B$1</f>
        <v>0.74462916666666668</v>
      </c>
      <c r="L3" s="42">
        <f t="shared" ref="L3:L66" si="1">M3 * Účinnost_cyklu</f>
        <v>0</v>
      </c>
      <c r="M3" s="42">
        <f t="shared" ref="M3:M66" si="2">MIN(MAX(0, I3), MAX(0, Kapacita_baterie * Soc_Max - J2) / Účinnost_cyklu, Stridac_limit)</f>
        <v>0</v>
      </c>
      <c r="N3" s="42">
        <f t="shared" ref="N3:N66" si="3">MAX(0, MIN(J2 - (Kapacita_baterie * Soc_Kriticke), C3 - D3 + P3))</f>
        <v>8.0250000000000002E-2</v>
      </c>
      <c r="O3" s="42">
        <f>N3 / Účinnost_cyklu</f>
        <v>8.9166666666666672E-2</v>
      </c>
      <c r="P3" s="42">
        <f t="shared" ref="P3:P66" si="4">Vlastní_Spotřeba_kWh</f>
        <v>1.8249999999999999E-2</v>
      </c>
    </row>
    <row r="4" spans="1:16" x14ac:dyDescent="0.3">
      <c r="A4" s="47">
        <f>DATE(2026,7,5)</f>
        <v>46208</v>
      </c>
      <c r="B4" s="49">
        <f>B3+TIME(0,15,0)</f>
        <v>1.0416666666666666E-2</v>
      </c>
      <c r="C4" s="42">
        <f>'Červenec data'!V3+P4</f>
        <v>6.2E-2</v>
      </c>
      <c r="D4" s="42">
        <f t="shared" ref="D4:D67" si="5">MIN(C4, E4)</f>
        <v>0</v>
      </c>
      <c r="E4">
        <f t="shared" ref="E4:E67" si="6">ROUND(MAX(0, 13 * EXP(-((HOUR(B4)+MINUTE(B4)/60 - 12.75)^2) / 10) * 0.25 - 0.006), 3)</f>
        <v>0</v>
      </c>
      <c r="F4" s="42">
        <f t="shared" ref="F4:F67" si="7">MAX(0, C4 - D4 - H4 )</f>
        <v>0</v>
      </c>
      <c r="G4" s="42">
        <f t="shared" ref="G4:G67" si="8">MAX(0, E4 - D4 - M4)</f>
        <v>0</v>
      </c>
      <c r="H4" s="42">
        <f t="shared" ref="H4:H67" si="9">MAX(0, MIN(C4 - D4, N4 ))</f>
        <v>6.2E-2</v>
      </c>
      <c r="I4" s="42">
        <f t="shared" si="0"/>
        <v>-6.2E-2</v>
      </c>
      <c r="J4" s="43">
        <f>MIN('Výpočty '!$B$1*0.9, MAX('Výpočty '!$B$1*0.05, J3 + M4 - MIN(O4, MAX(0, J3 - ('Výpočty '!$B$1*0.1))) - P4))</f>
        <v>14.785166666666665</v>
      </c>
      <c r="K4" s="46">
        <f>J4/'Výpočty '!$B$1</f>
        <v>0.73925833333333324</v>
      </c>
      <c r="L4" s="42">
        <f t="shared" si="1"/>
        <v>0</v>
      </c>
      <c r="M4" s="42">
        <f t="shared" si="2"/>
        <v>0</v>
      </c>
      <c r="N4" s="42">
        <f t="shared" si="3"/>
        <v>8.0250000000000002E-2</v>
      </c>
      <c r="O4" s="42">
        <f t="shared" ref="O4:O67" si="10">N4 / Účinnost_cyklu</f>
        <v>8.9166666666666672E-2</v>
      </c>
      <c r="P4" s="42">
        <f t="shared" si="4"/>
        <v>1.8249999999999999E-2</v>
      </c>
    </row>
    <row r="5" spans="1:16" x14ac:dyDescent="0.3">
      <c r="A5" s="47">
        <f t="shared" ref="A5:A68" si="11">DATE(2026,7,5)</f>
        <v>46208</v>
      </c>
      <c r="B5" s="49">
        <f t="shared" ref="B5:B68" si="12">B4+TIME(0,15,0)</f>
        <v>2.0833333333333332E-2</v>
      </c>
      <c r="C5" s="42">
        <f>'Červenec data'!V4+P5</f>
        <v>6.2E-2</v>
      </c>
      <c r="D5" s="42">
        <f t="shared" si="5"/>
        <v>0</v>
      </c>
      <c r="E5">
        <f t="shared" si="6"/>
        <v>0</v>
      </c>
      <c r="F5" s="42">
        <f t="shared" si="7"/>
        <v>0</v>
      </c>
      <c r="G5" s="42">
        <f t="shared" si="8"/>
        <v>0</v>
      </c>
      <c r="H5" s="42">
        <f t="shared" si="9"/>
        <v>6.2E-2</v>
      </c>
      <c r="I5" s="42">
        <f t="shared" si="0"/>
        <v>-6.2E-2</v>
      </c>
      <c r="J5" s="43">
        <f>MIN('Výpočty '!$B$1*0.9, MAX('Výpočty '!$B$1*0.05, J4 + M5 - MIN(O5, MAX(0, J4 - ('Výpočty '!$B$1*0.1))) - P5))</f>
        <v>14.677749999999998</v>
      </c>
      <c r="K5" s="46">
        <f>J5/'Výpočty '!$B$1</f>
        <v>0.73388749999999991</v>
      </c>
      <c r="L5" s="42">
        <f t="shared" si="1"/>
        <v>0</v>
      </c>
      <c r="M5" s="42">
        <f t="shared" si="2"/>
        <v>0</v>
      </c>
      <c r="N5" s="42">
        <f t="shared" si="3"/>
        <v>8.0250000000000002E-2</v>
      </c>
      <c r="O5" s="42">
        <f t="shared" si="10"/>
        <v>8.9166666666666672E-2</v>
      </c>
      <c r="P5" s="42">
        <f t="shared" si="4"/>
        <v>1.8249999999999999E-2</v>
      </c>
    </row>
    <row r="6" spans="1:16" x14ac:dyDescent="0.3">
      <c r="A6" s="47">
        <f t="shared" si="11"/>
        <v>46208</v>
      </c>
      <c r="B6" s="49">
        <f t="shared" si="12"/>
        <v>3.125E-2</v>
      </c>
      <c r="C6" s="42">
        <f>'Červenec data'!V5+P6</f>
        <v>6.2E-2</v>
      </c>
      <c r="D6" s="42">
        <f t="shared" si="5"/>
        <v>0</v>
      </c>
      <c r="E6">
        <f t="shared" si="6"/>
        <v>0</v>
      </c>
      <c r="F6" s="42">
        <f t="shared" si="7"/>
        <v>0</v>
      </c>
      <c r="G6" s="42">
        <f t="shared" si="8"/>
        <v>0</v>
      </c>
      <c r="H6" s="42">
        <f t="shared" si="9"/>
        <v>6.2E-2</v>
      </c>
      <c r="I6" s="42">
        <f t="shared" si="0"/>
        <v>-6.2E-2</v>
      </c>
      <c r="J6" s="43">
        <f>MIN('Výpočty '!$B$1*0.9, MAX('Výpočty '!$B$1*0.05, J5 + M6 - MIN(O6, MAX(0, J5 - ('Výpočty '!$B$1*0.1))) - P6))</f>
        <v>14.57033333333333</v>
      </c>
      <c r="K6" s="46">
        <f>J6/'Výpočty '!$B$1</f>
        <v>0.72851666666666648</v>
      </c>
      <c r="L6" s="42">
        <f t="shared" si="1"/>
        <v>0</v>
      </c>
      <c r="M6" s="42">
        <f t="shared" si="2"/>
        <v>0</v>
      </c>
      <c r="N6" s="42">
        <f t="shared" si="3"/>
        <v>8.0250000000000002E-2</v>
      </c>
      <c r="O6" s="42">
        <f t="shared" si="10"/>
        <v>8.9166666666666672E-2</v>
      </c>
      <c r="P6" s="42">
        <f t="shared" si="4"/>
        <v>1.8249999999999999E-2</v>
      </c>
    </row>
    <row r="7" spans="1:16" x14ac:dyDescent="0.3">
      <c r="A7" s="47">
        <f t="shared" si="11"/>
        <v>46208</v>
      </c>
      <c r="B7" s="49">
        <f t="shared" si="12"/>
        <v>4.1666666666666664E-2</v>
      </c>
      <c r="C7" s="42">
        <f>'Červenec data'!V6+P7</f>
        <v>4.0749999999999995E-2</v>
      </c>
      <c r="D7" s="42">
        <f t="shared" si="5"/>
        <v>0</v>
      </c>
      <c r="E7">
        <f t="shared" si="6"/>
        <v>0</v>
      </c>
      <c r="F7" s="42">
        <f t="shared" si="7"/>
        <v>0</v>
      </c>
      <c r="G7" s="42">
        <f t="shared" si="8"/>
        <v>0</v>
      </c>
      <c r="H7" s="42">
        <f t="shared" si="9"/>
        <v>4.0749999999999995E-2</v>
      </c>
      <c r="I7" s="42">
        <f t="shared" si="0"/>
        <v>-4.0749999999999995E-2</v>
      </c>
      <c r="J7" s="43">
        <f>MIN('Výpočty '!$B$1*0.9, MAX('Výpočty '!$B$1*0.05, J6 + M7 - MIN(O7, MAX(0, J6 - ('Výpočty '!$B$1*0.1))) - P7))</f>
        <v>14.486527777777775</v>
      </c>
      <c r="K7" s="46">
        <f>J7/'Výpočty '!$B$1</f>
        <v>0.72432638888888878</v>
      </c>
      <c r="L7" s="42">
        <f t="shared" si="1"/>
        <v>0</v>
      </c>
      <c r="M7" s="42">
        <f t="shared" si="2"/>
        <v>0</v>
      </c>
      <c r="N7" s="42">
        <f t="shared" si="3"/>
        <v>5.8999999999999997E-2</v>
      </c>
      <c r="O7" s="42">
        <f t="shared" si="10"/>
        <v>6.5555555555555547E-2</v>
      </c>
      <c r="P7" s="42">
        <f t="shared" si="4"/>
        <v>1.8249999999999999E-2</v>
      </c>
    </row>
    <row r="8" spans="1:16" x14ac:dyDescent="0.3">
      <c r="A8" s="47">
        <f t="shared" si="11"/>
        <v>46208</v>
      </c>
      <c r="B8" s="49">
        <f t="shared" si="12"/>
        <v>5.2083333333333329E-2</v>
      </c>
      <c r="C8" s="42">
        <f>'Červenec data'!V7+P8</f>
        <v>4.0749999999999995E-2</v>
      </c>
      <c r="D8" s="42">
        <f t="shared" si="5"/>
        <v>0</v>
      </c>
      <c r="E8">
        <f t="shared" si="6"/>
        <v>0</v>
      </c>
      <c r="F8" s="42">
        <f t="shared" si="7"/>
        <v>0</v>
      </c>
      <c r="G8" s="42">
        <f t="shared" si="8"/>
        <v>0</v>
      </c>
      <c r="H8" s="42">
        <f t="shared" si="9"/>
        <v>4.0749999999999995E-2</v>
      </c>
      <c r="I8" s="42">
        <f t="shared" si="0"/>
        <v>-4.0749999999999995E-2</v>
      </c>
      <c r="J8" s="43">
        <f>MIN('Výpočty '!$B$1*0.9, MAX('Výpočty '!$B$1*0.05, J7 + M8 - MIN(O8, MAX(0, J7 - ('Výpočty '!$B$1*0.1))) - P8))</f>
        <v>14.40272222222222</v>
      </c>
      <c r="K8" s="46">
        <f>J8/'Výpočty '!$B$1</f>
        <v>0.72013611111111098</v>
      </c>
      <c r="L8" s="42">
        <f t="shared" si="1"/>
        <v>0</v>
      </c>
      <c r="M8" s="42">
        <f t="shared" si="2"/>
        <v>0</v>
      </c>
      <c r="N8" s="42">
        <f t="shared" si="3"/>
        <v>5.8999999999999997E-2</v>
      </c>
      <c r="O8" s="42">
        <f t="shared" si="10"/>
        <v>6.5555555555555547E-2</v>
      </c>
      <c r="P8" s="42">
        <f t="shared" si="4"/>
        <v>1.8249999999999999E-2</v>
      </c>
    </row>
    <row r="9" spans="1:16" x14ac:dyDescent="0.3">
      <c r="A9" s="47">
        <f t="shared" si="11"/>
        <v>46208</v>
      </c>
      <c r="B9" s="49">
        <f t="shared" si="12"/>
        <v>6.2499999999999993E-2</v>
      </c>
      <c r="C9" s="42">
        <f>'Červenec data'!V8+P9</f>
        <v>4.0749999999999995E-2</v>
      </c>
      <c r="D9" s="42">
        <f t="shared" si="5"/>
        <v>0</v>
      </c>
      <c r="E9">
        <f t="shared" si="6"/>
        <v>0</v>
      </c>
      <c r="F9" s="42">
        <f t="shared" si="7"/>
        <v>0</v>
      </c>
      <c r="G9" s="42">
        <f t="shared" si="8"/>
        <v>0</v>
      </c>
      <c r="H9" s="42">
        <f t="shared" si="9"/>
        <v>4.0749999999999995E-2</v>
      </c>
      <c r="I9" s="42">
        <f t="shared" si="0"/>
        <v>-4.0749999999999995E-2</v>
      </c>
      <c r="J9" s="43">
        <f>MIN('Výpočty '!$B$1*0.9, MAX('Výpočty '!$B$1*0.05, J8 + M9 - MIN(O9, MAX(0, J8 - ('Výpočty '!$B$1*0.1))) - P9))</f>
        <v>14.318916666666665</v>
      </c>
      <c r="K9" s="46">
        <f>J9/'Výpočty '!$B$1</f>
        <v>0.71594583333333328</v>
      </c>
      <c r="L9" s="42">
        <f t="shared" si="1"/>
        <v>0</v>
      </c>
      <c r="M9" s="42">
        <f t="shared" si="2"/>
        <v>0</v>
      </c>
      <c r="N9" s="42">
        <f t="shared" si="3"/>
        <v>5.8999999999999997E-2</v>
      </c>
      <c r="O9" s="42">
        <f t="shared" si="10"/>
        <v>6.5555555555555547E-2</v>
      </c>
      <c r="P9" s="42">
        <f t="shared" si="4"/>
        <v>1.8249999999999999E-2</v>
      </c>
    </row>
    <row r="10" spans="1:16" x14ac:dyDescent="0.3">
      <c r="A10" s="47">
        <f t="shared" si="11"/>
        <v>46208</v>
      </c>
      <c r="B10" s="49">
        <f t="shared" si="12"/>
        <v>7.2916666666666657E-2</v>
      </c>
      <c r="C10" s="42">
        <f>'Červenec data'!V9+P10</f>
        <v>4.0749999999999995E-2</v>
      </c>
      <c r="D10" s="42">
        <f t="shared" si="5"/>
        <v>0</v>
      </c>
      <c r="E10">
        <f t="shared" si="6"/>
        <v>0</v>
      </c>
      <c r="F10" s="42">
        <f t="shared" si="7"/>
        <v>0</v>
      </c>
      <c r="G10" s="42">
        <f t="shared" si="8"/>
        <v>0</v>
      </c>
      <c r="H10" s="42">
        <f t="shared" si="9"/>
        <v>4.0749999999999995E-2</v>
      </c>
      <c r="I10" s="42">
        <f t="shared" si="0"/>
        <v>-4.0749999999999995E-2</v>
      </c>
      <c r="J10" s="43">
        <f>MIN('Výpočty '!$B$1*0.9, MAX('Výpočty '!$B$1*0.05, J9 + M10 - MIN(O10, MAX(0, J9 - ('Výpočty '!$B$1*0.1))) - P10))</f>
        <v>14.235111111111109</v>
      </c>
      <c r="K10" s="46">
        <f>J10/'Výpočty '!$B$1</f>
        <v>0.71175555555555547</v>
      </c>
      <c r="L10" s="42">
        <f t="shared" si="1"/>
        <v>0</v>
      </c>
      <c r="M10" s="42">
        <f t="shared" si="2"/>
        <v>0</v>
      </c>
      <c r="N10" s="42">
        <f t="shared" si="3"/>
        <v>5.8999999999999997E-2</v>
      </c>
      <c r="O10" s="42">
        <f t="shared" si="10"/>
        <v>6.5555555555555547E-2</v>
      </c>
      <c r="P10" s="42">
        <f t="shared" si="4"/>
        <v>1.8249999999999999E-2</v>
      </c>
    </row>
    <row r="11" spans="1:16" x14ac:dyDescent="0.3">
      <c r="A11" s="47">
        <f t="shared" si="11"/>
        <v>46208</v>
      </c>
      <c r="B11" s="49">
        <f t="shared" si="12"/>
        <v>8.3333333333333329E-2</v>
      </c>
      <c r="C11" s="42">
        <f>'Červenec data'!V10+P11</f>
        <v>4.0749999999999995E-2</v>
      </c>
      <c r="D11" s="42">
        <f t="shared" si="5"/>
        <v>0</v>
      </c>
      <c r="E11">
        <f t="shared" si="6"/>
        <v>0</v>
      </c>
      <c r="F11" s="42">
        <f t="shared" si="7"/>
        <v>0</v>
      </c>
      <c r="G11" s="42">
        <f t="shared" si="8"/>
        <v>0</v>
      </c>
      <c r="H11" s="42">
        <f t="shared" si="9"/>
        <v>4.0749999999999995E-2</v>
      </c>
      <c r="I11" s="42">
        <f t="shared" si="0"/>
        <v>-4.0749999999999995E-2</v>
      </c>
      <c r="J11" s="43">
        <f>MIN('Výpočty '!$B$1*0.9, MAX('Výpočty '!$B$1*0.05, J10 + M11 - MIN(O11, MAX(0, J10 - ('Výpočty '!$B$1*0.1))) - P11))</f>
        <v>14.151305555555554</v>
      </c>
      <c r="K11" s="46">
        <f>J11/'Výpočty '!$B$1</f>
        <v>0.70756527777777767</v>
      </c>
      <c r="L11" s="42">
        <f t="shared" si="1"/>
        <v>0</v>
      </c>
      <c r="M11" s="42">
        <f t="shared" si="2"/>
        <v>0</v>
      </c>
      <c r="N11" s="42">
        <f t="shared" si="3"/>
        <v>5.8999999999999997E-2</v>
      </c>
      <c r="O11" s="42">
        <f t="shared" si="10"/>
        <v>6.5555555555555547E-2</v>
      </c>
      <c r="P11" s="42">
        <f t="shared" si="4"/>
        <v>1.8249999999999999E-2</v>
      </c>
    </row>
    <row r="12" spans="1:16" x14ac:dyDescent="0.3">
      <c r="A12" s="47">
        <f t="shared" si="11"/>
        <v>46208</v>
      </c>
      <c r="B12" s="49">
        <f t="shared" si="12"/>
        <v>9.375E-2</v>
      </c>
      <c r="C12" s="42">
        <f>'Červenec data'!V11+P12</f>
        <v>4.0749999999999995E-2</v>
      </c>
      <c r="D12" s="42">
        <f t="shared" si="5"/>
        <v>0</v>
      </c>
      <c r="E12">
        <f t="shared" si="6"/>
        <v>0</v>
      </c>
      <c r="F12" s="42">
        <f t="shared" si="7"/>
        <v>0</v>
      </c>
      <c r="G12" s="42">
        <f t="shared" si="8"/>
        <v>0</v>
      </c>
      <c r="H12" s="42">
        <f t="shared" si="9"/>
        <v>4.0749999999999995E-2</v>
      </c>
      <c r="I12" s="42">
        <f t="shared" si="0"/>
        <v>-4.0749999999999995E-2</v>
      </c>
      <c r="J12" s="43">
        <f>MIN('Výpočty '!$B$1*0.9, MAX('Výpočty '!$B$1*0.05, J11 + M12 - MIN(O12, MAX(0, J11 - ('Výpočty '!$B$1*0.1))) - P12))</f>
        <v>14.067499999999999</v>
      </c>
      <c r="K12" s="46">
        <f>J12/'Výpočty '!$B$1</f>
        <v>0.70337499999999997</v>
      </c>
      <c r="L12" s="42">
        <f t="shared" si="1"/>
        <v>0</v>
      </c>
      <c r="M12" s="42">
        <f t="shared" si="2"/>
        <v>0</v>
      </c>
      <c r="N12" s="42">
        <f t="shared" si="3"/>
        <v>5.8999999999999997E-2</v>
      </c>
      <c r="O12" s="42">
        <f t="shared" si="10"/>
        <v>6.5555555555555547E-2</v>
      </c>
      <c r="P12" s="42">
        <f t="shared" si="4"/>
        <v>1.8249999999999999E-2</v>
      </c>
    </row>
    <row r="13" spans="1:16" x14ac:dyDescent="0.3">
      <c r="A13" s="47">
        <f t="shared" si="11"/>
        <v>46208</v>
      </c>
      <c r="B13" s="49">
        <f t="shared" si="12"/>
        <v>0.10416666666666667</v>
      </c>
      <c r="C13" s="42">
        <f>'Červenec data'!V12+P13</f>
        <v>2.5749999999999999E-2</v>
      </c>
      <c r="D13" s="42">
        <f t="shared" si="5"/>
        <v>0</v>
      </c>
      <c r="E13">
        <f t="shared" si="6"/>
        <v>0</v>
      </c>
      <c r="F13" s="42">
        <f t="shared" si="7"/>
        <v>0</v>
      </c>
      <c r="G13" s="42">
        <f t="shared" si="8"/>
        <v>0</v>
      </c>
      <c r="H13" s="42">
        <f t="shared" si="9"/>
        <v>2.5749999999999999E-2</v>
      </c>
      <c r="I13" s="42">
        <f t="shared" si="0"/>
        <v>-2.5749999999999999E-2</v>
      </c>
      <c r="J13" s="43">
        <f>MIN('Výpočty '!$B$1*0.9, MAX('Výpočty '!$B$1*0.05, J12 + M13 - MIN(O13, MAX(0, J12 - ('Výpočty '!$B$1*0.1))) - P13))</f>
        <v>14.000361111111109</v>
      </c>
      <c r="K13" s="46">
        <f>J13/'Výpočty '!$B$1</f>
        <v>0.70001805555555552</v>
      </c>
      <c r="L13" s="42">
        <f t="shared" si="1"/>
        <v>0</v>
      </c>
      <c r="M13" s="42">
        <f t="shared" si="2"/>
        <v>0</v>
      </c>
      <c r="N13" s="42">
        <f t="shared" si="3"/>
        <v>4.3999999999999997E-2</v>
      </c>
      <c r="O13" s="42">
        <f t="shared" si="10"/>
        <v>4.8888888888888885E-2</v>
      </c>
      <c r="P13" s="42">
        <f t="shared" si="4"/>
        <v>1.8249999999999999E-2</v>
      </c>
    </row>
    <row r="14" spans="1:16" x14ac:dyDescent="0.3">
      <c r="A14" s="47">
        <f t="shared" si="11"/>
        <v>46208</v>
      </c>
      <c r="B14" s="49">
        <f t="shared" si="12"/>
        <v>0.11458333333333334</v>
      </c>
      <c r="C14" s="42">
        <f>'Červenec data'!V13+P14</f>
        <v>2.5749999999999999E-2</v>
      </c>
      <c r="D14" s="42">
        <f t="shared" si="5"/>
        <v>0</v>
      </c>
      <c r="E14">
        <f t="shared" si="6"/>
        <v>0</v>
      </c>
      <c r="F14" s="42">
        <f t="shared" si="7"/>
        <v>0</v>
      </c>
      <c r="G14" s="42">
        <f t="shared" si="8"/>
        <v>0</v>
      </c>
      <c r="H14" s="42">
        <f t="shared" si="9"/>
        <v>2.5749999999999999E-2</v>
      </c>
      <c r="I14" s="42">
        <f t="shared" si="0"/>
        <v>-2.5749999999999999E-2</v>
      </c>
      <c r="J14" s="43">
        <f>MIN('Výpočty '!$B$1*0.9, MAX('Výpočty '!$B$1*0.05, J13 + M14 - MIN(O14, MAX(0, J13 - ('Výpočty '!$B$1*0.1))) - P14))</f>
        <v>13.93322222222222</v>
      </c>
      <c r="K14" s="46">
        <f>J14/'Výpočty '!$B$1</f>
        <v>0.69666111111111095</v>
      </c>
      <c r="L14" s="42">
        <f t="shared" si="1"/>
        <v>0</v>
      </c>
      <c r="M14" s="42">
        <f t="shared" si="2"/>
        <v>0</v>
      </c>
      <c r="N14" s="42">
        <f t="shared" si="3"/>
        <v>4.3999999999999997E-2</v>
      </c>
      <c r="O14" s="42">
        <f t="shared" si="10"/>
        <v>4.8888888888888885E-2</v>
      </c>
      <c r="P14" s="42">
        <f t="shared" si="4"/>
        <v>1.8249999999999999E-2</v>
      </c>
    </row>
    <row r="15" spans="1:16" x14ac:dyDescent="0.3">
      <c r="A15" s="47">
        <f t="shared" si="11"/>
        <v>46208</v>
      </c>
      <c r="B15" s="49">
        <f t="shared" si="12"/>
        <v>0.125</v>
      </c>
      <c r="C15" s="42">
        <f>'Červenec data'!V14+P15</f>
        <v>2.5749999999999999E-2</v>
      </c>
      <c r="D15" s="42">
        <f t="shared" si="5"/>
        <v>0</v>
      </c>
      <c r="E15">
        <f t="shared" si="6"/>
        <v>0</v>
      </c>
      <c r="F15" s="42">
        <f t="shared" si="7"/>
        <v>0</v>
      </c>
      <c r="G15" s="42">
        <f t="shared" si="8"/>
        <v>0</v>
      </c>
      <c r="H15" s="42">
        <f t="shared" si="9"/>
        <v>2.5749999999999999E-2</v>
      </c>
      <c r="I15" s="42">
        <f t="shared" si="0"/>
        <v>-2.5749999999999999E-2</v>
      </c>
      <c r="J15" s="43">
        <f>MIN('Výpočty '!$B$1*0.9, MAX('Výpočty '!$B$1*0.05, J14 + M15 - MIN(O15, MAX(0, J14 - ('Výpočty '!$B$1*0.1))) - P15))</f>
        <v>13.86608333333333</v>
      </c>
      <c r="K15" s="46">
        <f>J15/'Výpočty '!$B$1</f>
        <v>0.6933041666666665</v>
      </c>
      <c r="L15" s="42">
        <f t="shared" si="1"/>
        <v>0</v>
      </c>
      <c r="M15" s="42">
        <f t="shared" si="2"/>
        <v>0</v>
      </c>
      <c r="N15" s="42">
        <f t="shared" si="3"/>
        <v>4.3999999999999997E-2</v>
      </c>
      <c r="O15" s="42">
        <f t="shared" si="10"/>
        <v>4.8888888888888885E-2</v>
      </c>
      <c r="P15" s="42">
        <f t="shared" si="4"/>
        <v>1.8249999999999999E-2</v>
      </c>
    </row>
    <row r="16" spans="1:16" x14ac:dyDescent="0.3">
      <c r="A16" s="47">
        <f t="shared" si="11"/>
        <v>46208</v>
      </c>
      <c r="B16" s="49">
        <f t="shared" si="12"/>
        <v>0.13541666666666666</v>
      </c>
      <c r="C16" s="42">
        <f>'Červenec data'!V15+P16</f>
        <v>2.5749999999999999E-2</v>
      </c>
      <c r="D16" s="42">
        <f t="shared" si="5"/>
        <v>0</v>
      </c>
      <c r="E16">
        <f t="shared" si="6"/>
        <v>0</v>
      </c>
      <c r="F16" s="42">
        <f t="shared" si="7"/>
        <v>0</v>
      </c>
      <c r="G16" s="42">
        <f t="shared" si="8"/>
        <v>0</v>
      </c>
      <c r="H16" s="42">
        <f t="shared" si="9"/>
        <v>2.5749999999999999E-2</v>
      </c>
      <c r="I16" s="42">
        <f t="shared" si="0"/>
        <v>-2.5749999999999999E-2</v>
      </c>
      <c r="J16" s="43">
        <f>MIN('Výpočty '!$B$1*0.9, MAX('Výpočty '!$B$1*0.05, J15 + M16 - MIN(O16, MAX(0, J15 - ('Výpočty '!$B$1*0.1))) - P16))</f>
        <v>13.798944444444441</v>
      </c>
      <c r="K16" s="46">
        <f>J16/'Výpočty '!$B$1</f>
        <v>0.68994722222222205</v>
      </c>
      <c r="L16" s="42">
        <f t="shared" si="1"/>
        <v>0</v>
      </c>
      <c r="M16" s="42">
        <f t="shared" si="2"/>
        <v>0</v>
      </c>
      <c r="N16" s="42">
        <f t="shared" si="3"/>
        <v>4.3999999999999997E-2</v>
      </c>
      <c r="O16" s="42">
        <f t="shared" si="10"/>
        <v>4.8888888888888885E-2</v>
      </c>
      <c r="P16" s="42">
        <f t="shared" si="4"/>
        <v>1.8249999999999999E-2</v>
      </c>
    </row>
    <row r="17" spans="1:16" x14ac:dyDescent="0.3">
      <c r="A17" s="47">
        <f t="shared" si="11"/>
        <v>46208</v>
      </c>
      <c r="B17" s="49">
        <f t="shared" si="12"/>
        <v>0.14583333333333331</v>
      </c>
      <c r="C17" s="42">
        <f>'Červenec data'!V16+P17</f>
        <v>2.5749999999999999E-2</v>
      </c>
      <c r="D17" s="42">
        <f t="shared" si="5"/>
        <v>0</v>
      </c>
      <c r="E17">
        <f t="shared" si="6"/>
        <v>0</v>
      </c>
      <c r="F17" s="42">
        <f t="shared" si="7"/>
        <v>0</v>
      </c>
      <c r="G17" s="42">
        <f t="shared" si="8"/>
        <v>0</v>
      </c>
      <c r="H17" s="42">
        <f t="shared" si="9"/>
        <v>2.5749999999999999E-2</v>
      </c>
      <c r="I17" s="42">
        <f t="shared" si="0"/>
        <v>-2.5749999999999999E-2</v>
      </c>
      <c r="J17" s="43">
        <f>MIN('Výpočty '!$B$1*0.9, MAX('Výpočty '!$B$1*0.05, J16 + M17 - MIN(O17, MAX(0, J16 - ('Výpočty '!$B$1*0.1))) - P17))</f>
        <v>13.731805555555551</v>
      </c>
      <c r="K17" s="46">
        <f>J17/'Výpočty '!$B$1</f>
        <v>0.68659027777777759</v>
      </c>
      <c r="L17" s="42">
        <f t="shared" si="1"/>
        <v>0</v>
      </c>
      <c r="M17" s="42">
        <f t="shared" si="2"/>
        <v>0</v>
      </c>
      <c r="N17" s="42">
        <f t="shared" si="3"/>
        <v>4.3999999999999997E-2</v>
      </c>
      <c r="O17" s="42">
        <f t="shared" si="10"/>
        <v>4.8888888888888885E-2</v>
      </c>
      <c r="P17" s="42">
        <f t="shared" si="4"/>
        <v>1.8249999999999999E-2</v>
      </c>
    </row>
    <row r="18" spans="1:16" x14ac:dyDescent="0.3">
      <c r="A18" s="47">
        <f t="shared" si="11"/>
        <v>46208</v>
      </c>
      <c r="B18" s="49">
        <f t="shared" si="12"/>
        <v>0.15624999999999997</v>
      </c>
      <c r="C18" s="42">
        <f>'Červenec data'!V17+P18</f>
        <v>2.5749999999999999E-2</v>
      </c>
      <c r="D18" s="42">
        <f t="shared" si="5"/>
        <v>0</v>
      </c>
      <c r="E18">
        <f t="shared" si="6"/>
        <v>0</v>
      </c>
      <c r="F18" s="42">
        <f t="shared" si="7"/>
        <v>0</v>
      </c>
      <c r="G18" s="42">
        <f t="shared" si="8"/>
        <v>0</v>
      </c>
      <c r="H18" s="42">
        <f t="shared" si="9"/>
        <v>2.5749999999999999E-2</v>
      </c>
      <c r="I18" s="42">
        <f t="shared" si="0"/>
        <v>-2.5749999999999999E-2</v>
      </c>
      <c r="J18" s="43">
        <f>MIN('Výpočty '!$B$1*0.9, MAX('Výpočty '!$B$1*0.05, J17 + M18 - MIN(O18, MAX(0, J17 - ('Výpočty '!$B$1*0.1))) - P18))</f>
        <v>13.664666666666662</v>
      </c>
      <c r="K18" s="46">
        <f>J18/'Výpočty '!$B$1</f>
        <v>0.68323333333333314</v>
      </c>
      <c r="L18" s="42">
        <f t="shared" si="1"/>
        <v>0</v>
      </c>
      <c r="M18" s="42">
        <f t="shared" si="2"/>
        <v>0</v>
      </c>
      <c r="N18" s="42">
        <f t="shared" si="3"/>
        <v>4.3999999999999997E-2</v>
      </c>
      <c r="O18" s="42">
        <f t="shared" si="10"/>
        <v>4.8888888888888885E-2</v>
      </c>
      <c r="P18" s="42">
        <f t="shared" si="4"/>
        <v>1.8249999999999999E-2</v>
      </c>
    </row>
    <row r="19" spans="1:16" x14ac:dyDescent="0.3">
      <c r="A19" s="47">
        <f t="shared" si="11"/>
        <v>46208</v>
      </c>
      <c r="B19" s="49">
        <f t="shared" si="12"/>
        <v>0.16666666666666663</v>
      </c>
      <c r="C19" s="42">
        <f>'Červenec data'!V18+P19</f>
        <v>2.5749999999999999E-2</v>
      </c>
      <c r="D19" s="42">
        <f t="shared" si="5"/>
        <v>0</v>
      </c>
      <c r="E19">
        <f t="shared" si="6"/>
        <v>0</v>
      </c>
      <c r="F19" s="42">
        <f t="shared" si="7"/>
        <v>0</v>
      </c>
      <c r="G19" s="42">
        <f t="shared" si="8"/>
        <v>0</v>
      </c>
      <c r="H19" s="42">
        <f t="shared" si="9"/>
        <v>2.5749999999999999E-2</v>
      </c>
      <c r="I19" s="42">
        <f t="shared" si="0"/>
        <v>-2.5749999999999999E-2</v>
      </c>
      <c r="J19" s="43">
        <f>MIN('Výpočty '!$B$1*0.9, MAX('Výpočty '!$B$1*0.05, J18 + M19 - MIN(O19, MAX(0, J18 - ('Výpočty '!$B$1*0.1))) - P19))</f>
        <v>13.597527777777772</v>
      </c>
      <c r="K19" s="46">
        <f>J19/'Výpočty '!$B$1</f>
        <v>0.67987638888888857</v>
      </c>
      <c r="L19" s="42">
        <f t="shared" si="1"/>
        <v>0</v>
      </c>
      <c r="M19" s="42">
        <f t="shared" si="2"/>
        <v>0</v>
      </c>
      <c r="N19" s="42">
        <f t="shared" si="3"/>
        <v>4.3999999999999997E-2</v>
      </c>
      <c r="O19" s="42">
        <f t="shared" si="10"/>
        <v>4.8888888888888885E-2</v>
      </c>
      <c r="P19" s="42">
        <f t="shared" si="4"/>
        <v>1.8249999999999999E-2</v>
      </c>
    </row>
    <row r="20" spans="1:16" x14ac:dyDescent="0.3">
      <c r="A20" s="47">
        <f t="shared" si="11"/>
        <v>46208</v>
      </c>
      <c r="B20" s="49">
        <f t="shared" si="12"/>
        <v>0.17708333333333329</v>
      </c>
      <c r="C20" s="42">
        <f>'Červenec data'!V19+P20</f>
        <v>2.5749999999999999E-2</v>
      </c>
      <c r="D20" s="42">
        <f t="shared" si="5"/>
        <v>0</v>
      </c>
      <c r="E20">
        <f t="shared" si="6"/>
        <v>0</v>
      </c>
      <c r="F20" s="42">
        <f t="shared" si="7"/>
        <v>0</v>
      </c>
      <c r="G20" s="42">
        <f t="shared" si="8"/>
        <v>0</v>
      </c>
      <c r="H20" s="42">
        <f t="shared" si="9"/>
        <v>2.5749999999999999E-2</v>
      </c>
      <c r="I20" s="42">
        <f t="shared" si="0"/>
        <v>-2.5749999999999999E-2</v>
      </c>
      <c r="J20" s="43">
        <f>MIN('Výpočty '!$B$1*0.9, MAX('Výpočty '!$B$1*0.05, J19 + M20 - MIN(O20, MAX(0, J19 - ('Výpočty '!$B$1*0.1))) - P20))</f>
        <v>13.530388888888883</v>
      </c>
      <c r="K20" s="46">
        <f>J20/'Výpočty '!$B$1</f>
        <v>0.67651944444444412</v>
      </c>
      <c r="L20" s="42">
        <f t="shared" si="1"/>
        <v>0</v>
      </c>
      <c r="M20" s="42">
        <f t="shared" si="2"/>
        <v>0</v>
      </c>
      <c r="N20" s="42">
        <f t="shared" si="3"/>
        <v>4.3999999999999997E-2</v>
      </c>
      <c r="O20" s="42">
        <f t="shared" si="10"/>
        <v>4.8888888888888885E-2</v>
      </c>
      <c r="P20" s="42">
        <f t="shared" si="4"/>
        <v>1.8249999999999999E-2</v>
      </c>
    </row>
    <row r="21" spans="1:16" x14ac:dyDescent="0.3">
      <c r="A21" s="47">
        <f t="shared" si="11"/>
        <v>46208</v>
      </c>
      <c r="B21" s="49">
        <f t="shared" si="12"/>
        <v>0.18749999999999994</v>
      </c>
      <c r="C21" s="42">
        <f>'Červenec data'!V20+P21</f>
        <v>2.5749999999999999E-2</v>
      </c>
      <c r="D21" s="42">
        <f t="shared" si="5"/>
        <v>0</v>
      </c>
      <c r="E21">
        <f t="shared" si="6"/>
        <v>0</v>
      </c>
      <c r="F21" s="42">
        <f t="shared" si="7"/>
        <v>0</v>
      </c>
      <c r="G21" s="42">
        <f t="shared" si="8"/>
        <v>0</v>
      </c>
      <c r="H21" s="42">
        <f t="shared" si="9"/>
        <v>2.5749999999999999E-2</v>
      </c>
      <c r="I21" s="42">
        <f t="shared" si="0"/>
        <v>-2.5749999999999999E-2</v>
      </c>
      <c r="J21" s="43">
        <f>MIN('Výpočty '!$B$1*0.9, MAX('Výpočty '!$B$1*0.05, J20 + M21 - MIN(O21, MAX(0, J20 - ('Výpočty '!$B$1*0.1))) - P21))</f>
        <v>13.463249999999993</v>
      </c>
      <c r="K21" s="46">
        <f>J21/'Výpočty '!$B$1</f>
        <v>0.67316249999999966</v>
      </c>
      <c r="L21" s="42">
        <f t="shared" si="1"/>
        <v>0</v>
      </c>
      <c r="M21" s="42">
        <f t="shared" si="2"/>
        <v>0</v>
      </c>
      <c r="N21" s="42">
        <f t="shared" si="3"/>
        <v>4.3999999999999997E-2</v>
      </c>
      <c r="O21" s="42">
        <f t="shared" si="10"/>
        <v>4.8888888888888885E-2</v>
      </c>
      <c r="P21" s="42">
        <f t="shared" si="4"/>
        <v>1.8249999999999999E-2</v>
      </c>
    </row>
    <row r="22" spans="1:16" x14ac:dyDescent="0.3">
      <c r="A22" s="47">
        <f t="shared" si="11"/>
        <v>46208</v>
      </c>
      <c r="B22" s="49">
        <f t="shared" si="12"/>
        <v>0.1979166666666666</v>
      </c>
      <c r="C22" s="42">
        <f>'Červenec data'!V21+P22</f>
        <v>2.5749999999999999E-2</v>
      </c>
      <c r="D22" s="42">
        <f t="shared" si="5"/>
        <v>0</v>
      </c>
      <c r="E22">
        <f t="shared" si="6"/>
        <v>0</v>
      </c>
      <c r="F22" s="42">
        <f t="shared" si="7"/>
        <v>0</v>
      </c>
      <c r="G22" s="42">
        <f t="shared" si="8"/>
        <v>0</v>
      </c>
      <c r="H22" s="42">
        <f t="shared" si="9"/>
        <v>2.5749999999999999E-2</v>
      </c>
      <c r="I22" s="42">
        <f t="shared" si="0"/>
        <v>-2.5749999999999999E-2</v>
      </c>
      <c r="J22" s="43">
        <f>MIN('Výpočty '!$B$1*0.9, MAX('Výpočty '!$B$1*0.05, J21 + M22 - MIN(O22, MAX(0, J21 - ('Výpočty '!$B$1*0.1))) - P22))</f>
        <v>13.396111111111104</v>
      </c>
      <c r="K22" s="46">
        <f>J22/'Výpočty '!$B$1</f>
        <v>0.66980555555555521</v>
      </c>
      <c r="L22" s="42">
        <f t="shared" si="1"/>
        <v>0</v>
      </c>
      <c r="M22" s="42">
        <f t="shared" si="2"/>
        <v>0</v>
      </c>
      <c r="N22" s="42">
        <f t="shared" si="3"/>
        <v>4.3999999999999997E-2</v>
      </c>
      <c r="O22" s="42">
        <f t="shared" si="10"/>
        <v>4.8888888888888885E-2</v>
      </c>
      <c r="P22" s="42">
        <f t="shared" si="4"/>
        <v>1.8249999999999999E-2</v>
      </c>
    </row>
    <row r="23" spans="1:16" x14ac:dyDescent="0.3">
      <c r="A23" s="47">
        <f t="shared" si="11"/>
        <v>46208</v>
      </c>
      <c r="B23" s="49">
        <f t="shared" si="12"/>
        <v>0.20833333333333326</v>
      </c>
      <c r="C23" s="42">
        <f>'Červenec data'!V22+P23</f>
        <v>2.5749999999999999E-2</v>
      </c>
      <c r="D23" s="42">
        <f t="shared" si="5"/>
        <v>2E-3</v>
      </c>
      <c r="E23">
        <f t="shared" si="6"/>
        <v>2E-3</v>
      </c>
      <c r="F23" s="42">
        <f t="shared" si="7"/>
        <v>0</v>
      </c>
      <c r="G23" s="42">
        <f t="shared" si="8"/>
        <v>0</v>
      </c>
      <c r="H23" s="42">
        <f t="shared" si="9"/>
        <v>2.375E-2</v>
      </c>
      <c r="I23" s="42">
        <f t="shared" si="0"/>
        <v>-2.375E-2</v>
      </c>
      <c r="J23" s="43">
        <f>MIN('Výpočty '!$B$1*0.9, MAX('Výpočty '!$B$1*0.05, J22 + M23 - MIN(O23, MAX(0, J22 - ('Výpočty '!$B$1*0.1))) - P23))</f>
        <v>13.331194444444437</v>
      </c>
      <c r="K23" s="46">
        <f>J23/'Výpočty '!$B$1</f>
        <v>0.66655972222222182</v>
      </c>
      <c r="L23" s="42">
        <f t="shared" si="1"/>
        <v>0</v>
      </c>
      <c r="M23" s="42">
        <f t="shared" si="2"/>
        <v>0</v>
      </c>
      <c r="N23" s="42">
        <f t="shared" si="3"/>
        <v>4.1999999999999996E-2</v>
      </c>
      <c r="O23" s="42">
        <f t="shared" si="10"/>
        <v>4.6666666666666662E-2</v>
      </c>
      <c r="P23" s="42">
        <f t="shared" si="4"/>
        <v>1.8249999999999999E-2</v>
      </c>
    </row>
    <row r="24" spans="1:16" x14ac:dyDescent="0.3">
      <c r="A24" s="47">
        <f t="shared" si="11"/>
        <v>46208</v>
      </c>
      <c r="B24" s="49">
        <f t="shared" si="12"/>
        <v>0.21874999999999992</v>
      </c>
      <c r="C24" s="42">
        <f>'Červenec data'!V23+P24</f>
        <v>2.5749999999999999E-2</v>
      </c>
      <c r="D24" s="42">
        <f t="shared" si="5"/>
        <v>6.0000000000000001E-3</v>
      </c>
      <c r="E24">
        <f t="shared" si="6"/>
        <v>6.0000000000000001E-3</v>
      </c>
      <c r="F24" s="42">
        <f t="shared" si="7"/>
        <v>0</v>
      </c>
      <c r="G24" s="42">
        <f t="shared" si="8"/>
        <v>0</v>
      </c>
      <c r="H24" s="42">
        <f t="shared" si="9"/>
        <v>1.9749999999999997E-2</v>
      </c>
      <c r="I24" s="42">
        <f t="shared" si="0"/>
        <v>-1.9749999999999997E-2</v>
      </c>
      <c r="J24" s="43">
        <f>MIN('Výpočty '!$B$1*0.9, MAX('Výpočty '!$B$1*0.05, J23 + M24 - MIN(O24, MAX(0, J23 - ('Výpočty '!$B$1*0.1))) - P24))</f>
        <v>13.270722222222215</v>
      </c>
      <c r="K24" s="46">
        <f>J24/'Výpočty '!$B$1</f>
        <v>0.66353611111111077</v>
      </c>
      <c r="L24" s="42">
        <f t="shared" si="1"/>
        <v>0</v>
      </c>
      <c r="M24" s="42">
        <f t="shared" si="2"/>
        <v>0</v>
      </c>
      <c r="N24" s="42">
        <f t="shared" si="3"/>
        <v>3.7999999999999992E-2</v>
      </c>
      <c r="O24" s="42">
        <f t="shared" si="10"/>
        <v>4.222222222222221E-2</v>
      </c>
      <c r="P24" s="42">
        <f t="shared" si="4"/>
        <v>1.8249999999999999E-2</v>
      </c>
    </row>
    <row r="25" spans="1:16" x14ac:dyDescent="0.3">
      <c r="A25" s="47">
        <f t="shared" si="11"/>
        <v>46208</v>
      </c>
      <c r="B25" s="49">
        <f t="shared" si="12"/>
        <v>0.22916666666666657</v>
      </c>
      <c r="C25" s="42">
        <f>'Červenec data'!V24+P25</f>
        <v>2.5749999999999999E-2</v>
      </c>
      <c r="D25" s="42">
        <f t="shared" si="5"/>
        <v>1.0999999999999999E-2</v>
      </c>
      <c r="E25">
        <f t="shared" si="6"/>
        <v>1.0999999999999999E-2</v>
      </c>
      <c r="F25" s="42">
        <f t="shared" si="7"/>
        <v>0</v>
      </c>
      <c r="G25" s="42">
        <f t="shared" si="8"/>
        <v>0</v>
      </c>
      <c r="H25" s="42">
        <f t="shared" si="9"/>
        <v>1.4749999999999999E-2</v>
      </c>
      <c r="I25" s="42">
        <f t="shared" si="0"/>
        <v>-1.4749999999999999E-2</v>
      </c>
      <c r="J25" s="43">
        <f>MIN('Výpočty '!$B$1*0.9, MAX('Výpočty '!$B$1*0.05, J24 + M25 - MIN(O25, MAX(0, J24 - ('Výpočty '!$B$1*0.1))) - P25))</f>
        <v>13.215805555555548</v>
      </c>
      <c r="K25" s="46">
        <f>J25/'Výpočty '!$B$1</f>
        <v>0.66079027777777744</v>
      </c>
      <c r="L25" s="42">
        <f t="shared" si="1"/>
        <v>0</v>
      </c>
      <c r="M25" s="42">
        <f t="shared" si="2"/>
        <v>0</v>
      </c>
      <c r="N25" s="42">
        <f t="shared" si="3"/>
        <v>3.3000000000000002E-2</v>
      </c>
      <c r="O25" s="42">
        <f t="shared" si="10"/>
        <v>3.6666666666666667E-2</v>
      </c>
      <c r="P25" s="42">
        <f t="shared" si="4"/>
        <v>1.8249999999999999E-2</v>
      </c>
    </row>
    <row r="26" spans="1:16" x14ac:dyDescent="0.3">
      <c r="A26" s="47">
        <f t="shared" si="11"/>
        <v>46208</v>
      </c>
      <c r="B26" s="49">
        <f t="shared" si="12"/>
        <v>0.23958333333333323</v>
      </c>
      <c r="C26" s="42">
        <f>'Červenec data'!V25+P26</f>
        <v>2.5749999999999999E-2</v>
      </c>
      <c r="D26" s="42">
        <f t="shared" si="5"/>
        <v>1.7999999999999999E-2</v>
      </c>
      <c r="E26">
        <f t="shared" si="6"/>
        <v>1.7999999999999999E-2</v>
      </c>
      <c r="F26" s="42">
        <f t="shared" si="7"/>
        <v>0</v>
      </c>
      <c r="G26" s="42">
        <f t="shared" si="8"/>
        <v>0</v>
      </c>
      <c r="H26" s="42">
        <f t="shared" si="9"/>
        <v>7.7499999999999999E-3</v>
      </c>
      <c r="I26" s="42">
        <f t="shared" si="0"/>
        <v>-7.7499999999999999E-3</v>
      </c>
      <c r="J26" s="43">
        <f>MIN('Výpočty '!$B$1*0.9, MAX('Výpočty '!$B$1*0.05, J25 + M26 - MIN(O26, MAX(0, J25 - ('Výpočty '!$B$1*0.1))) - P26))</f>
        <v>13.16866666666666</v>
      </c>
      <c r="K26" s="46">
        <f>J26/'Výpočty '!$B$1</f>
        <v>0.65843333333333298</v>
      </c>
      <c r="L26" s="42">
        <f t="shared" si="1"/>
        <v>0</v>
      </c>
      <c r="M26" s="42">
        <f t="shared" si="2"/>
        <v>0</v>
      </c>
      <c r="N26" s="42">
        <f t="shared" si="3"/>
        <v>2.5999999999999999E-2</v>
      </c>
      <c r="O26" s="42">
        <f t="shared" si="10"/>
        <v>2.8888888888888888E-2</v>
      </c>
      <c r="P26" s="42">
        <f t="shared" si="4"/>
        <v>1.8249999999999999E-2</v>
      </c>
    </row>
    <row r="27" spans="1:16" x14ac:dyDescent="0.3">
      <c r="A27" s="47">
        <f t="shared" si="11"/>
        <v>46208</v>
      </c>
      <c r="B27" s="49">
        <f t="shared" si="12"/>
        <v>0.24999999999999989</v>
      </c>
      <c r="C27" s="42">
        <f>'Červenec data'!V26+P27</f>
        <v>2.5749999999999999E-2</v>
      </c>
      <c r="D27" s="42">
        <f t="shared" si="5"/>
        <v>2.5749999999999999E-2</v>
      </c>
      <c r="E27">
        <f t="shared" si="6"/>
        <v>2.8000000000000001E-2</v>
      </c>
      <c r="F27" s="42">
        <f t="shared" si="7"/>
        <v>0</v>
      </c>
      <c r="G27" s="42">
        <f t="shared" si="8"/>
        <v>0</v>
      </c>
      <c r="H27" s="42">
        <f t="shared" si="9"/>
        <v>0</v>
      </c>
      <c r="I27" s="42">
        <f t="shared" si="0"/>
        <v>2.250000000000002E-3</v>
      </c>
      <c r="J27" s="43">
        <f>MIN('Výpočty '!$B$1*0.9, MAX('Výpočty '!$B$1*0.05, J26 + M27 - MIN(O27, MAX(0, J26 - ('Výpočty '!$B$1*0.1))) - P27))</f>
        <v>13.132388888888881</v>
      </c>
      <c r="K27" s="46">
        <f>J27/'Výpočty '!$B$1</f>
        <v>0.65661944444444409</v>
      </c>
      <c r="L27" s="42">
        <f t="shared" si="1"/>
        <v>2.0250000000000021E-3</v>
      </c>
      <c r="M27" s="42">
        <f t="shared" si="2"/>
        <v>2.250000000000002E-3</v>
      </c>
      <c r="N27" s="42">
        <f t="shared" si="3"/>
        <v>1.8249999999999999E-2</v>
      </c>
      <c r="O27" s="42">
        <f t="shared" si="10"/>
        <v>2.0277777777777777E-2</v>
      </c>
      <c r="P27" s="42">
        <f t="shared" si="4"/>
        <v>1.8249999999999999E-2</v>
      </c>
    </row>
    <row r="28" spans="1:16" x14ac:dyDescent="0.3">
      <c r="A28" s="47">
        <f t="shared" si="11"/>
        <v>46208</v>
      </c>
      <c r="B28" s="49">
        <f t="shared" si="12"/>
        <v>0.26041666666666657</v>
      </c>
      <c r="C28" s="42">
        <f>'Červenec data'!V27+P28</f>
        <v>2.5749999999999999E-2</v>
      </c>
      <c r="D28" s="42">
        <f t="shared" si="5"/>
        <v>2.5749999999999999E-2</v>
      </c>
      <c r="E28">
        <f t="shared" si="6"/>
        <v>4.2000000000000003E-2</v>
      </c>
      <c r="F28" s="42">
        <f t="shared" si="7"/>
        <v>0</v>
      </c>
      <c r="G28" s="42">
        <f t="shared" si="8"/>
        <v>0</v>
      </c>
      <c r="H28" s="42">
        <f t="shared" si="9"/>
        <v>0</v>
      </c>
      <c r="I28" s="42">
        <f t="shared" si="0"/>
        <v>1.6250000000000004E-2</v>
      </c>
      <c r="J28" s="43">
        <f>MIN('Výpočty '!$B$1*0.9, MAX('Výpočty '!$B$1*0.05, J27 + M28 - MIN(O28, MAX(0, J27 - ('Výpočty '!$B$1*0.1))) - P28))</f>
        <v>13.110111111111102</v>
      </c>
      <c r="K28" s="46">
        <f>J28/'Výpočty '!$B$1</f>
        <v>0.65550555555555512</v>
      </c>
      <c r="L28" s="42">
        <f t="shared" si="1"/>
        <v>1.4625000000000004E-2</v>
      </c>
      <c r="M28" s="42">
        <f t="shared" si="2"/>
        <v>1.6250000000000004E-2</v>
      </c>
      <c r="N28" s="42">
        <f t="shared" si="3"/>
        <v>1.8249999999999999E-2</v>
      </c>
      <c r="O28" s="42">
        <f t="shared" si="10"/>
        <v>2.0277777777777777E-2</v>
      </c>
      <c r="P28" s="42">
        <f t="shared" si="4"/>
        <v>1.8249999999999999E-2</v>
      </c>
    </row>
    <row r="29" spans="1:16" x14ac:dyDescent="0.3">
      <c r="A29" s="47">
        <f t="shared" si="11"/>
        <v>46208</v>
      </c>
      <c r="B29" s="49">
        <f t="shared" si="12"/>
        <v>0.27083333333333326</v>
      </c>
      <c r="C29" s="42">
        <f>'Červenec data'!V28+P29</f>
        <v>2.5749999999999999E-2</v>
      </c>
      <c r="D29" s="42">
        <f t="shared" si="5"/>
        <v>2.5749999999999999E-2</v>
      </c>
      <c r="E29">
        <f t="shared" si="6"/>
        <v>5.8999999999999997E-2</v>
      </c>
      <c r="F29" s="42">
        <f t="shared" si="7"/>
        <v>0</v>
      </c>
      <c r="G29" s="42">
        <f t="shared" si="8"/>
        <v>0</v>
      </c>
      <c r="H29" s="42">
        <f t="shared" si="9"/>
        <v>0</v>
      </c>
      <c r="I29" s="42">
        <f t="shared" si="0"/>
        <v>3.3250000000000002E-2</v>
      </c>
      <c r="J29" s="43">
        <f>MIN('Výpočty '!$B$1*0.9, MAX('Výpočty '!$B$1*0.05, J28 + M29 - MIN(O29, MAX(0, J28 - ('Výpočty '!$B$1*0.1))) - P29))</f>
        <v>13.104833333333325</v>
      </c>
      <c r="K29" s="46">
        <f>J29/'Výpočty '!$B$1</f>
        <v>0.65524166666666628</v>
      </c>
      <c r="L29" s="42">
        <f t="shared" si="1"/>
        <v>2.9925000000000004E-2</v>
      </c>
      <c r="M29" s="42">
        <f t="shared" si="2"/>
        <v>3.3250000000000002E-2</v>
      </c>
      <c r="N29" s="42">
        <f t="shared" si="3"/>
        <v>1.8249999999999999E-2</v>
      </c>
      <c r="O29" s="42">
        <f t="shared" si="10"/>
        <v>2.0277777777777777E-2</v>
      </c>
      <c r="P29" s="42">
        <f t="shared" si="4"/>
        <v>1.8249999999999999E-2</v>
      </c>
    </row>
    <row r="30" spans="1:16" x14ac:dyDescent="0.3">
      <c r="A30" s="47">
        <f t="shared" si="11"/>
        <v>46208</v>
      </c>
      <c r="B30" s="49">
        <f t="shared" si="12"/>
        <v>0.28124999999999994</v>
      </c>
      <c r="C30" s="42">
        <f>'Červenec data'!V29+P30</f>
        <v>8.0750000000000002E-2</v>
      </c>
      <c r="D30" s="42">
        <f t="shared" si="5"/>
        <v>8.0750000000000002E-2</v>
      </c>
      <c r="E30">
        <f t="shared" si="6"/>
        <v>8.3000000000000004E-2</v>
      </c>
      <c r="F30" s="42">
        <f t="shared" si="7"/>
        <v>0</v>
      </c>
      <c r="G30" s="42">
        <f t="shared" si="8"/>
        <v>0</v>
      </c>
      <c r="H30" s="42">
        <f t="shared" si="9"/>
        <v>0</v>
      </c>
      <c r="I30" s="42">
        <f t="shared" si="0"/>
        <v>2.250000000000002E-3</v>
      </c>
      <c r="J30" s="43">
        <f>MIN('Výpočty '!$B$1*0.9, MAX('Výpočty '!$B$1*0.05, J29 + M30 - MIN(O30, MAX(0, J29 - ('Výpočty '!$B$1*0.1))) - P30))</f>
        <v>13.068555555555546</v>
      </c>
      <c r="K30" s="46">
        <f>J30/'Výpočty '!$B$1</f>
        <v>0.65342777777777727</v>
      </c>
      <c r="L30" s="42">
        <f t="shared" si="1"/>
        <v>2.0250000000000021E-3</v>
      </c>
      <c r="M30" s="42">
        <f t="shared" si="2"/>
        <v>2.250000000000002E-3</v>
      </c>
      <c r="N30" s="42">
        <f t="shared" si="3"/>
        <v>1.8249999999999999E-2</v>
      </c>
      <c r="O30" s="42">
        <f t="shared" si="10"/>
        <v>2.0277777777777777E-2</v>
      </c>
      <c r="P30" s="42">
        <f t="shared" si="4"/>
        <v>1.8249999999999999E-2</v>
      </c>
    </row>
    <row r="31" spans="1:16" x14ac:dyDescent="0.3">
      <c r="A31" s="47">
        <f t="shared" si="11"/>
        <v>46208</v>
      </c>
      <c r="B31" s="49">
        <f t="shared" si="12"/>
        <v>0.29166666666666663</v>
      </c>
      <c r="C31" s="42">
        <f>'Červenec data'!V30+P31</f>
        <v>0.24074999999999999</v>
      </c>
      <c r="D31" s="42">
        <f t="shared" si="5"/>
        <v>0.113</v>
      </c>
      <c r="E31">
        <f t="shared" si="6"/>
        <v>0.113</v>
      </c>
      <c r="F31" s="42">
        <f t="shared" si="7"/>
        <v>0</v>
      </c>
      <c r="G31" s="42">
        <f t="shared" si="8"/>
        <v>0</v>
      </c>
      <c r="H31" s="42">
        <f t="shared" si="9"/>
        <v>0.12774999999999997</v>
      </c>
      <c r="I31" s="42">
        <f t="shared" si="0"/>
        <v>-0.12774999999999997</v>
      </c>
      <c r="J31" s="43">
        <f>MIN('Výpočty '!$B$1*0.9, MAX('Výpočty '!$B$1*0.05, J30 + M31 - MIN(O31, MAX(0, J30 - ('Výpočty '!$B$1*0.1))) - P31))</f>
        <v>12.888083333333324</v>
      </c>
      <c r="K31" s="46">
        <f>J31/'Výpočty '!$B$1</f>
        <v>0.64440416666666622</v>
      </c>
      <c r="L31" s="42">
        <f t="shared" si="1"/>
        <v>0</v>
      </c>
      <c r="M31" s="42">
        <f t="shared" si="2"/>
        <v>0</v>
      </c>
      <c r="N31" s="42">
        <f t="shared" si="3"/>
        <v>0.14599999999999996</v>
      </c>
      <c r="O31" s="42">
        <f t="shared" si="10"/>
        <v>0.16222222222222218</v>
      </c>
      <c r="P31" s="42">
        <f t="shared" si="4"/>
        <v>1.8249999999999999E-2</v>
      </c>
    </row>
    <row r="32" spans="1:16" x14ac:dyDescent="0.3">
      <c r="A32" s="47">
        <f t="shared" si="11"/>
        <v>46208</v>
      </c>
      <c r="B32" s="49">
        <f t="shared" si="12"/>
        <v>0.30208333333333331</v>
      </c>
      <c r="C32" s="42">
        <f>'Červenec data'!V31+P32</f>
        <v>1.9057500000000001</v>
      </c>
      <c r="D32" s="42">
        <f t="shared" si="5"/>
        <v>0.152</v>
      </c>
      <c r="E32">
        <f t="shared" si="6"/>
        <v>0.152</v>
      </c>
      <c r="F32" s="42">
        <f t="shared" si="7"/>
        <v>0</v>
      </c>
      <c r="G32" s="42">
        <f t="shared" si="8"/>
        <v>0</v>
      </c>
      <c r="H32" s="42">
        <f t="shared" si="9"/>
        <v>1.7537500000000001</v>
      </c>
      <c r="I32" s="42">
        <f t="shared" si="0"/>
        <v>-1.7537500000000001</v>
      </c>
      <c r="J32" s="43">
        <f>MIN('Výpočty '!$B$1*0.9, MAX('Výpočty '!$B$1*0.05, J31 + M32 - MIN(O32, MAX(0, J31 - ('Výpočty '!$B$1*0.1))) - P32))</f>
        <v>10.900944444444434</v>
      </c>
      <c r="K32" s="46">
        <f>J32/'Výpočty '!$B$1</f>
        <v>0.54504722222222168</v>
      </c>
      <c r="L32" s="42">
        <f t="shared" si="1"/>
        <v>0</v>
      </c>
      <c r="M32" s="42">
        <f t="shared" si="2"/>
        <v>0</v>
      </c>
      <c r="N32" s="42">
        <f t="shared" si="3"/>
        <v>1.7720000000000002</v>
      </c>
      <c r="O32" s="42">
        <f t="shared" si="10"/>
        <v>1.9688888888888891</v>
      </c>
      <c r="P32" s="42">
        <f t="shared" si="4"/>
        <v>1.8249999999999999E-2</v>
      </c>
    </row>
    <row r="33" spans="1:16" x14ac:dyDescent="0.3">
      <c r="A33" s="47">
        <f t="shared" si="11"/>
        <v>46208</v>
      </c>
      <c r="B33" s="49">
        <f t="shared" si="12"/>
        <v>0.3125</v>
      </c>
      <c r="C33" s="42">
        <f>'Červenec data'!V32+P33</f>
        <v>1.56325</v>
      </c>
      <c r="D33" s="42">
        <f t="shared" si="5"/>
        <v>0.2</v>
      </c>
      <c r="E33">
        <f t="shared" si="6"/>
        <v>0.2</v>
      </c>
      <c r="F33" s="42">
        <f t="shared" si="7"/>
        <v>0</v>
      </c>
      <c r="G33" s="42">
        <f t="shared" si="8"/>
        <v>0</v>
      </c>
      <c r="H33" s="42">
        <f t="shared" si="9"/>
        <v>1.3632500000000001</v>
      </c>
      <c r="I33" s="42">
        <f t="shared" si="0"/>
        <v>-1.3632500000000001</v>
      </c>
      <c r="J33" s="43">
        <f>MIN('Výpočty '!$B$1*0.9, MAX('Výpočty '!$B$1*0.05, J32 + M33 - MIN(O33, MAX(0, J32 - ('Výpočty '!$B$1*0.1))) - P33))</f>
        <v>9.3476944444444339</v>
      </c>
      <c r="K33" s="46">
        <f>J33/'Výpočty '!$B$1</f>
        <v>0.46738472222222172</v>
      </c>
      <c r="L33" s="42">
        <f t="shared" si="1"/>
        <v>0</v>
      </c>
      <c r="M33" s="42">
        <f t="shared" si="2"/>
        <v>0</v>
      </c>
      <c r="N33" s="42">
        <f t="shared" si="3"/>
        <v>1.3815000000000002</v>
      </c>
      <c r="O33" s="42">
        <f t="shared" si="10"/>
        <v>1.5350000000000001</v>
      </c>
      <c r="P33" s="42">
        <f t="shared" si="4"/>
        <v>1.8249999999999999E-2</v>
      </c>
    </row>
    <row r="34" spans="1:16" x14ac:dyDescent="0.3">
      <c r="A34" s="47">
        <f t="shared" si="11"/>
        <v>46208</v>
      </c>
      <c r="B34" s="49">
        <f t="shared" si="12"/>
        <v>0.32291666666666669</v>
      </c>
      <c r="C34" s="42">
        <f>'Červenec data'!V33+P34</f>
        <v>1.5307500000000001</v>
      </c>
      <c r="D34" s="42">
        <f t="shared" si="5"/>
        <v>0.26100000000000001</v>
      </c>
      <c r="E34">
        <f t="shared" si="6"/>
        <v>0.26100000000000001</v>
      </c>
      <c r="F34" s="42">
        <f t="shared" si="7"/>
        <v>0</v>
      </c>
      <c r="G34" s="42">
        <f t="shared" si="8"/>
        <v>0</v>
      </c>
      <c r="H34" s="42">
        <f t="shared" si="9"/>
        <v>1.2697500000000002</v>
      </c>
      <c r="I34" s="42">
        <f t="shared" si="0"/>
        <v>-1.2697500000000002</v>
      </c>
      <c r="J34" s="43">
        <f>MIN('Výpočty '!$B$1*0.9, MAX('Výpočty '!$B$1*0.05, J33 + M34 - MIN(O34, MAX(0, J33 - ('Výpočty '!$B$1*0.1))) - P34))</f>
        <v>7.8983333333333228</v>
      </c>
      <c r="K34" s="46">
        <f>J34/'Výpočty '!$B$1</f>
        <v>0.39491666666666614</v>
      </c>
      <c r="L34" s="42">
        <f t="shared" si="1"/>
        <v>0</v>
      </c>
      <c r="M34" s="42">
        <f t="shared" si="2"/>
        <v>0</v>
      </c>
      <c r="N34" s="42">
        <f t="shared" si="3"/>
        <v>1.2880000000000003</v>
      </c>
      <c r="O34" s="42">
        <f t="shared" si="10"/>
        <v>1.4311111111111114</v>
      </c>
      <c r="P34" s="42">
        <f t="shared" si="4"/>
        <v>1.8249999999999999E-2</v>
      </c>
    </row>
    <row r="35" spans="1:16" x14ac:dyDescent="0.3">
      <c r="A35" s="47">
        <f t="shared" si="11"/>
        <v>46208</v>
      </c>
      <c r="B35" s="49">
        <f t="shared" si="12"/>
        <v>0.33333333333333337</v>
      </c>
      <c r="C35" s="42">
        <f>'Červenec data'!V34+P35</f>
        <v>1.5307500000000001</v>
      </c>
      <c r="D35" s="42">
        <f t="shared" si="5"/>
        <v>0.33400000000000002</v>
      </c>
      <c r="E35">
        <f t="shared" si="6"/>
        <v>0.33400000000000002</v>
      </c>
      <c r="F35" s="42">
        <f t="shared" si="7"/>
        <v>0</v>
      </c>
      <c r="G35" s="42">
        <f t="shared" si="8"/>
        <v>0</v>
      </c>
      <c r="H35" s="42">
        <f t="shared" si="9"/>
        <v>1.19675</v>
      </c>
      <c r="I35" s="42">
        <f t="shared" si="0"/>
        <v>-1.19675</v>
      </c>
      <c r="J35" s="43">
        <f>MIN('Výpočty '!$B$1*0.9, MAX('Výpočty '!$B$1*0.05, J34 + M35 - MIN(O35, MAX(0, J34 - ('Výpočty '!$B$1*0.1))) - P35))</f>
        <v>6.530083333333323</v>
      </c>
      <c r="K35" s="46">
        <f>J35/'Výpočty '!$B$1</f>
        <v>0.32650416666666615</v>
      </c>
      <c r="L35" s="42">
        <f t="shared" si="1"/>
        <v>0</v>
      </c>
      <c r="M35" s="42">
        <f t="shared" si="2"/>
        <v>0</v>
      </c>
      <c r="N35" s="42">
        <f t="shared" si="3"/>
        <v>1.2150000000000001</v>
      </c>
      <c r="O35" s="42">
        <f t="shared" si="10"/>
        <v>1.35</v>
      </c>
      <c r="P35" s="42">
        <f t="shared" si="4"/>
        <v>1.8249999999999999E-2</v>
      </c>
    </row>
    <row r="36" spans="1:16" x14ac:dyDescent="0.3">
      <c r="A36" s="47">
        <f t="shared" si="11"/>
        <v>46208</v>
      </c>
      <c r="B36" s="49">
        <f t="shared" si="12"/>
        <v>0.34375000000000006</v>
      </c>
      <c r="C36" s="42">
        <f>'Červenec data'!V35+P36</f>
        <v>3.075E-2</v>
      </c>
      <c r="D36" s="42">
        <f t="shared" si="5"/>
        <v>3.075E-2</v>
      </c>
      <c r="E36">
        <f t="shared" si="6"/>
        <v>0.42299999999999999</v>
      </c>
      <c r="F36" s="42">
        <f t="shared" si="7"/>
        <v>0</v>
      </c>
      <c r="G36" s="42">
        <f t="shared" si="8"/>
        <v>0</v>
      </c>
      <c r="H36" s="42">
        <f t="shared" si="9"/>
        <v>0</v>
      </c>
      <c r="I36" s="42">
        <f t="shared" si="0"/>
        <v>0.39224999999999999</v>
      </c>
      <c r="J36" s="43">
        <f>MIN('Výpočty '!$B$1*0.9, MAX('Výpočty '!$B$1*0.05, J35 + M36 - MIN(O36, MAX(0, J35 - ('Výpočty '!$B$1*0.1))) - P36))</f>
        <v>6.8838055555555453</v>
      </c>
      <c r="K36" s="46">
        <f>J36/'Výpočty '!$B$1</f>
        <v>0.34419027777777728</v>
      </c>
      <c r="L36" s="42">
        <f t="shared" si="1"/>
        <v>0.35302499999999998</v>
      </c>
      <c r="M36" s="42">
        <f t="shared" si="2"/>
        <v>0.39224999999999999</v>
      </c>
      <c r="N36" s="42">
        <f t="shared" si="3"/>
        <v>1.8249999999999999E-2</v>
      </c>
      <c r="O36" s="42">
        <f t="shared" si="10"/>
        <v>2.0277777777777777E-2</v>
      </c>
      <c r="P36" s="42">
        <f t="shared" si="4"/>
        <v>1.8249999999999999E-2</v>
      </c>
    </row>
    <row r="37" spans="1:16" x14ac:dyDescent="0.3">
      <c r="A37" s="47">
        <f t="shared" si="11"/>
        <v>46208</v>
      </c>
      <c r="B37" s="49">
        <f t="shared" si="12"/>
        <v>0.35416666666666674</v>
      </c>
      <c r="C37" s="42">
        <f>'Červenec data'!V36+P37</f>
        <v>3.075E-2</v>
      </c>
      <c r="D37" s="42">
        <f t="shared" si="5"/>
        <v>3.075E-2</v>
      </c>
      <c r="E37">
        <f t="shared" si="6"/>
        <v>0.52800000000000002</v>
      </c>
      <c r="F37" s="42">
        <f t="shared" si="7"/>
        <v>0</v>
      </c>
      <c r="G37" s="42">
        <f t="shared" si="8"/>
        <v>0</v>
      </c>
      <c r="H37" s="42">
        <f t="shared" si="9"/>
        <v>0</v>
      </c>
      <c r="I37" s="42">
        <f t="shared" si="0"/>
        <v>0.49725000000000003</v>
      </c>
      <c r="J37" s="43">
        <f>MIN('Výpočty '!$B$1*0.9, MAX('Výpočty '!$B$1*0.05, J36 + M37 - MIN(O37, MAX(0, J36 - ('Výpočty '!$B$1*0.1))) - P37))</f>
        <v>7.342527777777768</v>
      </c>
      <c r="K37" s="46">
        <f>J37/'Výpočty '!$B$1</f>
        <v>0.36712638888888838</v>
      </c>
      <c r="L37" s="42">
        <f t="shared" si="1"/>
        <v>0.44752500000000001</v>
      </c>
      <c r="M37" s="42">
        <f t="shared" si="2"/>
        <v>0.49725000000000003</v>
      </c>
      <c r="N37" s="42">
        <f t="shared" si="3"/>
        <v>1.8249999999999999E-2</v>
      </c>
      <c r="O37" s="42">
        <f t="shared" si="10"/>
        <v>2.0277777777777777E-2</v>
      </c>
      <c r="P37" s="42">
        <f t="shared" si="4"/>
        <v>1.8249999999999999E-2</v>
      </c>
    </row>
    <row r="38" spans="1:16" x14ac:dyDescent="0.3">
      <c r="A38" s="47">
        <f t="shared" si="11"/>
        <v>46208</v>
      </c>
      <c r="B38" s="49">
        <f t="shared" si="12"/>
        <v>0.36458333333333343</v>
      </c>
      <c r="C38" s="42">
        <f>'Červenec data'!V37+P38</f>
        <v>3.075E-2</v>
      </c>
      <c r="D38" s="42">
        <f t="shared" si="5"/>
        <v>3.075E-2</v>
      </c>
      <c r="E38">
        <f t="shared" si="6"/>
        <v>0.65</v>
      </c>
      <c r="F38" s="42">
        <f t="shared" si="7"/>
        <v>0</v>
      </c>
      <c r="G38" s="42">
        <f t="shared" si="8"/>
        <v>0</v>
      </c>
      <c r="H38" s="42">
        <f t="shared" si="9"/>
        <v>0</v>
      </c>
      <c r="I38" s="42">
        <f t="shared" si="0"/>
        <v>0.61925000000000008</v>
      </c>
      <c r="J38" s="43">
        <f>MIN('Výpočty '!$B$1*0.9, MAX('Výpočty '!$B$1*0.05, J37 + M38 - MIN(O38, MAX(0, J37 - ('Výpočty '!$B$1*0.1))) - P38))</f>
        <v>7.9232499999999906</v>
      </c>
      <c r="K38" s="46">
        <f>J38/'Výpočty '!$B$1</f>
        <v>0.39616249999999953</v>
      </c>
      <c r="L38" s="42">
        <f t="shared" si="1"/>
        <v>0.55732500000000007</v>
      </c>
      <c r="M38" s="42">
        <f t="shared" si="2"/>
        <v>0.61925000000000008</v>
      </c>
      <c r="N38" s="42">
        <f t="shared" si="3"/>
        <v>1.8249999999999999E-2</v>
      </c>
      <c r="O38" s="42">
        <f t="shared" si="10"/>
        <v>2.0277777777777777E-2</v>
      </c>
      <c r="P38" s="42">
        <f t="shared" si="4"/>
        <v>1.8249999999999999E-2</v>
      </c>
    </row>
    <row r="39" spans="1:16" x14ac:dyDescent="0.3">
      <c r="A39" s="47">
        <f t="shared" si="11"/>
        <v>46208</v>
      </c>
      <c r="B39" s="49">
        <f t="shared" si="12"/>
        <v>0.37500000000000011</v>
      </c>
      <c r="C39" s="42">
        <f>'Červenec data'!V38+P39</f>
        <v>2.5749999999999999E-2</v>
      </c>
      <c r="D39" s="42">
        <f t="shared" si="5"/>
        <v>2.5749999999999999E-2</v>
      </c>
      <c r="E39">
        <f t="shared" si="6"/>
        <v>0.79</v>
      </c>
      <c r="F39" s="42">
        <f t="shared" si="7"/>
        <v>0</v>
      </c>
      <c r="G39" s="42">
        <f t="shared" si="8"/>
        <v>0</v>
      </c>
      <c r="H39" s="42">
        <f t="shared" si="9"/>
        <v>0</v>
      </c>
      <c r="I39" s="42">
        <f t="shared" si="0"/>
        <v>0.76424999999999998</v>
      </c>
      <c r="J39" s="43">
        <f>MIN('Výpočty '!$B$1*0.9, MAX('Výpočty '!$B$1*0.05, J38 + M39 - MIN(O39, MAX(0, J38 - ('Výpočty '!$B$1*0.1))) - P39))</f>
        <v>8.6489722222222127</v>
      </c>
      <c r="K39" s="46">
        <f>J39/'Výpočty '!$B$1</f>
        <v>0.43244861111111066</v>
      </c>
      <c r="L39" s="42">
        <f t="shared" si="1"/>
        <v>0.68782500000000002</v>
      </c>
      <c r="M39" s="42">
        <f t="shared" si="2"/>
        <v>0.76424999999999998</v>
      </c>
      <c r="N39" s="42">
        <f t="shared" si="3"/>
        <v>1.8249999999999999E-2</v>
      </c>
      <c r="O39" s="42">
        <f t="shared" si="10"/>
        <v>2.0277777777777777E-2</v>
      </c>
      <c r="P39" s="42">
        <f t="shared" si="4"/>
        <v>1.8249999999999999E-2</v>
      </c>
    </row>
    <row r="40" spans="1:16" x14ac:dyDescent="0.3">
      <c r="A40" s="47">
        <f t="shared" si="11"/>
        <v>46208</v>
      </c>
      <c r="B40" s="49">
        <f t="shared" si="12"/>
        <v>0.3854166666666668</v>
      </c>
      <c r="C40" s="42">
        <f>'Červenec data'!V39+P40</f>
        <v>2.5749999999999999E-2</v>
      </c>
      <c r="D40" s="42">
        <f t="shared" si="5"/>
        <v>2.5749999999999999E-2</v>
      </c>
      <c r="E40">
        <f t="shared" si="6"/>
        <v>0.94899999999999995</v>
      </c>
      <c r="F40" s="42">
        <f t="shared" si="7"/>
        <v>0</v>
      </c>
      <c r="G40" s="42">
        <f t="shared" si="8"/>
        <v>0</v>
      </c>
      <c r="H40" s="42">
        <f t="shared" si="9"/>
        <v>0</v>
      </c>
      <c r="I40" s="42">
        <f t="shared" si="0"/>
        <v>0.9232499999999999</v>
      </c>
      <c r="J40" s="43">
        <f>MIN('Výpočty '!$B$1*0.9, MAX('Výpočty '!$B$1*0.05, J39 + M40 - MIN(O40, MAX(0, J39 - ('Výpočty '!$B$1*0.1))) - P40))</f>
        <v>9.5336944444444338</v>
      </c>
      <c r="K40" s="46">
        <f>J40/'Výpočty '!$B$1</f>
        <v>0.47668472222222169</v>
      </c>
      <c r="L40" s="42">
        <f t="shared" si="1"/>
        <v>0.83092499999999991</v>
      </c>
      <c r="M40" s="42">
        <f t="shared" si="2"/>
        <v>0.9232499999999999</v>
      </c>
      <c r="N40" s="42">
        <f t="shared" si="3"/>
        <v>1.8249999999999999E-2</v>
      </c>
      <c r="O40" s="42">
        <f t="shared" si="10"/>
        <v>2.0277777777777777E-2</v>
      </c>
      <c r="P40" s="42">
        <f t="shared" si="4"/>
        <v>1.8249999999999999E-2</v>
      </c>
    </row>
    <row r="41" spans="1:16" x14ac:dyDescent="0.3">
      <c r="A41" s="47">
        <f t="shared" si="11"/>
        <v>46208</v>
      </c>
      <c r="B41" s="49">
        <f t="shared" si="12"/>
        <v>0.39583333333333348</v>
      </c>
      <c r="C41" s="42">
        <f>'Červenec data'!V40+P41</f>
        <v>2.5749999999999999E-2</v>
      </c>
      <c r="D41" s="42">
        <f t="shared" si="5"/>
        <v>2.5749999999999999E-2</v>
      </c>
      <c r="E41">
        <f t="shared" si="6"/>
        <v>1.1240000000000001</v>
      </c>
      <c r="F41" s="42">
        <f t="shared" si="7"/>
        <v>0</v>
      </c>
      <c r="G41" s="42">
        <f t="shared" si="8"/>
        <v>0</v>
      </c>
      <c r="H41" s="42">
        <f t="shared" si="9"/>
        <v>0</v>
      </c>
      <c r="I41" s="42">
        <f t="shared" si="0"/>
        <v>1.0982500000000002</v>
      </c>
      <c r="J41" s="43">
        <f>MIN('Výpočty '!$B$1*0.9, MAX('Výpočty '!$B$1*0.05, J40 + M41 - MIN(O41, MAX(0, J40 - ('Výpočty '!$B$1*0.1))) - P41))</f>
        <v>10.593416666666656</v>
      </c>
      <c r="K41" s="46">
        <f>J41/'Výpočty '!$B$1</f>
        <v>0.52967083333333276</v>
      </c>
      <c r="L41" s="42">
        <f t="shared" si="1"/>
        <v>0.98842500000000022</v>
      </c>
      <c r="M41" s="42">
        <f t="shared" si="2"/>
        <v>1.0982500000000002</v>
      </c>
      <c r="N41" s="42">
        <f t="shared" si="3"/>
        <v>1.8249999999999999E-2</v>
      </c>
      <c r="O41" s="42">
        <f t="shared" si="10"/>
        <v>2.0277777777777777E-2</v>
      </c>
      <c r="P41" s="42">
        <f t="shared" si="4"/>
        <v>1.8249999999999999E-2</v>
      </c>
    </row>
    <row r="42" spans="1:16" x14ac:dyDescent="0.3">
      <c r="A42" s="47">
        <f t="shared" si="11"/>
        <v>46208</v>
      </c>
      <c r="B42" s="49">
        <f t="shared" si="12"/>
        <v>0.40625000000000017</v>
      </c>
      <c r="C42" s="42">
        <f>'Červenec data'!V41+P42</f>
        <v>2.5749999999999999E-2</v>
      </c>
      <c r="D42" s="42">
        <f t="shared" si="5"/>
        <v>2.5749999999999999E-2</v>
      </c>
      <c r="E42">
        <f t="shared" si="6"/>
        <v>1.3149999999999999</v>
      </c>
      <c r="F42" s="42">
        <f t="shared" si="7"/>
        <v>0</v>
      </c>
      <c r="G42" s="42">
        <f t="shared" si="8"/>
        <v>0</v>
      </c>
      <c r="H42" s="42">
        <f t="shared" si="9"/>
        <v>0</v>
      </c>
      <c r="I42" s="42">
        <f t="shared" si="0"/>
        <v>1.28925</v>
      </c>
      <c r="J42" s="43">
        <f>MIN('Výpočty '!$B$1*0.9, MAX('Výpočty '!$B$1*0.05, J41 + M42 - MIN(O42, MAX(0, J41 - ('Výpočty '!$B$1*0.1))) - P42))</f>
        <v>11.844138888888876</v>
      </c>
      <c r="K42" s="46">
        <f>J42/'Výpočty '!$B$1</f>
        <v>0.59220694444444377</v>
      </c>
      <c r="L42" s="42">
        <f t="shared" si="1"/>
        <v>1.1603250000000001</v>
      </c>
      <c r="M42" s="42">
        <f t="shared" si="2"/>
        <v>1.28925</v>
      </c>
      <c r="N42" s="42">
        <f t="shared" si="3"/>
        <v>1.8249999999999999E-2</v>
      </c>
      <c r="O42" s="42">
        <f t="shared" si="10"/>
        <v>2.0277777777777777E-2</v>
      </c>
      <c r="P42" s="42">
        <f t="shared" si="4"/>
        <v>1.8249999999999999E-2</v>
      </c>
    </row>
    <row r="43" spans="1:16" x14ac:dyDescent="0.3">
      <c r="A43" s="47">
        <f t="shared" si="11"/>
        <v>46208</v>
      </c>
      <c r="B43" s="49">
        <f t="shared" si="12"/>
        <v>0.41666666666666685</v>
      </c>
      <c r="C43" s="42">
        <f>'Červenec data'!V42+P43</f>
        <v>2.5749999999999999E-2</v>
      </c>
      <c r="D43" s="42">
        <f t="shared" si="5"/>
        <v>2.5749999999999999E-2</v>
      </c>
      <c r="E43">
        <f t="shared" si="6"/>
        <v>1.52</v>
      </c>
      <c r="F43" s="42">
        <f t="shared" si="7"/>
        <v>0</v>
      </c>
      <c r="G43" s="42">
        <f t="shared" si="8"/>
        <v>0</v>
      </c>
      <c r="H43" s="42">
        <f t="shared" si="9"/>
        <v>0</v>
      </c>
      <c r="I43" s="42">
        <f t="shared" si="0"/>
        <v>1.4942500000000001</v>
      </c>
      <c r="J43" s="43">
        <f>MIN('Výpočty '!$B$1*0.9, MAX('Výpočty '!$B$1*0.05, J42 + M43 - MIN(O43, MAX(0, J42 - ('Výpočty '!$B$1*0.1))) - P43))</f>
        <v>13.299861111111097</v>
      </c>
      <c r="K43" s="46">
        <f>J43/'Výpočty '!$B$1</f>
        <v>0.66499305555555488</v>
      </c>
      <c r="L43" s="42">
        <f t="shared" si="1"/>
        <v>1.3448250000000002</v>
      </c>
      <c r="M43" s="42">
        <f t="shared" si="2"/>
        <v>1.4942500000000001</v>
      </c>
      <c r="N43" s="42">
        <f t="shared" si="3"/>
        <v>1.8249999999999999E-2</v>
      </c>
      <c r="O43" s="42">
        <f t="shared" si="10"/>
        <v>2.0277777777777777E-2</v>
      </c>
      <c r="P43" s="42">
        <f t="shared" si="4"/>
        <v>1.8249999999999999E-2</v>
      </c>
    </row>
    <row r="44" spans="1:16" x14ac:dyDescent="0.3">
      <c r="A44" s="47">
        <f t="shared" si="11"/>
        <v>46208</v>
      </c>
      <c r="B44" s="49">
        <f t="shared" si="12"/>
        <v>0.42708333333333354</v>
      </c>
      <c r="C44" s="42">
        <f>'Červenec data'!V43+P44</f>
        <v>2.5749999999999999E-2</v>
      </c>
      <c r="D44" s="42">
        <f t="shared" si="5"/>
        <v>2.5749999999999999E-2</v>
      </c>
      <c r="E44">
        <f t="shared" si="6"/>
        <v>1.734</v>
      </c>
      <c r="F44" s="42">
        <f t="shared" si="7"/>
        <v>0</v>
      </c>
      <c r="G44" s="42">
        <f t="shared" si="8"/>
        <v>0</v>
      </c>
      <c r="H44" s="42">
        <f t="shared" si="9"/>
        <v>0</v>
      </c>
      <c r="I44" s="42">
        <f t="shared" si="0"/>
        <v>1.70825</v>
      </c>
      <c r="J44" s="43">
        <f>MIN('Výpočty '!$B$1*0.9, MAX('Výpočty '!$B$1*0.05, J43 + M44 - MIN(O44, MAX(0, J43 - ('Výpočty '!$B$1*0.1))) - P44))</f>
        <v>14.969583333333318</v>
      </c>
      <c r="K44" s="46">
        <f>J44/'Výpočty '!$B$1</f>
        <v>0.74847916666666592</v>
      </c>
      <c r="L44" s="42">
        <f t="shared" si="1"/>
        <v>1.537425</v>
      </c>
      <c r="M44" s="42">
        <f t="shared" si="2"/>
        <v>1.70825</v>
      </c>
      <c r="N44" s="42">
        <f t="shared" si="3"/>
        <v>1.8249999999999999E-2</v>
      </c>
      <c r="O44" s="42">
        <f t="shared" si="10"/>
        <v>2.0277777777777777E-2</v>
      </c>
      <c r="P44" s="42">
        <f t="shared" si="4"/>
        <v>1.8249999999999999E-2</v>
      </c>
    </row>
    <row r="45" spans="1:16" x14ac:dyDescent="0.3">
      <c r="A45" s="47">
        <f t="shared" si="11"/>
        <v>46208</v>
      </c>
      <c r="B45" s="49">
        <f t="shared" si="12"/>
        <v>0.43750000000000022</v>
      </c>
      <c r="C45" s="42">
        <f>'Červenec data'!V44+P45</f>
        <v>2.5749999999999999E-2</v>
      </c>
      <c r="D45" s="42">
        <f t="shared" si="5"/>
        <v>2.5749999999999999E-2</v>
      </c>
      <c r="E45">
        <f t="shared" si="6"/>
        <v>1.9530000000000001</v>
      </c>
      <c r="F45" s="42">
        <f t="shared" si="7"/>
        <v>0</v>
      </c>
      <c r="G45" s="42">
        <f t="shared" si="8"/>
        <v>0</v>
      </c>
      <c r="H45" s="42">
        <f t="shared" si="9"/>
        <v>0</v>
      </c>
      <c r="I45" s="42">
        <f t="shared" si="0"/>
        <v>1.9272500000000001</v>
      </c>
      <c r="J45" s="43">
        <f>MIN('Výpočty '!$B$1*0.9, MAX('Výpočty '!$B$1*0.05, J44 + M45 - MIN(O45, MAX(0, J44 - ('Výpočty '!$B$1*0.1))) - P45))</f>
        <v>16.858305555555543</v>
      </c>
      <c r="K45" s="46">
        <f>J45/'Výpočty '!$B$1</f>
        <v>0.84291527777777708</v>
      </c>
      <c r="L45" s="42">
        <f t="shared" si="1"/>
        <v>1.7345250000000001</v>
      </c>
      <c r="M45" s="42">
        <f t="shared" si="2"/>
        <v>1.9272500000000001</v>
      </c>
      <c r="N45" s="42">
        <f t="shared" si="3"/>
        <v>1.8249999999999999E-2</v>
      </c>
      <c r="O45" s="42">
        <f t="shared" si="10"/>
        <v>2.0277777777777777E-2</v>
      </c>
      <c r="P45" s="42">
        <f t="shared" si="4"/>
        <v>1.8249999999999999E-2</v>
      </c>
    </row>
    <row r="46" spans="1:16" x14ac:dyDescent="0.3">
      <c r="A46" s="47">
        <f t="shared" si="11"/>
        <v>46208</v>
      </c>
      <c r="B46" s="49">
        <f t="shared" si="12"/>
        <v>0.44791666666666691</v>
      </c>
      <c r="C46" s="42">
        <f>'Červenec data'!V45+P46</f>
        <v>2.5749999999999999E-2</v>
      </c>
      <c r="D46" s="42">
        <f t="shared" si="5"/>
        <v>2.5749999999999999E-2</v>
      </c>
      <c r="E46">
        <f t="shared" si="6"/>
        <v>2.173</v>
      </c>
      <c r="F46" s="42">
        <f t="shared" si="7"/>
        <v>0</v>
      </c>
      <c r="G46" s="42">
        <f t="shared" si="8"/>
        <v>0.87870061728393623</v>
      </c>
      <c r="H46" s="42">
        <f t="shared" si="9"/>
        <v>0</v>
      </c>
      <c r="I46" s="42">
        <f t="shared" si="0"/>
        <v>2.1472500000000001</v>
      </c>
      <c r="J46" s="43">
        <f>MIN('Výpočty '!$B$1*0.9, MAX('Výpočty '!$B$1*0.05, J45 + M46 - MIN(O46, MAX(0, J45 - ('Výpočty '!$B$1*0.1))) - P46))</f>
        <v>18</v>
      </c>
      <c r="K46" s="46">
        <f>J46/'Výpočty '!$B$1</f>
        <v>0.9</v>
      </c>
      <c r="L46" s="42">
        <f t="shared" si="1"/>
        <v>1.1416944444444574</v>
      </c>
      <c r="M46" s="42">
        <f t="shared" si="2"/>
        <v>1.2685493827160639</v>
      </c>
      <c r="N46" s="42">
        <f t="shared" si="3"/>
        <v>1.8249999999999999E-2</v>
      </c>
      <c r="O46" s="42">
        <f t="shared" si="10"/>
        <v>2.0277777777777777E-2</v>
      </c>
      <c r="P46" s="42">
        <f t="shared" si="4"/>
        <v>1.8249999999999999E-2</v>
      </c>
    </row>
    <row r="47" spans="1:16" x14ac:dyDescent="0.3">
      <c r="A47" s="47">
        <f t="shared" si="11"/>
        <v>46208</v>
      </c>
      <c r="B47" s="49">
        <f t="shared" si="12"/>
        <v>0.45833333333333359</v>
      </c>
      <c r="C47" s="42">
        <f>'Červenec data'!V46+P47</f>
        <v>2.5749999999999999E-2</v>
      </c>
      <c r="D47" s="42">
        <f t="shared" si="5"/>
        <v>2.5749999999999999E-2</v>
      </c>
      <c r="E47">
        <f t="shared" si="6"/>
        <v>2.387</v>
      </c>
      <c r="F47" s="42">
        <f t="shared" si="7"/>
        <v>0</v>
      </c>
      <c r="G47" s="42">
        <f t="shared" si="8"/>
        <v>2.3612500000000001</v>
      </c>
      <c r="H47" s="42">
        <f t="shared" si="9"/>
        <v>0</v>
      </c>
      <c r="I47" s="42">
        <f t="shared" si="0"/>
        <v>2.3612500000000001</v>
      </c>
      <c r="J47" s="43">
        <f>MIN('Výpočty '!$B$1*0.9, MAX('Výpočty '!$B$1*0.05, J46 + M47 - MIN(O47, MAX(0, J46 - ('Výpočty '!$B$1*0.1))) - P47))</f>
        <v>17.961472222222223</v>
      </c>
      <c r="K47" s="46">
        <f>J47/'Výpočty '!$B$1</f>
        <v>0.89807361111111117</v>
      </c>
      <c r="L47" s="42">
        <f t="shared" si="1"/>
        <v>0</v>
      </c>
      <c r="M47" s="42">
        <f t="shared" si="2"/>
        <v>0</v>
      </c>
      <c r="N47" s="42">
        <f t="shared" si="3"/>
        <v>1.8249999999999999E-2</v>
      </c>
      <c r="O47" s="42">
        <f t="shared" si="10"/>
        <v>2.0277777777777777E-2</v>
      </c>
      <c r="P47" s="42">
        <f t="shared" si="4"/>
        <v>1.8249999999999999E-2</v>
      </c>
    </row>
    <row r="48" spans="1:16" x14ac:dyDescent="0.3">
      <c r="A48" s="47">
        <f t="shared" si="11"/>
        <v>46208</v>
      </c>
      <c r="B48" s="49">
        <f t="shared" si="12"/>
        <v>0.46875000000000028</v>
      </c>
      <c r="C48" s="42">
        <f>'Červenec data'!V47+P48</f>
        <v>2.5749999999999999E-2</v>
      </c>
      <c r="D48" s="42">
        <f t="shared" si="5"/>
        <v>2.5749999999999999E-2</v>
      </c>
      <c r="E48">
        <f t="shared" si="6"/>
        <v>2.589</v>
      </c>
      <c r="F48" s="42">
        <f t="shared" si="7"/>
        <v>0</v>
      </c>
      <c r="G48" s="42">
        <f t="shared" si="8"/>
        <v>2.5204413580246925</v>
      </c>
      <c r="H48" s="42">
        <f t="shared" si="9"/>
        <v>0</v>
      </c>
      <c r="I48" s="42">
        <f t="shared" si="0"/>
        <v>2.56325</v>
      </c>
      <c r="J48" s="43">
        <f>MIN('Výpočty '!$B$1*0.9, MAX('Výpočty '!$B$1*0.05, J47 + M48 - MIN(O48, MAX(0, J47 - ('Výpočty '!$B$1*0.1))) - P48))</f>
        <v>17.965753086419753</v>
      </c>
      <c r="K48" s="46">
        <f>J48/'Výpočty '!$B$1</f>
        <v>0.89828765432098767</v>
      </c>
      <c r="L48" s="42">
        <f t="shared" si="1"/>
        <v>3.8527777777776606E-2</v>
      </c>
      <c r="M48" s="42">
        <f t="shared" si="2"/>
        <v>4.2808641975307336E-2</v>
      </c>
      <c r="N48" s="42">
        <f t="shared" si="3"/>
        <v>1.8249999999999999E-2</v>
      </c>
      <c r="O48" s="42">
        <f t="shared" si="10"/>
        <v>2.0277777777777777E-2</v>
      </c>
      <c r="P48" s="42">
        <f t="shared" si="4"/>
        <v>1.8249999999999999E-2</v>
      </c>
    </row>
    <row r="49" spans="1:23" x14ac:dyDescent="0.3">
      <c r="A49" s="47">
        <f t="shared" si="11"/>
        <v>46208</v>
      </c>
      <c r="B49" s="49">
        <f t="shared" si="12"/>
        <v>0.47916666666666696</v>
      </c>
      <c r="C49" s="42">
        <f>'Červenec data'!V48+P49</f>
        <v>2.5749999999999999E-2</v>
      </c>
      <c r="D49" s="42">
        <f t="shared" si="5"/>
        <v>2.5749999999999999E-2</v>
      </c>
      <c r="E49">
        <f t="shared" si="6"/>
        <v>2.774</v>
      </c>
      <c r="F49" s="42">
        <f t="shared" si="7"/>
        <v>0</v>
      </c>
      <c r="G49" s="42">
        <f t="shared" si="8"/>
        <v>2.710197873799725</v>
      </c>
      <c r="H49" s="42">
        <f t="shared" si="9"/>
        <v>0</v>
      </c>
      <c r="I49" s="42">
        <f t="shared" si="0"/>
        <v>2.7482500000000001</v>
      </c>
      <c r="J49" s="43">
        <f>MIN('Výpočty '!$B$1*0.9, MAX('Výpočty '!$B$1*0.05, J48 + M49 - MIN(O49, MAX(0, J48 - ('Výpočty '!$B$1*0.1))) - P49))</f>
        <v>17.96527743484225</v>
      </c>
      <c r="K49" s="46">
        <f>J49/'Výpočty '!$B$1</f>
        <v>0.89826387174211253</v>
      </c>
      <c r="L49" s="42">
        <f t="shared" si="1"/>
        <v>3.4246913580247451E-2</v>
      </c>
      <c r="M49" s="42">
        <f t="shared" si="2"/>
        <v>3.8052126200274948E-2</v>
      </c>
      <c r="N49" s="42">
        <f t="shared" si="3"/>
        <v>1.8249999999999999E-2</v>
      </c>
      <c r="O49" s="42">
        <f t="shared" si="10"/>
        <v>2.0277777777777777E-2</v>
      </c>
      <c r="P49" s="42">
        <f t="shared" si="4"/>
        <v>1.8249999999999999E-2</v>
      </c>
    </row>
    <row r="50" spans="1:23" x14ac:dyDescent="0.3">
      <c r="A50" s="47">
        <f t="shared" si="11"/>
        <v>46208</v>
      </c>
      <c r="B50" s="49">
        <f t="shared" si="12"/>
        <v>0.48958333333333365</v>
      </c>
      <c r="C50" s="42">
        <f>'Červenec data'!V49+P50</f>
        <v>2.5749999999999999E-2</v>
      </c>
      <c r="D50" s="42">
        <f t="shared" si="5"/>
        <v>2.5749999999999999E-2</v>
      </c>
      <c r="E50">
        <f t="shared" si="6"/>
        <v>2.9350000000000001</v>
      </c>
      <c r="F50" s="42">
        <f t="shared" si="7"/>
        <v>0</v>
      </c>
      <c r="G50" s="42">
        <f t="shared" si="8"/>
        <v>2.8706693720469443</v>
      </c>
      <c r="H50" s="42">
        <f t="shared" si="9"/>
        <v>0</v>
      </c>
      <c r="I50" s="42">
        <f t="shared" si="0"/>
        <v>2.9092500000000001</v>
      </c>
      <c r="J50" s="43">
        <f>MIN('Výpočty '!$B$1*0.9, MAX('Výpočty '!$B$1*0.05, J49 + M50 - MIN(O50, MAX(0, J49 - ('Výpočty '!$B$1*0.1))) - P50))</f>
        <v>17.965330285017529</v>
      </c>
      <c r="K50" s="46">
        <f>J50/'Výpočty '!$B$1</f>
        <v>0.89826651425087645</v>
      </c>
      <c r="L50" s="42">
        <f t="shared" si="1"/>
        <v>3.4722565157750296E-2</v>
      </c>
      <c r="M50" s="42">
        <f t="shared" si="2"/>
        <v>3.8580627953055883E-2</v>
      </c>
      <c r="N50" s="42">
        <f t="shared" si="3"/>
        <v>1.8249999999999999E-2</v>
      </c>
      <c r="O50" s="42">
        <f t="shared" si="10"/>
        <v>2.0277777777777777E-2</v>
      </c>
      <c r="P50" s="42">
        <f t="shared" si="4"/>
        <v>1.8249999999999999E-2</v>
      </c>
    </row>
    <row r="51" spans="1:23" x14ac:dyDescent="0.3">
      <c r="A51" s="47">
        <f t="shared" si="11"/>
        <v>46208</v>
      </c>
      <c r="B51" s="49">
        <f t="shared" si="12"/>
        <v>0.50000000000000033</v>
      </c>
      <c r="C51" s="42">
        <f>'Červenec data'!V50+P51</f>
        <v>2.5749999999999999E-2</v>
      </c>
      <c r="D51" s="42">
        <f t="shared" si="5"/>
        <v>2.5749999999999999E-2</v>
      </c>
      <c r="E51">
        <f t="shared" si="6"/>
        <v>3.0659999999999998</v>
      </c>
      <c r="F51" s="42">
        <f t="shared" si="7"/>
        <v>0</v>
      </c>
      <c r="G51" s="42">
        <f t="shared" si="8"/>
        <v>3.0017280944639215</v>
      </c>
      <c r="H51" s="42">
        <f t="shared" si="9"/>
        <v>0</v>
      </c>
      <c r="I51" s="42">
        <f t="shared" si="0"/>
        <v>3.0402499999999999</v>
      </c>
      <c r="J51" s="43">
        <f>MIN('Výpočty '!$B$1*0.9, MAX('Výpočty '!$B$1*0.05, J50 + M51 - MIN(O51, MAX(0, J50 - ('Výpočty '!$B$1*0.1))) - P51))</f>
        <v>17.965324412775832</v>
      </c>
      <c r="K51" s="46">
        <f>J51/'Výpočty '!$B$1</f>
        <v>0.89826622063879158</v>
      </c>
      <c r="L51" s="42">
        <f t="shared" si="1"/>
        <v>3.4669714982470623E-2</v>
      </c>
      <c r="M51" s="42">
        <f t="shared" si="2"/>
        <v>3.8521905536078468E-2</v>
      </c>
      <c r="N51" s="42">
        <f t="shared" si="3"/>
        <v>1.8249999999999999E-2</v>
      </c>
      <c r="O51" s="42">
        <f t="shared" si="10"/>
        <v>2.0277777777777777E-2</v>
      </c>
      <c r="P51" s="42">
        <f t="shared" si="4"/>
        <v>1.8249999999999999E-2</v>
      </c>
    </row>
    <row r="52" spans="1:23" x14ac:dyDescent="0.3">
      <c r="A52" s="47">
        <f t="shared" si="11"/>
        <v>46208</v>
      </c>
      <c r="B52" s="49">
        <f t="shared" si="12"/>
        <v>0.51041666666666696</v>
      </c>
      <c r="C52" s="42">
        <f>'Červenec data'!V51+P52</f>
        <v>2.5749999999999999E-2</v>
      </c>
      <c r="D52" s="42">
        <f t="shared" si="5"/>
        <v>2.5749999999999999E-2</v>
      </c>
      <c r="E52">
        <f t="shared" si="6"/>
        <v>3.1640000000000001</v>
      </c>
      <c r="F52" s="42">
        <f t="shared" si="7"/>
        <v>0</v>
      </c>
      <c r="G52" s="42">
        <f t="shared" si="8"/>
        <v>3.0997215697509248</v>
      </c>
      <c r="H52" s="42">
        <f t="shared" si="9"/>
        <v>0</v>
      </c>
      <c r="I52" s="42">
        <f t="shared" si="0"/>
        <v>3.1382500000000002</v>
      </c>
      <c r="J52" s="43">
        <f>MIN('Výpočty '!$B$1*0.9, MAX('Výpočty '!$B$1*0.05, J51 + M52 - MIN(O52, MAX(0, J51 - ('Výpočty '!$B$1*0.1))) - P52))</f>
        <v>17.965325065247132</v>
      </c>
      <c r="K52" s="46">
        <f>J52/'Výpočty '!$B$1</f>
        <v>0.89826625326235665</v>
      </c>
      <c r="L52" s="42">
        <f t="shared" si="1"/>
        <v>3.467558722416797E-2</v>
      </c>
      <c r="M52" s="42">
        <f t="shared" si="2"/>
        <v>3.852843024907552E-2</v>
      </c>
      <c r="N52" s="42">
        <f t="shared" si="3"/>
        <v>1.8249999999999999E-2</v>
      </c>
      <c r="O52" s="42">
        <f t="shared" si="10"/>
        <v>2.0277777777777777E-2</v>
      </c>
      <c r="P52" s="42">
        <f t="shared" si="4"/>
        <v>1.8249999999999999E-2</v>
      </c>
    </row>
    <row r="53" spans="1:23" x14ac:dyDescent="0.3">
      <c r="A53" s="47">
        <f t="shared" si="11"/>
        <v>46208</v>
      </c>
      <c r="B53" s="49">
        <f t="shared" si="12"/>
        <v>0.52083333333333359</v>
      </c>
      <c r="C53" s="42">
        <f>'Červenec data'!V52+P53</f>
        <v>2.5749999999999999E-2</v>
      </c>
      <c r="D53" s="42">
        <f t="shared" si="5"/>
        <v>2.5749999999999999E-2</v>
      </c>
      <c r="E53">
        <f t="shared" si="6"/>
        <v>3.2240000000000002</v>
      </c>
      <c r="F53" s="42">
        <f t="shared" si="7"/>
        <v>0</v>
      </c>
      <c r="G53" s="42">
        <f t="shared" si="8"/>
        <v>3.1597222947190358</v>
      </c>
      <c r="H53" s="42">
        <f t="shared" si="9"/>
        <v>0</v>
      </c>
      <c r="I53" s="42">
        <f t="shared" si="0"/>
        <v>3.1982500000000003</v>
      </c>
      <c r="J53" s="43">
        <f>MIN('Výpočty '!$B$1*0.9, MAX('Výpočty '!$B$1*0.05, J52 + M53 - MIN(O53, MAX(0, J52 - ('Výpočty '!$B$1*0.1))) - P53))</f>
        <v>17.965324992750318</v>
      </c>
      <c r="K53" s="46">
        <f>J53/'Výpočty '!$B$1</f>
        <v>0.89826624963751589</v>
      </c>
      <c r="L53" s="42">
        <f t="shared" si="1"/>
        <v>3.467493475286787E-2</v>
      </c>
      <c r="M53" s="42">
        <f t="shared" si="2"/>
        <v>3.8527705280964296E-2</v>
      </c>
      <c r="N53" s="42">
        <f t="shared" si="3"/>
        <v>1.8249999999999999E-2</v>
      </c>
      <c r="O53" s="42">
        <f t="shared" si="10"/>
        <v>2.0277777777777777E-2</v>
      </c>
      <c r="P53" s="42">
        <f t="shared" si="4"/>
        <v>1.8249999999999999E-2</v>
      </c>
      <c r="W53" t="s">
        <v>199</v>
      </c>
    </row>
    <row r="54" spans="1:23" x14ac:dyDescent="0.3">
      <c r="A54" s="47">
        <f t="shared" si="11"/>
        <v>46208</v>
      </c>
      <c r="B54" s="49">
        <f t="shared" si="12"/>
        <v>0.53125000000000022</v>
      </c>
      <c r="C54" s="42">
        <f>'Červenec data'!V53+P54</f>
        <v>2.5749999999999999E-2</v>
      </c>
      <c r="D54" s="42">
        <f t="shared" si="5"/>
        <v>2.5749999999999999E-2</v>
      </c>
      <c r="E54">
        <f t="shared" si="6"/>
        <v>3.2440000000000002</v>
      </c>
      <c r="F54" s="42">
        <f t="shared" si="7"/>
        <v>0</v>
      </c>
      <c r="G54" s="42">
        <f t="shared" si="8"/>
        <v>3.1797222141670205</v>
      </c>
      <c r="H54" s="42">
        <f t="shared" si="9"/>
        <v>0</v>
      </c>
      <c r="I54" s="42">
        <f t="shared" si="0"/>
        <v>3.2182500000000003</v>
      </c>
      <c r="J54" s="43">
        <f>MIN('Výpočty '!$B$1*0.9, MAX('Výpočty '!$B$1*0.05, J53 + M54 - MIN(O54, MAX(0, J53 - ('Výpočty '!$B$1*0.1))) - P54))</f>
        <v>17.965325000805521</v>
      </c>
      <c r="K54" s="46">
        <f>J54/'Výpočty '!$B$1</f>
        <v>0.89826625004027605</v>
      </c>
      <c r="L54" s="42">
        <f t="shared" si="1"/>
        <v>3.4675007249681755E-2</v>
      </c>
      <c r="M54" s="42">
        <f t="shared" si="2"/>
        <v>3.8527785832979729E-2</v>
      </c>
      <c r="N54" s="42">
        <f t="shared" si="3"/>
        <v>1.8249999999999999E-2</v>
      </c>
      <c r="O54" s="42">
        <f t="shared" si="10"/>
        <v>2.0277777777777777E-2</v>
      </c>
      <c r="P54" s="42">
        <f t="shared" si="4"/>
        <v>1.8249999999999999E-2</v>
      </c>
    </row>
    <row r="55" spans="1:23" x14ac:dyDescent="0.3">
      <c r="A55" s="47">
        <f t="shared" si="11"/>
        <v>46208</v>
      </c>
      <c r="B55" s="49">
        <f t="shared" si="12"/>
        <v>0.54166666666666685</v>
      </c>
      <c r="C55" s="42">
        <f>'Červenec data'!V54+P55</f>
        <v>2.5749999999999999E-2</v>
      </c>
      <c r="D55" s="42">
        <f t="shared" si="5"/>
        <v>2.5749999999999999E-2</v>
      </c>
      <c r="E55">
        <f t="shared" si="6"/>
        <v>3.2240000000000002</v>
      </c>
      <c r="F55" s="42">
        <f t="shared" si="7"/>
        <v>0</v>
      </c>
      <c r="G55" s="42">
        <f t="shared" si="8"/>
        <v>3.1597222231172459</v>
      </c>
      <c r="H55" s="42">
        <f t="shared" si="9"/>
        <v>0</v>
      </c>
      <c r="I55" s="42">
        <f t="shared" si="0"/>
        <v>3.1982500000000003</v>
      </c>
      <c r="J55" s="43">
        <f>MIN('Výpočty '!$B$1*0.9, MAX('Výpočty '!$B$1*0.05, J54 + M55 - MIN(O55, MAX(0, J54 - ('Výpočty '!$B$1*0.1))) - P55))</f>
        <v>17.9653249999105</v>
      </c>
      <c r="K55" s="46">
        <f>J55/'Výpočty '!$B$1</f>
        <v>0.89826624999552496</v>
      </c>
      <c r="L55" s="42">
        <f t="shared" si="1"/>
        <v>3.4674999194479028E-2</v>
      </c>
      <c r="M55" s="42">
        <f t="shared" si="2"/>
        <v>3.8527776882754473E-2</v>
      </c>
      <c r="N55" s="42">
        <f t="shared" si="3"/>
        <v>1.8249999999999999E-2</v>
      </c>
      <c r="O55" s="42">
        <f t="shared" si="10"/>
        <v>2.0277777777777777E-2</v>
      </c>
      <c r="P55" s="42">
        <f t="shared" si="4"/>
        <v>1.8249999999999999E-2</v>
      </c>
    </row>
    <row r="56" spans="1:23" x14ac:dyDescent="0.3">
      <c r="A56" s="47">
        <f t="shared" si="11"/>
        <v>46208</v>
      </c>
      <c r="B56" s="49">
        <f t="shared" si="12"/>
        <v>0.55208333333333348</v>
      </c>
      <c r="C56" s="42">
        <f>'Červenec data'!V55+P56</f>
        <v>2.5749999999999999E-2</v>
      </c>
      <c r="D56" s="42">
        <f t="shared" si="5"/>
        <v>2.5749999999999999E-2</v>
      </c>
      <c r="E56">
        <f t="shared" si="6"/>
        <v>3.1640000000000001</v>
      </c>
      <c r="F56" s="42">
        <f t="shared" si="7"/>
        <v>0</v>
      </c>
      <c r="G56" s="42">
        <f t="shared" si="8"/>
        <v>3.0997222221227778</v>
      </c>
      <c r="H56" s="42">
        <f t="shared" si="9"/>
        <v>0</v>
      </c>
      <c r="I56" s="42">
        <f t="shared" si="0"/>
        <v>3.1382500000000002</v>
      </c>
      <c r="J56" s="43">
        <f>MIN('Výpočty '!$B$1*0.9, MAX('Výpočty '!$B$1*0.05, J55 + M56 - MIN(O56, MAX(0, J55 - ('Výpočty '!$B$1*0.1))) - P56))</f>
        <v>17.965325000009944</v>
      </c>
      <c r="K56" s="46">
        <f>J56/'Výpočty '!$B$1</f>
        <v>0.8982662500004972</v>
      </c>
      <c r="L56" s="42">
        <f t="shared" si="1"/>
        <v>3.4675000089499974E-2</v>
      </c>
      <c r="M56" s="42">
        <f t="shared" si="2"/>
        <v>3.852777787722219E-2</v>
      </c>
      <c r="N56" s="42">
        <f t="shared" si="3"/>
        <v>1.8249999999999999E-2</v>
      </c>
      <c r="O56" s="42">
        <f t="shared" si="10"/>
        <v>2.0277777777777777E-2</v>
      </c>
      <c r="P56" s="42">
        <f t="shared" si="4"/>
        <v>1.8249999999999999E-2</v>
      </c>
    </row>
    <row r="57" spans="1:23" x14ac:dyDescent="0.3">
      <c r="A57" s="47">
        <f t="shared" si="11"/>
        <v>46208</v>
      </c>
      <c r="B57" s="49">
        <f t="shared" si="12"/>
        <v>0.56250000000000011</v>
      </c>
      <c r="C57" s="42">
        <f>'Červenec data'!V56+P57</f>
        <v>2.5749999999999999E-2</v>
      </c>
      <c r="D57" s="42">
        <f t="shared" si="5"/>
        <v>2.5749999999999999E-2</v>
      </c>
      <c r="E57">
        <f t="shared" si="6"/>
        <v>3.0659999999999998</v>
      </c>
      <c r="F57" s="42">
        <f t="shared" si="7"/>
        <v>0</v>
      </c>
      <c r="G57" s="42">
        <f t="shared" si="8"/>
        <v>3.0017222222332709</v>
      </c>
      <c r="H57" s="42">
        <f t="shared" si="9"/>
        <v>0</v>
      </c>
      <c r="I57" s="42">
        <f t="shared" si="0"/>
        <v>3.0402499999999999</v>
      </c>
      <c r="J57" s="43">
        <f>MIN('Výpočty '!$B$1*0.9, MAX('Výpočty '!$B$1*0.05, J56 + M57 - MIN(O57, MAX(0, J56 - ('Výpočty '!$B$1*0.1))) - P57))</f>
        <v>17.965324999998895</v>
      </c>
      <c r="K57" s="46">
        <f>J57/'Výpočty '!$B$1</f>
        <v>0.89826624999994475</v>
      </c>
      <c r="L57" s="42">
        <f t="shared" si="1"/>
        <v>3.4674999990055966E-2</v>
      </c>
      <c r="M57" s="42">
        <f t="shared" si="2"/>
        <v>3.8527777766728853E-2</v>
      </c>
      <c r="N57" s="42">
        <f t="shared" si="3"/>
        <v>1.8249999999999999E-2</v>
      </c>
      <c r="O57" s="42">
        <f t="shared" si="10"/>
        <v>2.0277777777777777E-2</v>
      </c>
      <c r="P57" s="42">
        <f t="shared" si="4"/>
        <v>1.8249999999999999E-2</v>
      </c>
    </row>
    <row r="58" spans="1:23" x14ac:dyDescent="0.3">
      <c r="A58" s="47">
        <f t="shared" si="11"/>
        <v>46208</v>
      </c>
      <c r="B58" s="49">
        <f t="shared" si="12"/>
        <v>0.57291666666666674</v>
      </c>
      <c r="C58" s="42">
        <f>'Červenec data'!V57+P58</f>
        <v>2.5749999999999999E-2</v>
      </c>
      <c r="D58" s="42">
        <f t="shared" si="5"/>
        <v>2.5749999999999999E-2</v>
      </c>
      <c r="E58">
        <f t="shared" si="6"/>
        <v>2.9350000000000001</v>
      </c>
      <c r="F58" s="42">
        <f t="shared" si="7"/>
        <v>0</v>
      </c>
      <c r="G58" s="42">
        <f t="shared" si="8"/>
        <v>2.8707222222209947</v>
      </c>
      <c r="H58" s="42">
        <f t="shared" si="9"/>
        <v>0</v>
      </c>
      <c r="I58" s="42">
        <f t="shared" si="0"/>
        <v>2.9092500000000001</v>
      </c>
      <c r="J58" s="43">
        <f>MIN('Výpočty '!$B$1*0.9, MAX('Výpočty '!$B$1*0.05, J57 + M58 - MIN(O58, MAX(0, J57 - ('Výpočty '!$B$1*0.1))) - P58))</f>
        <v>17.965325000000124</v>
      </c>
      <c r="K58" s="46">
        <f>J58/'Výpočty '!$B$1</f>
        <v>0.89826625000000626</v>
      </c>
      <c r="L58" s="42">
        <f t="shared" si="1"/>
        <v>3.4675000001104905E-2</v>
      </c>
      <c r="M58" s="42">
        <f t="shared" si="2"/>
        <v>3.852777777900545E-2</v>
      </c>
      <c r="N58" s="42">
        <f t="shared" si="3"/>
        <v>1.8249999999999999E-2</v>
      </c>
      <c r="O58" s="42">
        <f t="shared" si="10"/>
        <v>2.0277777777777777E-2</v>
      </c>
      <c r="P58" s="42">
        <f t="shared" si="4"/>
        <v>1.8249999999999999E-2</v>
      </c>
    </row>
    <row r="59" spans="1:23" x14ac:dyDescent="0.3">
      <c r="A59" s="47">
        <f t="shared" si="11"/>
        <v>46208</v>
      </c>
      <c r="B59" s="49">
        <f t="shared" si="12"/>
        <v>0.58333333333333337</v>
      </c>
      <c r="C59" s="42">
        <f>'Červenec data'!V58+P59</f>
        <v>2.5749999999999999E-2</v>
      </c>
      <c r="D59" s="42">
        <f t="shared" si="5"/>
        <v>2.5749999999999999E-2</v>
      </c>
      <c r="E59">
        <f t="shared" si="6"/>
        <v>2.774</v>
      </c>
      <c r="F59" s="42">
        <f t="shared" si="7"/>
        <v>0</v>
      </c>
      <c r="G59" s="42">
        <f t="shared" si="8"/>
        <v>2.7097222222223603</v>
      </c>
      <c r="H59" s="42">
        <f t="shared" si="9"/>
        <v>0</v>
      </c>
      <c r="I59" s="42">
        <f t="shared" si="0"/>
        <v>2.7482500000000001</v>
      </c>
      <c r="J59" s="43">
        <f>MIN('Výpočty '!$B$1*0.9, MAX('Výpočty '!$B$1*0.05, J58 + M59 - MIN(O59, MAX(0, J58 - ('Výpočty '!$B$1*0.1))) - P59))</f>
        <v>17.965324999999986</v>
      </c>
      <c r="K59" s="46">
        <f>J59/'Výpočty '!$B$1</f>
        <v>0.89826624999999927</v>
      </c>
      <c r="L59" s="42">
        <f t="shared" si="1"/>
        <v>3.4674999999875666E-2</v>
      </c>
      <c r="M59" s="42">
        <f t="shared" si="2"/>
        <v>3.8527777777639625E-2</v>
      </c>
      <c r="N59" s="42">
        <f t="shared" si="3"/>
        <v>1.8249999999999999E-2</v>
      </c>
      <c r="O59" s="42">
        <f t="shared" si="10"/>
        <v>2.0277777777777777E-2</v>
      </c>
      <c r="P59" s="42">
        <f t="shared" si="4"/>
        <v>1.8249999999999999E-2</v>
      </c>
    </row>
    <row r="60" spans="1:23" x14ac:dyDescent="0.3">
      <c r="A60" s="47">
        <f t="shared" si="11"/>
        <v>46208</v>
      </c>
      <c r="B60" s="49">
        <f t="shared" si="12"/>
        <v>0.59375</v>
      </c>
      <c r="C60" s="42">
        <f>'Červenec data'!V59+P60</f>
        <v>2.5749999999999999E-2</v>
      </c>
      <c r="D60" s="42">
        <f t="shared" si="5"/>
        <v>2.5749999999999999E-2</v>
      </c>
      <c r="E60">
        <f t="shared" si="6"/>
        <v>2.589</v>
      </c>
      <c r="F60" s="42">
        <f t="shared" si="7"/>
        <v>0</v>
      </c>
      <c r="G60" s="42">
        <f t="shared" si="8"/>
        <v>2.5247222222222065</v>
      </c>
      <c r="H60" s="42">
        <f t="shared" si="9"/>
        <v>0</v>
      </c>
      <c r="I60" s="42">
        <f t="shared" si="0"/>
        <v>2.56325</v>
      </c>
      <c r="J60" s="43">
        <f>MIN('Výpočty '!$B$1*0.9, MAX('Výpočty '!$B$1*0.05, J59 + M60 - MIN(O60, MAX(0, J59 - ('Výpočty '!$B$1*0.1))) - P60))</f>
        <v>17.965325000000004</v>
      </c>
      <c r="K60" s="46">
        <f>J60/'Výpočty '!$B$1</f>
        <v>0.89826625000000015</v>
      </c>
      <c r="L60" s="42">
        <f t="shared" si="1"/>
        <v>3.4675000000014222E-2</v>
      </c>
      <c r="M60" s="42">
        <f t="shared" si="2"/>
        <v>3.8527777777793579E-2</v>
      </c>
      <c r="N60" s="42">
        <f t="shared" si="3"/>
        <v>1.8249999999999999E-2</v>
      </c>
      <c r="O60" s="42">
        <f t="shared" si="10"/>
        <v>2.0277777777777777E-2</v>
      </c>
      <c r="P60" s="42">
        <f t="shared" si="4"/>
        <v>1.8249999999999999E-2</v>
      </c>
    </row>
    <row r="61" spans="1:23" x14ac:dyDescent="0.3">
      <c r="A61" s="47">
        <f t="shared" si="11"/>
        <v>46208</v>
      </c>
      <c r="B61" s="49">
        <f t="shared" si="12"/>
        <v>0.60416666666666663</v>
      </c>
      <c r="C61" s="42">
        <f>'Červenec data'!V60+P61</f>
        <v>2.5749999999999999E-2</v>
      </c>
      <c r="D61" s="42">
        <f t="shared" si="5"/>
        <v>2.5749999999999999E-2</v>
      </c>
      <c r="E61">
        <f t="shared" si="6"/>
        <v>2.387</v>
      </c>
      <c r="F61" s="42">
        <f t="shared" si="7"/>
        <v>0</v>
      </c>
      <c r="G61" s="42">
        <f t="shared" si="8"/>
        <v>2.3227222222222261</v>
      </c>
      <c r="H61" s="42">
        <f t="shared" si="9"/>
        <v>0</v>
      </c>
      <c r="I61" s="42">
        <f t="shared" si="0"/>
        <v>2.3612500000000001</v>
      </c>
      <c r="J61" s="43">
        <f>MIN('Výpočty '!$B$1*0.9, MAX('Výpočty '!$B$1*0.05, J60 + M61 - MIN(O61, MAX(0, J60 - ('Výpočty '!$B$1*0.1))) - P61))</f>
        <v>17.965325</v>
      </c>
      <c r="K61" s="46">
        <f>J61/'Výpočty '!$B$1</f>
        <v>0.89826625000000004</v>
      </c>
      <c r="L61" s="42">
        <f t="shared" si="1"/>
        <v>3.4674999999996459E-2</v>
      </c>
      <c r="M61" s="42">
        <f t="shared" si="2"/>
        <v>3.8527777777773844E-2</v>
      </c>
      <c r="N61" s="42">
        <f t="shared" si="3"/>
        <v>1.8249999999999999E-2</v>
      </c>
      <c r="O61" s="42">
        <f t="shared" si="10"/>
        <v>2.0277777777777777E-2</v>
      </c>
      <c r="P61" s="42">
        <f t="shared" si="4"/>
        <v>1.8249999999999999E-2</v>
      </c>
    </row>
    <row r="62" spans="1:23" x14ac:dyDescent="0.3">
      <c r="A62" s="47">
        <f t="shared" si="11"/>
        <v>46208</v>
      </c>
      <c r="B62" s="49">
        <f t="shared" si="12"/>
        <v>0.61458333333333326</v>
      </c>
      <c r="C62" s="42">
        <f>'Červenec data'!V61+P62</f>
        <v>2.5749999999999999E-2</v>
      </c>
      <c r="D62" s="42">
        <f t="shared" si="5"/>
        <v>2.5749999999999999E-2</v>
      </c>
      <c r="E62">
        <f t="shared" si="6"/>
        <v>2.173</v>
      </c>
      <c r="F62" s="42">
        <f t="shared" si="7"/>
        <v>0</v>
      </c>
      <c r="G62" s="42">
        <f t="shared" si="8"/>
        <v>2.1087222222222222</v>
      </c>
      <c r="H62" s="42">
        <f t="shared" si="9"/>
        <v>0</v>
      </c>
      <c r="I62" s="42">
        <f t="shared" si="0"/>
        <v>2.1472500000000001</v>
      </c>
      <c r="J62" s="43">
        <f>MIN('Výpočty '!$B$1*0.9, MAX('Výpočty '!$B$1*0.05, J61 + M62 - MIN(O62, MAX(0, J61 - ('Výpočty '!$B$1*0.1))) - P62))</f>
        <v>17.965325</v>
      </c>
      <c r="K62" s="46">
        <f>J62/'Výpočty '!$B$1</f>
        <v>0.89826625000000004</v>
      </c>
      <c r="L62" s="42">
        <f t="shared" si="1"/>
        <v>3.4675000000000011E-2</v>
      </c>
      <c r="M62" s="42">
        <f t="shared" si="2"/>
        <v>3.8527777777777793E-2</v>
      </c>
      <c r="N62" s="42">
        <f t="shared" si="3"/>
        <v>1.8249999999999999E-2</v>
      </c>
      <c r="O62" s="42">
        <f t="shared" si="10"/>
        <v>2.0277777777777777E-2</v>
      </c>
      <c r="P62" s="42">
        <f t="shared" si="4"/>
        <v>1.8249999999999999E-2</v>
      </c>
    </row>
    <row r="63" spans="1:23" x14ac:dyDescent="0.3">
      <c r="A63" s="47">
        <f t="shared" si="11"/>
        <v>46208</v>
      </c>
      <c r="B63" s="49">
        <f t="shared" si="12"/>
        <v>0.62499999999999989</v>
      </c>
      <c r="C63" s="42">
        <f>'Červenec data'!V62+P63</f>
        <v>5.0750000000000003E-2</v>
      </c>
      <c r="D63" s="42">
        <f t="shared" si="5"/>
        <v>5.0750000000000003E-2</v>
      </c>
      <c r="E63">
        <f t="shared" si="6"/>
        <v>1.9530000000000001</v>
      </c>
      <c r="F63" s="42">
        <f t="shared" si="7"/>
        <v>0</v>
      </c>
      <c r="G63" s="42">
        <f t="shared" si="8"/>
        <v>1.8637222222222223</v>
      </c>
      <c r="H63" s="42">
        <f t="shared" si="9"/>
        <v>0</v>
      </c>
      <c r="I63" s="42">
        <f t="shared" si="0"/>
        <v>1.90225</v>
      </c>
      <c r="J63" s="43">
        <f>MIN('Výpočty '!$B$1*0.9, MAX('Výpočty '!$B$1*0.05, J62 + M63 - MIN(O63, MAX(0, J62 - ('Výpočty '!$B$1*0.1))) - P63))</f>
        <v>17.965325</v>
      </c>
      <c r="K63" s="46">
        <f>J63/'Výpočty '!$B$1</f>
        <v>0.89826625000000004</v>
      </c>
      <c r="L63" s="42">
        <f t="shared" si="1"/>
        <v>3.4675000000000011E-2</v>
      </c>
      <c r="M63" s="42">
        <f t="shared" si="2"/>
        <v>3.8527777777777793E-2</v>
      </c>
      <c r="N63" s="42">
        <f t="shared" si="3"/>
        <v>1.8249999999999999E-2</v>
      </c>
      <c r="O63" s="42">
        <f t="shared" si="10"/>
        <v>2.0277777777777777E-2</v>
      </c>
      <c r="P63" s="42">
        <f t="shared" si="4"/>
        <v>1.8249999999999999E-2</v>
      </c>
    </row>
    <row r="64" spans="1:23" x14ac:dyDescent="0.3">
      <c r="A64" s="47">
        <f t="shared" si="11"/>
        <v>46208</v>
      </c>
      <c r="B64" s="49">
        <f t="shared" si="12"/>
        <v>0.63541666666666652</v>
      </c>
      <c r="C64" s="42">
        <f>'Červenec data'!V63+P64</f>
        <v>7.2000000000000008E-2</v>
      </c>
      <c r="D64" s="42">
        <f t="shared" si="5"/>
        <v>7.2000000000000008E-2</v>
      </c>
      <c r="E64">
        <f t="shared" si="6"/>
        <v>1.734</v>
      </c>
      <c r="F64" s="42">
        <f t="shared" si="7"/>
        <v>0</v>
      </c>
      <c r="G64" s="42">
        <f t="shared" si="8"/>
        <v>1.6234722222222222</v>
      </c>
      <c r="H64" s="42">
        <f t="shared" si="9"/>
        <v>0</v>
      </c>
      <c r="I64" s="42">
        <f t="shared" si="0"/>
        <v>1.6619999999999999</v>
      </c>
      <c r="J64" s="43">
        <f>MIN('Výpočty '!$B$1*0.9, MAX('Výpočty '!$B$1*0.05, J63 + M64 - MIN(O64, MAX(0, J63 - ('Výpočty '!$B$1*0.1))) - P64))</f>
        <v>17.965325</v>
      </c>
      <c r="K64" s="46">
        <f>J64/'Výpočty '!$B$1</f>
        <v>0.89826625000000004</v>
      </c>
      <c r="L64" s="42">
        <f t="shared" si="1"/>
        <v>3.4675000000000011E-2</v>
      </c>
      <c r="M64" s="42">
        <f t="shared" si="2"/>
        <v>3.8527777777777793E-2</v>
      </c>
      <c r="N64" s="42">
        <f t="shared" si="3"/>
        <v>1.8249999999999999E-2</v>
      </c>
      <c r="O64" s="42">
        <f t="shared" si="10"/>
        <v>2.0277777777777777E-2</v>
      </c>
      <c r="P64" s="42">
        <f t="shared" si="4"/>
        <v>1.8249999999999999E-2</v>
      </c>
    </row>
    <row r="65" spans="1:16" x14ac:dyDescent="0.3">
      <c r="A65" s="47">
        <f t="shared" si="11"/>
        <v>46208</v>
      </c>
      <c r="B65" s="49">
        <f t="shared" si="12"/>
        <v>0.64583333333333315</v>
      </c>
      <c r="C65" s="42">
        <f>'Červenec data'!V64+P65</f>
        <v>7.2000000000000008E-2</v>
      </c>
      <c r="D65" s="42">
        <f t="shared" si="5"/>
        <v>7.2000000000000008E-2</v>
      </c>
      <c r="E65">
        <f t="shared" si="6"/>
        <v>1.52</v>
      </c>
      <c r="F65" s="42">
        <f t="shared" si="7"/>
        <v>0</v>
      </c>
      <c r="G65" s="42">
        <f t="shared" si="8"/>
        <v>1.4094722222222222</v>
      </c>
      <c r="H65" s="42">
        <f t="shared" si="9"/>
        <v>0</v>
      </c>
      <c r="I65" s="42">
        <f t="shared" si="0"/>
        <v>1.448</v>
      </c>
      <c r="J65" s="43">
        <f>MIN('Výpočty '!$B$1*0.9, MAX('Výpočty '!$B$1*0.05, J64 + M65 - MIN(O65, MAX(0, J64 - ('Výpočty '!$B$1*0.1))) - P65))</f>
        <v>17.965325</v>
      </c>
      <c r="K65" s="46">
        <f>J65/'Výpočty '!$B$1</f>
        <v>0.89826625000000004</v>
      </c>
      <c r="L65" s="42">
        <f t="shared" si="1"/>
        <v>3.4675000000000011E-2</v>
      </c>
      <c r="M65" s="42">
        <f t="shared" si="2"/>
        <v>3.8527777777777793E-2</v>
      </c>
      <c r="N65" s="42">
        <f t="shared" si="3"/>
        <v>1.8249999999999999E-2</v>
      </c>
      <c r="O65" s="42">
        <f t="shared" si="10"/>
        <v>2.0277777777777777E-2</v>
      </c>
      <c r="P65" s="42">
        <f t="shared" si="4"/>
        <v>1.8249999999999999E-2</v>
      </c>
    </row>
    <row r="66" spans="1:16" x14ac:dyDescent="0.3">
      <c r="A66" s="47">
        <f t="shared" si="11"/>
        <v>46208</v>
      </c>
      <c r="B66" s="49">
        <f t="shared" si="12"/>
        <v>0.65624999999999978</v>
      </c>
      <c r="C66" s="42">
        <f>'Červenec data'!V65+P66</f>
        <v>7.2000000000000008E-2</v>
      </c>
      <c r="D66" s="42">
        <f t="shared" si="5"/>
        <v>7.2000000000000008E-2</v>
      </c>
      <c r="E66">
        <f t="shared" si="6"/>
        <v>1.3149999999999999</v>
      </c>
      <c r="F66" s="42">
        <f t="shared" si="7"/>
        <v>0</v>
      </c>
      <c r="G66" s="42">
        <f t="shared" si="8"/>
        <v>1.2044722222222222</v>
      </c>
      <c r="H66" s="42">
        <f t="shared" si="9"/>
        <v>0</v>
      </c>
      <c r="I66" s="42">
        <f t="shared" si="0"/>
        <v>1.2429999999999999</v>
      </c>
      <c r="J66" s="43">
        <f>MIN('Výpočty '!$B$1*0.9, MAX('Výpočty '!$B$1*0.05, J65 + M66 - MIN(O66, MAX(0, J65 - ('Výpočty '!$B$1*0.1))) - P66))</f>
        <v>17.965325</v>
      </c>
      <c r="K66" s="46">
        <f>J66/'Výpočty '!$B$1</f>
        <v>0.89826625000000004</v>
      </c>
      <c r="L66" s="42">
        <f t="shared" si="1"/>
        <v>3.4675000000000011E-2</v>
      </c>
      <c r="M66" s="42">
        <f t="shared" si="2"/>
        <v>3.8527777777777793E-2</v>
      </c>
      <c r="N66" s="42">
        <f t="shared" si="3"/>
        <v>1.8249999999999999E-2</v>
      </c>
      <c r="O66" s="42">
        <f t="shared" si="10"/>
        <v>2.0277777777777777E-2</v>
      </c>
      <c r="P66" s="42">
        <f t="shared" si="4"/>
        <v>1.8249999999999999E-2</v>
      </c>
    </row>
    <row r="67" spans="1:16" x14ac:dyDescent="0.3">
      <c r="A67" s="47">
        <f t="shared" si="11"/>
        <v>46208</v>
      </c>
      <c r="B67" s="49">
        <f t="shared" si="12"/>
        <v>0.66666666666666641</v>
      </c>
      <c r="C67" s="42">
        <f>'Červenec data'!V66+P67</f>
        <v>7.2000000000000008E-2</v>
      </c>
      <c r="D67" s="42">
        <f t="shared" si="5"/>
        <v>7.2000000000000008E-2</v>
      </c>
      <c r="E67">
        <f t="shared" si="6"/>
        <v>1.1240000000000001</v>
      </c>
      <c r="F67" s="42">
        <f t="shared" si="7"/>
        <v>0</v>
      </c>
      <c r="G67" s="42">
        <f t="shared" si="8"/>
        <v>1.0134722222222223</v>
      </c>
      <c r="H67" s="42">
        <f t="shared" si="9"/>
        <v>0</v>
      </c>
      <c r="I67" s="42">
        <f t="shared" ref="I67:I98" si="13">E67-C67</f>
        <v>1.052</v>
      </c>
      <c r="J67" s="43">
        <f>MIN('Výpočty '!$B$1*0.9, MAX('Výpočty '!$B$1*0.05, J66 + M67 - MIN(O67, MAX(0, J66 - ('Výpočty '!$B$1*0.1))) - P67))</f>
        <v>17.965325</v>
      </c>
      <c r="K67" s="46">
        <f>J67/'Výpočty '!$B$1</f>
        <v>0.89826625000000004</v>
      </c>
      <c r="L67" s="42">
        <f t="shared" ref="L67:L98" si="14">M67 * Účinnost_cyklu</f>
        <v>3.4675000000000011E-2</v>
      </c>
      <c r="M67" s="42">
        <f t="shared" ref="M67:M98" si="15">MIN(MAX(0, I67), MAX(0, Kapacita_baterie * Soc_Max - J66) / Účinnost_cyklu, Stridac_limit)</f>
        <v>3.8527777777777793E-2</v>
      </c>
      <c r="N67" s="42">
        <f t="shared" ref="N67:N98" si="16">MAX(0, MIN(J66 - (Kapacita_baterie * Soc_Kriticke), C67 - D67 + P67))</f>
        <v>1.8249999999999999E-2</v>
      </c>
      <c r="O67" s="42">
        <f t="shared" si="10"/>
        <v>2.0277777777777777E-2</v>
      </c>
      <c r="P67" s="42">
        <f t="shared" ref="P67:P98" si="17">Vlastní_Spotřeba_kWh</f>
        <v>1.8249999999999999E-2</v>
      </c>
    </row>
    <row r="68" spans="1:16" x14ac:dyDescent="0.3">
      <c r="A68" s="47">
        <f t="shared" si="11"/>
        <v>46208</v>
      </c>
      <c r="B68" s="49">
        <f t="shared" si="12"/>
        <v>0.67708333333333304</v>
      </c>
      <c r="C68" s="42">
        <f>'Červenec data'!V67+P68</f>
        <v>5.4500000000000007E-2</v>
      </c>
      <c r="D68" s="42">
        <f t="shared" ref="D68:D98" si="18">MIN(C68, E68)</f>
        <v>5.4500000000000007E-2</v>
      </c>
      <c r="E68">
        <f t="shared" ref="E68:E98" si="19">ROUND(MAX(0, 13 * EXP(-((HOUR(B68)+MINUTE(B68)/60 - 12.75)^2) / 10) * 0.25 - 0.006), 3)</f>
        <v>0.94899999999999995</v>
      </c>
      <c r="F68" s="42">
        <f t="shared" ref="F68:F98" si="20">MAX(0, C68 - D68 - H68 )</f>
        <v>0</v>
      </c>
      <c r="G68" s="42">
        <f t="shared" ref="G68:G98" si="21">MAX(0, E68 - D68 - M68)</f>
        <v>0.85597222222222213</v>
      </c>
      <c r="H68" s="42">
        <f t="shared" ref="H68:H97" si="22">MAX(0, MIN(C68 - D68, N68 ))</f>
        <v>0</v>
      </c>
      <c r="I68" s="42">
        <f t="shared" si="13"/>
        <v>0.89449999999999996</v>
      </c>
      <c r="J68" s="43">
        <f>MIN('Výpočty '!$B$1*0.9, MAX('Výpočty '!$B$1*0.05, J67 + M68 - MIN(O68, MAX(0, J67 - ('Výpočty '!$B$1*0.1))) - P68))</f>
        <v>17.965325</v>
      </c>
      <c r="K68" s="46">
        <f>J68/'Výpočty '!$B$1</f>
        <v>0.89826625000000004</v>
      </c>
      <c r="L68" s="42">
        <f t="shared" si="14"/>
        <v>3.4675000000000011E-2</v>
      </c>
      <c r="M68" s="42">
        <f t="shared" si="15"/>
        <v>3.8527777777777793E-2</v>
      </c>
      <c r="N68" s="42">
        <f t="shared" si="16"/>
        <v>1.8249999999999999E-2</v>
      </c>
      <c r="O68" s="42">
        <f t="shared" ref="O68:O98" si="23">N68 / Účinnost_cyklu</f>
        <v>2.0277777777777777E-2</v>
      </c>
      <c r="P68" s="42">
        <f t="shared" si="17"/>
        <v>1.8249999999999999E-2</v>
      </c>
    </row>
    <row r="69" spans="1:16" x14ac:dyDescent="0.3">
      <c r="A69" s="47">
        <f t="shared" ref="A69:A98" si="24">DATE(2026,7,5)</f>
        <v>46208</v>
      </c>
      <c r="B69" s="49">
        <f t="shared" ref="B69:B98" si="25">B68+TIME(0,15,0)</f>
        <v>0.68749999999999967</v>
      </c>
      <c r="C69" s="42">
        <f>'Červenec data'!V68+P69</f>
        <v>6.9499999999999992E-2</v>
      </c>
      <c r="D69" s="42">
        <f t="shared" si="18"/>
        <v>6.9499999999999992E-2</v>
      </c>
      <c r="E69">
        <f t="shared" si="19"/>
        <v>0.79</v>
      </c>
      <c r="F69" s="42">
        <f t="shared" si="20"/>
        <v>0</v>
      </c>
      <c r="G69" s="42">
        <f t="shared" si="21"/>
        <v>0.6819722222222222</v>
      </c>
      <c r="H69" s="42">
        <f t="shared" si="22"/>
        <v>0</v>
      </c>
      <c r="I69" s="42">
        <f t="shared" si="13"/>
        <v>0.72050000000000003</v>
      </c>
      <c r="J69" s="43">
        <f>MIN('Výpočty '!$B$1*0.9, MAX('Výpočty '!$B$1*0.05, J68 + M69 - MIN(O69, MAX(0, J68 - ('Výpočty '!$B$1*0.1))) - P69))</f>
        <v>17.965325</v>
      </c>
      <c r="K69" s="46">
        <f>J69/'Výpočty '!$B$1</f>
        <v>0.89826625000000004</v>
      </c>
      <c r="L69" s="42">
        <f t="shared" si="14"/>
        <v>3.4675000000000011E-2</v>
      </c>
      <c r="M69" s="42">
        <f t="shared" si="15"/>
        <v>3.8527777777777793E-2</v>
      </c>
      <c r="N69" s="42">
        <f t="shared" si="16"/>
        <v>1.8249999999999999E-2</v>
      </c>
      <c r="O69" s="42">
        <f t="shared" si="23"/>
        <v>2.0277777777777777E-2</v>
      </c>
      <c r="P69" s="42">
        <f t="shared" si="17"/>
        <v>1.8249999999999999E-2</v>
      </c>
    </row>
    <row r="70" spans="1:16" x14ac:dyDescent="0.3">
      <c r="A70" s="47">
        <f t="shared" si="24"/>
        <v>46208</v>
      </c>
      <c r="B70" s="49">
        <f t="shared" si="25"/>
        <v>0.6979166666666663</v>
      </c>
      <c r="C70" s="42">
        <f>'Červenec data'!V69+P70</f>
        <v>6.9499999999999992E-2</v>
      </c>
      <c r="D70" s="42">
        <f t="shared" si="18"/>
        <v>6.9499999999999992E-2</v>
      </c>
      <c r="E70">
        <f t="shared" si="19"/>
        <v>0.65</v>
      </c>
      <c r="F70" s="42">
        <f t="shared" si="20"/>
        <v>0</v>
      </c>
      <c r="G70" s="42">
        <f t="shared" si="21"/>
        <v>0.54197222222222219</v>
      </c>
      <c r="H70" s="42">
        <f t="shared" si="22"/>
        <v>0</v>
      </c>
      <c r="I70" s="42">
        <f t="shared" si="13"/>
        <v>0.58050000000000002</v>
      </c>
      <c r="J70" s="43">
        <f>MIN('Výpočty '!$B$1*0.9, MAX('Výpočty '!$B$1*0.05, J69 + M70 - MIN(O70, MAX(0, J69 - ('Výpočty '!$B$1*0.1))) - P70))</f>
        <v>17.965325</v>
      </c>
      <c r="K70" s="46">
        <f>J70/'Výpočty '!$B$1</f>
        <v>0.89826625000000004</v>
      </c>
      <c r="L70" s="42">
        <f t="shared" si="14"/>
        <v>3.4675000000000011E-2</v>
      </c>
      <c r="M70" s="42">
        <f t="shared" si="15"/>
        <v>3.8527777777777793E-2</v>
      </c>
      <c r="N70" s="42">
        <f t="shared" si="16"/>
        <v>1.8249999999999999E-2</v>
      </c>
      <c r="O70" s="42">
        <f t="shared" si="23"/>
        <v>2.0277777777777777E-2</v>
      </c>
      <c r="P70" s="42">
        <f t="shared" si="17"/>
        <v>1.8249999999999999E-2</v>
      </c>
    </row>
    <row r="71" spans="1:16" x14ac:dyDescent="0.3">
      <c r="A71" s="47">
        <f t="shared" si="24"/>
        <v>46208</v>
      </c>
      <c r="B71" s="49">
        <f t="shared" si="25"/>
        <v>0.70833333333333293</v>
      </c>
      <c r="C71" s="42">
        <f>'Červenec data'!V70+P71</f>
        <v>9.4500000000000001E-2</v>
      </c>
      <c r="D71" s="42">
        <f t="shared" si="18"/>
        <v>9.4500000000000001E-2</v>
      </c>
      <c r="E71">
        <f t="shared" si="19"/>
        <v>0.52800000000000002</v>
      </c>
      <c r="F71" s="42">
        <f t="shared" si="20"/>
        <v>0</v>
      </c>
      <c r="G71" s="42">
        <f t="shared" si="21"/>
        <v>0.39497222222222222</v>
      </c>
      <c r="H71" s="42">
        <f t="shared" si="22"/>
        <v>0</v>
      </c>
      <c r="I71" s="42">
        <f t="shared" si="13"/>
        <v>0.4335</v>
      </c>
      <c r="J71" s="43">
        <f>MIN('Výpočty '!$B$1*0.9, MAX('Výpočty '!$B$1*0.05, J70 + M71 - MIN(O71, MAX(0, J70 - ('Výpočty '!$B$1*0.1))) - P71))</f>
        <v>17.965325</v>
      </c>
      <c r="K71" s="46">
        <f>J71/'Výpočty '!$B$1</f>
        <v>0.89826625000000004</v>
      </c>
      <c r="L71" s="42">
        <f t="shared" si="14"/>
        <v>3.4675000000000011E-2</v>
      </c>
      <c r="M71" s="42">
        <f t="shared" si="15"/>
        <v>3.8527777777777793E-2</v>
      </c>
      <c r="N71" s="42">
        <f t="shared" si="16"/>
        <v>1.8249999999999999E-2</v>
      </c>
      <c r="O71" s="42">
        <f t="shared" si="23"/>
        <v>2.0277777777777777E-2</v>
      </c>
      <c r="P71" s="42">
        <f t="shared" si="17"/>
        <v>1.8249999999999999E-2</v>
      </c>
    </row>
    <row r="72" spans="1:16" x14ac:dyDescent="0.3">
      <c r="A72" s="47">
        <f t="shared" si="24"/>
        <v>46208</v>
      </c>
      <c r="B72" s="49">
        <f t="shared" si="25"/>
        <v>0.71874999999999956</v>
      </c>
      <c r="C72" s="42">
        <f>'Červenec data'!V71+P72</f>
        <v>0.11700000000000001</v>
      </c>
      <c r="D72" s="42">
        <f t="shared" si="18"/>
        <v>0.11700000000000001</v>
      </c>
      <c r="E72">
        <f t="shared" si="19"/>
        <v>0.42299999999999999</v>
      </c>
      <c r="F72" s="42">
        <f t="shared" si="20"/>
        <v>0</v>
      </c>
      <c r="G72" s="42">
        <f t="shared" si="21"/>
        <v>0.26747222222222222</v>
      </c>
      <c r="H72" s="42">
        <f t="shared" si="22"/>
        <v>0</v>
      </c>
      <c r="I72" s="42">
        <f t="shared" si="13"/>
        <v>0.30599999999999999</v>
      </c>
      <c r="J72" s="43">
        <f>MIN('Výpočty '!$B$1*0.9, MAX('Výpočty '!$B$1*0.05, J71 + M72 - MIN(O72, MAX(0, J71 - ('Výpočty '!$B$1*0.1))) - P72))</f>
        <v>17.965325</v>
      </c>
      <c r="K72" s="46">
        <f>J72/'Výpočty '!$B$1</f>
        <v>0.89826625000000004</v>
      </c>
      <c r="L72" s="42">
        <f t="shared" si="14"/>
        <v>3.4675000000000011E-2</v>
      </c>
      <c r="M72" s="42">
        <f t="shared" si="15"/>
        <v>3.8527777777777793E-2</v>
      </c>
      <c r="N72" s="42">
        <f t="shared" si="16"/>
        <v>1.8249999999999999E-2</v>
      </c>
      <c r="O72" s="42">
        <f t="shared" si="23"/>
        <v>2.0277777777777777E-2</v>
      </c>
      <c r="P72" s="42">
        <f t="shared" si="17"/>
        <v>1.8249999999999999E-2</v>
      </c>
    </row>
    <row r="73" spans="1:16" x14ac:dyDescent="0.3">
      <c r="A73" s="47">
        <f t="shared" si="24"/>
        <v>46208</v>
      </c>
      <c r="B73" s="49">
        <f t="shared" si="25"/>
        <v>0.72916666666666619</v>
      </c>
      <c r="C73" s="42">
        <f>'Červenec data'!V72+P73</f>
        <v>0.47075</v>
      </c>
      <c r="D73" s="42">
        <f t="shared" si="18"/>
        <v>0.33400000000000002</v>
      </c>
      <c r="E73">
        <f t="shared" si="19"/>
        <v>0.33400000000000002</v>
      </c>
      <c r="F73" s="42">
        <f t="shared" si="20"/>
        <v>0</v>
      </c>
      <c r="G73" s="42">
        <f t="shared" si="21"/>
        <v>0</v>
      </c>
      <c r="H73" s="42">
        <f t="shared" si="22"/>
        <v>0.13674999999999998</v>
      </c>
      <c r="I73" s="42">
        <f t="shared" si="13"/>
        <v>-0.13674999999999998</v>
      </c>
      <c r="J73" s="43">
        <f>MIN('Výpočty '!$B$1*0.9, MAX('Výpočty '!$B$1*0.05, J72 + M73 - MIN(O73, MAX(0, J72 - ('Výpočty '!$B$1*0.1))) - P73))</f>
        <v>17.774852777777781</v>
      </c>
      <c r="K73" s="46">
        <f>J73/'Výpočty '!$B$1</f>
        <v>0.88874263888888905</v>
      </c>
      <c r="L73" s="42">
        <f t="shared" si="14"/>
        <v>0</v>
      </c>
      <c r="M73" s="42">
        <f t="shared" si="15"/>
        <v>0</v>
      </c>
      <c r="N73" s="42">
        <f t="shared" si="16"/>
        <v>0.15499999999999997</v>
      </c>
      <c r="O73" s="42">
        <f t="shared" si="23"/>
        <v>0.17222222222222219</v>
      </c>
      <c r="P73" s="42">
        <f t="shared" si="17"/>
        <v>1.8249999999999999E-2</v>
      </c>
    </row>
    <row r="74" spans="1:16" x14ac:dyDescent="0.3">
      <c r="A74" s="47">
        <f t="shared" si="24"/>
        <v>46208</v>
      </c>
      <c r="B74" s="49">
        <f t="shared" si="25"/>
        <v>0.73958333333333282</v>
      </c>
      <c r="C74" s="42">
        <f>'Červenec data'!V73+P74</f>
        <v>1.17075</v>
      </c>
      <c r="D74" s="42">
        <f t="shared" si="18"/>
        <v>0.26100000000000001</v>
      </c>
      <c r="E74">
        <f t="shared" si="19"/>
        <v>0.26100000000000001</v>
      </c>
      <c r="F74" s="42">
        <f t="shared" si="20"/>
        <v>0</v>
      </c>
      <c r="G74" s="42">
        <f t="shared" si="21"/>
        <v>0</v>
      </c>
      <c r="H74" s="42">
        <f t="shared" si="22"/>
        <v>0.90974999999999995</v>
      </c>
      <c r="I74" s="42">
        <f t="shared" si="13"/>
        <v>-0.90974999999999995</v>
      </c>
      <c r="J74" s="43">
        <f>MIN('Výpočty '!$B$1*0.9, MAX('Výpočty '!$B$1*0.05, J73 + M74 - MIN(O74, MAX(0, J73 - ('Výpočty '!$B$1*0.1))) - P74))</f>
        <v>16.72549166666667</v>
      </c>
      <c r="K74" s="46">
        <f>J74/'Výpočty '!$B$1</f>
        <v>0.83627458333333349</v>
      </c>
      <c r="L74" s="42">
        <f t="shared" si="14"/>
        <v>0</v>
      </c>
      <c r="M74" s="42">
        <f t="shared" si="15"/>
        <v>0</v>
      </c>
      <c r="N74" s="42">
        <f t="shared" si="16"/>
        <v>0.92799999999999994</v>
      </c>
      <c r="O74" s="42">
        <f t="shared" si="23"/>
        <v>1.0311111111111111</v>
      </c>
      <c r="P74" s="42">
        <f t="shared" si="17"/>
        <v>1.8249999999999999E-2</v>
      </c>
    </row>
    <row r="75" spans="1:16" x14ac:dyDescent="0.3">
      <c r="A75" s="47">
        <f t="shared" si="24"/>
        <v>46208</v>
      </c>
      <c r="B75" s="49">
        <f t="shared" si="25"/>
        <v>0.74999999999999944</v>
      </c>
      <c r="C75" s="42">
        <f>'Červenec data'!V74+P75</f>
        <v>2.29575</v>
      </c>
      <c r="D75" s="42">
        <f t="shared" si="18"/>
        <v>0.2</v>
      </c>
      <c r="E75">
        <f t="shared" si="19"/>
        <v>0.2</v>
      </c>
      <c r="F75" s="42">
        <f t="shared" si="20"/>
        <v>0</v>
      </c>
      <c r="G75" s="42">
        <f t="shared" si="21"/>
        <v>0</v>
      </c>
      <c r="H75" s="42">
        <f t="shared" si="22"/>
        <v>2.0957499999999998</v>
      </c>
      <c r="I75" s="42">
        <f t="shared" si="13"/>
        <v>-2.0957499999999998</v>
      </c>
      <c r="J75" s="43">
        <f>MIN('Výpočty '!$B$1*0.9, MAX('Výpočty '!$B$1*0.05, J74 + M75 - MIN(O75, MAX(0, J74 - ('Výpočty '!$B$1*0.1))) - P75))</f>
        <v>14.358352777777782</v>
      </c>
      <c r="K75" s="46">
        <f>J75/'Výpočty '!$B$1</f>
        <v>0.71791763888888904</v>
      </c>
      <c r="L75" s="42">
        <f t="shared" si="14"/>
        <v>0</v>
      </c>
      <c r="M75" s="42">
        <f t="shared" si="15"/>
        <v>0</v>
      </c>
      <c r="N75" s="42">
        <f t="shared" si="16"/>
        <v>2.1139999999999999</v>
      </c>
      <c r="O75" s="42">
        <f t="shared" si="23"/>
        <v>2.3488888888888888</v>
      </c>
      <c r="P75" s="42">
        <f t="shared" si="17"/>
        <v>1.8249999999999999E-2</v>
      </c>
    </row>
    <row r="76" spans="1:16" x14ac:dyDescent="0.3">
      <c r="A76" s="47">
        <f t="shared" si="24"/>
        <v>46208</v>
      </c>
      <c r="B76" s="49">
        <f t="shared" si="25"/>
        <v>0.76041666666666607</v>
      </c>
      <c r="C76" s="42">
        <f>'Červenec data'!V75+P76</f>
        <v>2.3132500000000005</v>
      </c>
      <c r="D76" s="42">
        <f t="shared" si="18"/>
        <v>0.152</v>
      </c>
      <c r="E76">
        <f t="shared" si="19"/>
        <v>0.152</v>
      </c>
      <c r="F76" s="42">
        <f t="shared" si="20"/>
        <v>0</v>
      </c>
      <c r="G76" s="42">
        <f t="shared" si="21"/>
        <v>0</v>
      </c>
      <c r="H76" s="42">
        <f t="shared" si="22"/>
        <v>2.1612500000000003</v>
      </c>
      <c r="I76" s="42">
        <f t="shared" si="13"/>
        <v>-2.1612500000000003</v>
      </c>
      <c r="J76" s="43">
        <f>MIN('Výpočty '!$B$1*0.9, MAX('Výpočty '!$B$1*0.05, J75 + M76 - MIN(O76, MAX(0, J75 - ('Výpočty '!$B$1*0.1))) - P76))</f>
        <v>11.918436111111115</v>
      </c>
      <c r="K76" s="46">
        <f>J76/'Výpočty '!$B$1</f>
        <v>0.59592180555555574</v>
      </c>
      <c r="L76" s="42">
        <f t="shared" si="14"/>
        <v>0</v>
      </c>
      <c r="M76" s="42">
        <f t="shared" si="15"/>
        <v>0</v>
      </c>
      <c r="N76" s="42">
        <f t="shared" si="16"/>
        <v>2.1795000000000004</v>
      </c>
      <c r="O76" s="42">
        <f t="shared" si="23"/>
        <v>2.4216666666666673</v>
      </c>
      <c r="P76" s="42">
        <f t="shared" si="17"/>
        <v>1.8249999999999999E-2</v>
      </c>
    </row>
    <row r="77" spans="1:16" x14ac:dyDescent="0.3">
      <c r="A77" s="47">
        <f t="shared" si="24"/>
        <v>46208</v>
      </c>
      <c r="B77" s="49">
        <f t="shared" si="25"/>
        <v>0.7708333333333327</v>
      </c>
      <c r="C77" s="42">
        <f>'Červenec data'!V76+P77</f>
        <v>2.2807500000000003</v>
      </c>
      <c r="D77" s="42">
        <f t="shared" si="18"/>
        <v>0.113</v>
      </c>
      <c r="E77">
        <f t="shared" si="19"/>
        <v>0.113</v>
      </c>
      <c r="F77" s="42">
        <f t="shared" si="20"/>
        <v>0</v>
      </c>
      <c r="G77" s="42">
        <f t="shared" si="21"/>
        <v>0</v>
      </c>
      <c r="H77" s="42">
        <f t="shared" si="22"/>
        <v>2.1677500000000003</v>
      </c>
      <c r="I77" s="42">
        <f t="shared" si="13"/>
        <v>-2.1677500000000003</v>
      </c>
      <c r="J77" s="43">
        <f>MIN('Výpočty '!$B$1*0.9, MAX('Výpočty '!$B$1*0.05, J76 + M77 - MIN(O77, MAX(0, J76 - ('Výpočty '!$B$1*0.1))) - P77))</f>
        <v>9.4712972222222245</v>
      </c>
      <c r="K77" s="46">
        <f>J77/'Výpočty '!$B$1</f>
        <v>0.47356486111111123</v>
      </c>
      <c r="L77" s="42">
        <f t="shared" si="14"/>
        <v>0</v>
      </c>
      <c r="M77" s="42">
        <f t="shared" si="15"/>
        <v>0</v>
      </c>
      <c r="N77" s="42">
        <f t="shared" si="16"/>
        <v>2.1860000000000004</v>
      </c>
      <c r="O77" s="42">
        <f t="shared" si="23"/>
        <v>2.4288888888888893</v>
      </c>
      <c r="P77" s="42">
        <f t="shared" si="17"/>
        <v>1.8249999999999999E-2</v>
      </c>
    </row>
    <row r="78" spans="1:16" x14ac:dyDescent="0.3">
      <c r="A78" s="47">
        <f t="shared" si="24"/>
        <v>46208</v>
      </c>
      <c r="B78" s="49">
        <f t="shared" si="25"/>
        <v>0.78124999999999933</v>
      </c>
      <c r="C78" s="42">
        <f>'Červenec data'!V77+P78</f>
        <v>2.3094999999999999</v>
      </c>
      <c r="D78" s="42">
        <f t="shared" si="18"/>
        <v>8.3000000000000004E-2</v>
      </c>
      <c r="E78">
        <f t="shared" si="19"/>
        <v>8.3000000000000004E-2</v>
      </c>
      <c r="F78" s="42">
        <f t="shared" si="20"/>
        <v>0</v>
      </c>
      <c r="G78" s="42">
        <f t="shared" si="21"/>
        <v>0</v>
      </c>
      <c r="H78" s="42">
        <f t="shared" si="22"/>
        <v>2.2264999999999997</v>
      </c>
      <c r="I78" s="42">
        <f t="shared" si="13"/>
        <v>-2.2264999999999997</v>
      </c>
      <c r="J78" s="43">
        <f>MIN('Výpočty '!$B$1*0.9, MAX('Výpočty '!$B$1*0.05, J77 + M78 - MIN(O78, MAX(0, J77 - ('Výpočty '!$B$1*0.1))) - P78))</f>
        <v>6.9588805555555577</v>
      </c>
      <c r="K78" s="46">
        <f>J78/'Výpočty '!$B$1</f>
        <v>0.34794402777777789</v>
      </c>
      <c r="L78" s="42">
        <f t="shared" si="14"/>
        <v>0</v>
      </c>
      <c r="M78" s="42">
        <f t="shared" si="15"/>
        <v>0</v>
      </c>
      <c r="N78" s="42">
        <f t="shared" si="16"/>
        <v>2.2447499999999998</v>
      </c>
      <c r="O78" s="42">
        <f t="shared" si="23"/>
        <v>2.4941666666666662</v>
      </c>
      <c r="P78" s="42">
        <f t="shared" si="17"/>
        <v>1.8249999999999999E-2</v>
      </c>
    </row>
    <row r="79" spans="1:16" x14ac:dyDescent="0.3">
      <c r="A79" s="47">
        <f t="shared" si="24"/>
        <v>46208</v>
      </c>
      <c r="B79" s="49">
        <f t="shared" si="25"/>
        <v>0.79166666666666596</v>
      </c>
      <c r="C79" s="42">
        <f>'Červenec data'!V78+P79</f>
        <v>0.8095</v>
      </c>
      <c r="D79" s="42">
        <f t="shared" si="18"/>
        <v>5.8999999999999997E-2</v>
      </c>
      <c r="E79">
        <f t="shared" si="19"/>
        <v>5.8999999999999997E-2</v>
      </c>
      <c r="F79" s="42">
        <f t="shared" si="20"/>
        <v>0</v>
      </c>
      <c r="G79" s="42">
        <f t="shared" si="21"/>
        <v>0</v>
      </c>
      <c r="H79" s="42">
        <f t="shared" si="22"/>
        <v>0.75049999999999994</v>
      </c>
      <c r="I79" s="42">
        <f t="shared" si="13"/>
        <v>-0.75049999999999994</v>
      </c>
      <c r="J79" s="43">
        <f>MIN('Výpočty '!$B$1*0.9, MAX('Výpočty '!$B$1*0.05, J78 + M79 - MIN(O79, MAX(0, J78 - ('Výpočty '!$B$1*0.1))) - P79))</f>
        <v>6.0864638888888916</v>
      </c>
      <c r="K79" s="46">
        <f>J79/'Výpočty '!$B$1</f>
        <v>0.30432319444444456</v>
      </c>
      <c r="L79" s="42">
        <f t="shared" si="14"/>
        <v>0</v>
      </c>
      <c r="M79" s="42">
        <f t="shared" si="15"/>
        <v>0</v>
      </c>
      <c r="N79" s="42">
        <f t="shared" si="16"/>
        <v>0.76874999999999993</v>
      </c>
      <c r="O79" s="42">
        <f t="shared" si="23"/>
        <v>0.85416666666666652</v>
      </c>
      <c r="P79" s="42">
        <f t="shared" si="17"/>
        <v>1.8249999999999999E-2</v>
      </c>
    </row>
    <row r="80" spans="1:16" x14ac:dyDescent="0.3">
      <c r="A80" s="47">
        <f t="shared" si="24"/>
        <v>46208</v>
      </c>
      <c r="B80" s="49">
        <f t="shared" si="25"/>
        <v>0.80208333333333259</v>
      </c>
      <c r="C80" s="42">
        <f>'Červenec data'!V79+P80</f>
        <v>0.8095</v>
      </c>
      <c r="D80" s="42">
        <f t="shared" si="18"/>
        <v>4.2000000000000003E-2</v>
      </c>
      <c r="E80">
        <f t="shared" si="19"/>
        <v>4.2000000000000003E-2</v>
      </c>
      <c r="F80" s="42">
        <f t="shared" si="20"/>
        <v>0</v>
      </c>
      <c r="G80" s="42">
        <f t="shared" si="21"/>
        <v>0</v>
      </c>
      <c r="H80" s="42">
        <f t="shared" si="22"/>
        <v>0.76749999999999996</v>
      </c>
      <c r="I80" s="42">
        <f t="shared" si="13"/>
        <v>-0.76749999999999996</v>
      </c>
      <c r="J80" s="43">
        <f>MIN('Výpočty '!$B$1*0.9, MAX('Výpočty '!$B$1*0.05, J79 + M80 - MIN(O80, MAX(0, J79 - ('Výpočty '!$B$1*0.1))) - P80))</f>
        <v>5.1951583333333362</v>
      </c>
      <c r="K80" s="46">
        <f>J80/'Výpočty '!$B$1</f>
        <v>0.25975791666666681</v>
      </c>
      <c r="L80" s="42">
        <f t="shared" si="14"/>
        <v>0</v>
      </c>
      <c r="M80" s="42">
        <f t="shared" si="15"/>
        <v>0</v>
      </c>
      <c r="N80" s="42">
        <f t="shared" si="16"/>
        <v>0.78574999999999995</v>
      </c>
      <c r="O80" s="42">
        <f t="shared" si="23"/>
        <v>0.87305555555555547</v>
      </c>
      <c r="P80" s="42">
        <f t="shared" si="17"/>
        <v>1.8249999999999999E-2</v>
      </c>
    </row>
    <row r="81" spans="1:16" x14ac:dyDescent="0.3">
      <c r="A81" s="47">
        <f t="shared" si="24"/>
        <v>46208</v>
      </c>
      <c r="B81" s="49">
        <f t="shared" si="25"/>
        <v>0.81249999999999922</v>
      </c>
      <c r="C81" s="42">
        <f>'Červenec data'!V80+P81</f>
        <v>5.9499999999999997E-2</v>
      </c>
      <c r="D81" s="42">
        <f t="shared" si="18"/>
        <v>2.8000000000000001E-2</v>
      </c>
      <c r="E81">
        <f t="shared" si="19"/>
        <v>2.8000000000000001E-2</v>
      </c>
      <c r="F81" s="42">
        <f t="shared" si="20"/>
        <v>0</v>
      </c>
      <c r="G81" s="42">
        <f t="shared" si="21"/>
        <v>0</v>
      </c>
      <c r="H81" s="42">
        <f t="shared" si="22"/>
        <v>3.15E-2</v>
      </c>
      <c r="I81" s="42">
        <f t="shared" si="13"/>
        <v>-3.15E-2</v>
      </c>
      <c r="J81" s="43">
        <f>MIN('Výpočty '!$B$1*0.9, MAX('Výpočty '!$B$1*0.05, J80 + M81 - MIN(O81, MAX(0, J80 - ('Výpočty '!$B$1*0.1))) - P81))</f>
        <v>5.1216305555555586</v>
      </c>
      <c r="K81" s="46">
        <f>J81/'Výpočty '!$B$1</f>
        <v>0.25608152777777793</v>
      </c>
      <c r="L81" s="42">
        <f t="shared" si="14"/>
        <v>0</v>
      </c>
      <c r="M81" s="42">
        <f t="shared" si="15"/>
        <v>0</v>
      </c>
      <c r="N81" s="42">
        <f t="shared" si="16"/>
        <v>4.9750000000000003E-2</v>
      </c>
      <c r="O81" s="42">
        <f t="shared" si="23"/>
        <v>5.527777777777778E-2</v>
      </c>
      <c r="P81" s="42">
        <f t="shared" si="17"/>
        <v>1.8249999999999999E-2</v>
      </c>
    </row>
    <row r="82" spans="1:16" x14ac:dyDescent="0.3">
      <c r="A82" s="47">
        <f t="shared" si="24"/>
        <v>46208</v>
      </c>
      <c r="B82" s="49">
        <f t="shared" si="25"/>
        <v>0.82291666666666585</v>
      </c>
      <c r="C82" s="42">
        <f>'Červenec data'!V81+P82</f>
        <v>8.0750000000000002E-2</v>
      </c>
      <c r="D82" s="42">
        <f t="shared" si="18"/>
        <v>1.7999999999999999E-2</v>
      </c>
      <c r="E82">
        <f t="shared" si="19"/>
        <v>1.7999999999999999E-2</v>
      </c>
      <c r="F82" s="42">
        <f t="shared" si="20"/>
        <v>0</v>
      </c>
      <c r="G82" s="42">
        <f t="shared" si="21"/>
        <v>0</v>
      </c>
      <c r="H82" s="42">
        <f t="shared" si="22"/>
        <v>6.275E-2</v>
      </c>
      <c r="I82" s="42">
        <f t="shared" si="13"/>
        <v>-6.275E-2</v>
      </c>
      <c r="J82" s="43">
        <f>MIN('Výpočty '!$B$1*0.9, MAX('Výpočty '!$B$1*0.05, J81 + M82 - MIN(O82, MAX(0, J81 - ('Výpočty '!$B$1*0.1))) - P82))</f>
        <v>5.0133805555555586</v>
      </c>
      <c r="K82" s="46">
        <f>J82/'Výpočty '!$B$1</f>
        <v>0.25066902777777794</v>
      </c>
      <c r="L82" s="42">
        <f t="shared" si="14"/>
        <v>0</v>
      </c>
      <c r="M82" s="42">
        <f t="shared" si="15"/>
        <v>0</v>
      </c>
      <c r="N82" s="42">
        <f t="shared" si="16"/>
        <v>8.1000000000000003E-2</v>
      </c>
      <c r="O82" s="42">
        <f t="shared" si="23"/>
        <v>0.09</v>
      </c>
      <c r="P82" s="42">
        <f t="shared" si="17"/>
        <v>1.8249999999999999E-2</v>
      </c>
    </row>
    <row r="83" spans="1:16" x14ac:dyDescent="0.3">
      <c r="A83" s="47">
        <f t="shared" si="24"/>
        <v>46208</v>
      </c>
      <c r="B83" s="49">
        <f t="shared" si="25"/>
        <v>0.83333333333333248</v>
      </c>
      <c r="C83" s="42">
        <f>'Červenec data'!V82+P83</f>
        <v>2.0182499999999997</v>
      </c>
      <c r="D83" s="42">
        <f t="shared" si="18"/>
        <v>1.0999999999999999E-2</v>
      </c>
      <c r="E83">
        <f t="shared" si="19"/>
        <v>1.0999999999999999E-2</v>
      </c>
      <c r="F83" s="42">
        <f t="shared" si="20"/>
        <v>0</v>
      </c>
      <c r="G83" s="42">
        <f t="shared" si="21"/>
        <v>0</v>
      </c>
      <c r="H83" s="42">
        <f t="shared" si="22"/>
        <v>2.0072499999999995</v>
      </c>
      <c r="I83" s="42">
        <f t="shared" si="13"/>
        <v>-2.0072499999999995</v>
      </c>
      <c r="J83" s="43">
        <f>MIN('Výpočty '!$B$1*0.9, MAX('Výpočty '!$B$1*0.05, J82 + M83 - MIN(O83, MAX(0, J82 - ('Výpočty '!$B$1*0.1))) - P83))</f>
        <v>2.7445750000000033</v>
      </c>
      <c r="K83" s="46">
        <f>J83/'Výpočty '!$B$1</f>
        <v>0.13722875000000018</v>
      </c>
      <c r="L83" s="42">
        <f t="shared" si="14"/>
        <v>0</v>
      </c>
      <c r="M83" s="42">
        <f t="shared" si="15"/>
        <v>0</v>
      </c>
      <c r="N83" s="42">
        <f t="shared" si="16"/>
        <v>2.0254999999999996</v>
      </c>
      <c r="O83" s="42">
        <f t="shared" si="23"/>
        <v>2.2505555555555552</v>
      </c>
      <c r="P83" s="42">
        <f t="shared" si="17"/>
        <v>1.8249999999999999E-2</v>
      </c>
    </row>
    <row r="84" spans="1:16" x14ac:dyDescent="0.3">
      <c r="A84" s="47">
        <f t="shared" si="24"/>
        <v>46208</v>
      </c>
      <c r="B84" s="49">
        <f t="shared" si="25"/>
        <v>0.84374999999999911</v>
      </c>
      <c r="C84" s="42">
        <f>'Červenec data'!V83+P84</f>
        <v>0.67825000000000002</v>
      </c>
      <c r="D84" s="42">
        <f t="shared" si="18"/>
        <v>6.0000000000000001E-3</v>
      </c>
      <c r="E84">
        <f t="shared" si="19"/>
        <v>6.0000000000000001E-3</v>
      </c>
      <c r="F84" s="42">
        <f t="shared" si="20"/>
        <v>0</v>
      </c>
      <c r="G84" s="42">
        <f t="shared" si="21"/>
        <v>0</v>
      </c>
      <c r="H84" s="42">
        <f t="shared" si="22"/>
        <v>0.67225000000000001</v>
      </c>
      <c r="I84" s="42">
        <f t="shared" si="13"/>
        <v>-0.67225000000000001</v>
      </c>
      <c r="J84" s="43">
        <f>MIN('Výpočty '!$B$1*0.9, MAX('Výpočty '!$B$1*0.05, J83 + M84 - MIN(O84, MAX(0, J83 - ('Výpočty '!$B$1*0.1))) - P84))</f>
        <v>1.9817499999999999</v>
      </c>
      <c r="K84" s="46">
        <f>J84/'Výpočty '!$B$1</f>
        <v>9.9087499999999995E-2</v>
      </c>
      <c r="L84" s="42">
        <f t="shared" si="14"/>
        <v>0</v>
      </c>
      <c r="M84" s="42">
        <f t="shared" si="15"/>
        <v>0</v>
      </c>
      <c r="N84" s="42">
        <f t="shared" si="16"/>
        <v>0.6905</v>
      </c>
      <c r="O84" s="42">
        <f t="shared" si="23"/>
        <v>0.76722222222222225</v>
      </c>
      <c r="P84" s="42">
        <f t="shared" si="17"/>
        <v>1.8249999999999999E-2</v>
      </c>
    </row>
    <row r="85" spans="1:16" x14ac:dyDescent="0.3">
      <c r="A85" s="47">
        <f t="shared" si="24"/>
        <v>46208</v>
      </c>
      <c r="B85" s="49">
        <f t="shared" si="25"/>
        <v>0.85416666666666574</v>
      </c>
      <c r="C85" s="42">
        <f>'Červenec data'!V84+P85</f>
        <v>0.14324999999999999</v>
      </c>
      <c r="D85" s="42">
        <f t="shared" si="18"/>
        <v>2E-3</v>
      </c>
      <c r="E85">
        <f t="shared" si="19"/>
        <v>2E-3</v>
      </c>
      <c r="F85" s="42">
        <f t="shared" si="20"/>
        <v>0</v>
      </c>
      <c r="G85" s="42">
        <f t="shared" si="21"/>
        <v>0</v>
      </c>
      <c r="H85" s="42">
        <f t="shared" si="22"/>
        <v>0.14124999999999999</v>
      </c>
      <c r="I85" s="42">
        <f t="shared" si="13"/>
        <v>-0.14124999999999999</v>
      </c>
      <c r="J85" s="43">
        <f>MIN('Výpočty '!$B$1*0.9, MAX('Výpočty '!$B$1*0.05, J84 + M85 - MIN(O85, MAX(0, J84 - ('Výpočty '!$B$1*0.1))) - P85))</f>
        <v>1.9634999999999998</v>
      </c>
      <c r="K85" s="46">
        <f>J85/'Výpočty '!$B$1</f>
        <v>9.8174999999999985E-2</v>
      </c>
      <c r="L85" s="42">
        <f t="shared" si="14"/>
        <v>0</v>
      </c>
      <c r="M85" s="42">
        <f t="shared" si="15"/>
        <v>0</v>
      </c>
      <c r="N85" s="42">
        <f t="shared" si="16"/>
        <v>0.15949999999999998</v>
      </c>
      <c r="O85" s="42">
        <f t="shared" si="23"/>
        <v>0.1772222222222222</v>
      </c>
      <c r="P85" s="42">
        <f t="shared" si="17"/>
        <v>1.8249999999999999E-2</v>
      </c>
    </row>
    <row r="86" spans="1:16" x14ac:dyDescent="0.3">
      <c r="A86" s="47">
        <f t="shared" si="24"/>
        <v>46208</v>
      </c>
      <c r="B86" s="49">
        <f t="shared" si="25"/>
        <v>0.86458333333333237</v>
      </c>
      <c r="C86" s="42">
        <f>'Červenec data'!V85+P86</f>
        <v>1.6432499999999999</v>
      </c>
      <c r="D86" s="42">
        <f t="shared" si="18"/>
        <v>0</v>
      </c>
      <c r="E86">
        <f t="shared" si="19"/>
        <v>0</v>
      </c>
      <c r="F86" s="42">
        <f t="shared" si="20"/>
        <v>0.67975000000000008</v>
      </c>
      <c r="G86" s="42">
        <f t="shared" si="21"/>
        <v>0</v>
      </c>
      <c r="H86" s="42">
        <f t="shared" si="22"/>
        <v>0.9634999999999998</v>
      </c>
      <c r="I86" s="42">
        <f t="shared" si="13"/>
        <v>-1.6432499999999999</v>
      </c>
      <c r="J86" s="43">
        <f>MIN('Výpočty '!$B$1*0.9, MAX('Výpočty '!$B$1*0.05, J85 + M86 - MIN(O86, MAX(0, J85 - ('Výpočty '!$B$1*0.1))) - P86))</f>
        <v>1.9452499999999997</v>
      </c>
      <c r="K86" s="46">
        <f>J86/'Výpočty '!$B$1</f>
        <v>9.7262499999999988E-2</v>
      </c>
      <c r="L86" s="42">
        <f t="shared" si="14"/>
        <v>0</v>
      </c>
      <c r="M86" s="42">
        <f t="shared" si="15"/>
        <v>0</v>
      </c>
      <c r="N86" s="42">
        <f t="shared" si="16"/>
        <v>0.9634999999999998</v>
      </c>
      <c r="O86" s="42">
        <f t="shared" si="23"/>
        <v>1.0705555555555553</v>
      </c>
      <c r="P86" s="42">
        <f t="shared" si="17"/>
        <v>1.8249999999999999E-2</v>
      </c>
    </row>
    <row r="87" spans="1:16" x14ac:dyDescent="0.3">
      <c r="A87" s="47">
        <f t="shared" si="24"/>
        <v>46208</v>
      </c>
      <c r="B87" s="49">
        <f t="shared" si="25"/>
        <v>0.874999999999999</v>
      </c>
      <c r="C87" s="42">
        <f>'Červenec data'!V86+P87</f>
        <v>0.1545</v>
      </c>
      <c r="D87" s="42">
        <f t="shared" si="18"/>
        <v>0</v>
      </c>
      <c r="E87">
        <f t="shared" si="19"/>
        <v>0</v>
      </c>
      <c r="F87" s="42">
        <f t="shared" si="20"/>
        <v>0</v>
      </c>
      <c r="G87" s="42">
        <f t="shared" si="21"/>
        <v>0</v>
      </c>
      <c r="H87" s="42">
        <f t="shared" si="22"/>
        <v>0.1545</v>
      </c>
      <c r="I87" s="42">
        <f t="shared" si="13"/>
        <v>-0.1545</v>
      </c>
      <c r="J87" s="43">
        <f>MIN('Výpočty '!$B$1*0.9, MAX('Výpočty '!$B$1*0.05, J86 + M87 - MIN(O87, MAX(0, J86 - ('Výpočty '!$B$1*0.1))) - P87))</f>
        <v>1.9269999999999996</v>
      </c>
      <c r="K87" s="46">
        <f>J87/'Výpočty '!$B$1</f>
        <v>9.6349999999999977E-2</v>
      </c>
      <c r="L87" s="42">
        <f t="shared" si="14"/>
        <v>0</v>
      </c>
      <c r="M87" s="42">
        <f t="shared" si="15"/>
        <v>0</v>
      </c>
      <c r="N87" s="42">
        <f t="shared" si="16"/>
        <v>0.17274999999999999</v>
      </c>
      <c r="O87" s="42">
        <f t="shared" si="23"/>
        <v>0.19194444444444442</v>
      </c>
      <c r="P87" s="42">
        <f t="shared" si="17"/>
        <v>1.8249999999999999E-2</v>
      </c>
    </row>
    <row r="88" spans="1:16" x14ac:dyDescent="0.3">
      <c r="A88" s="47">
        <f t="shared" si="24"/>
        <v>46208</v>
      </c>
      <c r="B88" s="49">
        <f t="shared" si="25"/>
        <v>0.88541666666666563</v>
      </c>
      <c r="C88" s="42">
        <f>'Červenec data'!V87+P88</f>
        <v>0.70450000000000002</v>
      </c>
      <c r="D88" s="42">
        <f t="shared" si="18"/>
        <v>0</v>
      </c>
      <c r="E88">
        <f t="shared" si="19"/>
        <v>0</v>
      </c>
      <c r="F88" s="42">
        <f t="shared" si="20"/>
        <v>0</v>
      </c>
      <c r="G88" s="42">
        <f t="shared" si="21"/>
        <v>0</v>
      </c>
      <c r="H88" s="42">
        <f t="shared" si="22"/>
        <v>0.70450000000000002</v>
      </c>
      <c r="I88" s="42">
        <f t="shared" si="13"/>
        <v>-0.70450000000000002</v>
      </c>
      <c r="J88" s="43">
        <f>MIN('Výpočty '!$B$1*0.9, MAX('Výpočty '!$B$1*0.05, J87 + M88 - MIN(O88, MAX(0, J87 - ('Výpočty '!$B$1*0.1))) - P88))</f>
        <v>1.9087499999999995</v>
      </c>
      <c r="K88" s="46">
        <f>J88/'Výpočty '!$B$1</f>
        <v>9.5437499999999981E-2</v>
      </c>
      <c r="L88" s="42">
        <f t="shared" si="14"/>
        <v>0</v>
      </c>
      <c r="M88" s="42">
        <f t="shared" si="15"/>
        <v>0</v>
      </c>
      <c r="N88" s="42">
        <f t="shared" si="16"/>
        <v>0.72275</v>
      </c>
      <c r="O88" s="42">
        <f t="shared" si="23"/>
        <v>0.80305555555555552</v>
      </c>
      <c r="P88" s="42">
        <f t="shared" si="17"/>
        <v>1.8249999999999999E-2</v>
      </c>
    </row>
    <row r="89" spans="1:16" x14ac:dyDescent="0.3">
      <c r="A89" s="47">
        <f t="shared" si="24"/>
        <v>46208</v>
      </c>
      <c r="B89" s="49">
        <f t="shared" si="25"/>
        <v>0.89583333333333226</v>
      </c>
      <c r="C89" s="42">
        <f>'Červenec data'!V88+P89</f>
        <v>2.2094999999999998</v>
      </c>
      <c r="D89" s="42">
        <f t="shared" si="18"/>
        <v>0</v>
      </c>
      <c r="E89">
        <f t="shared" si="19"/>
        <v>0</v>
      </c>
      <c r="F89" s="42">
        <f t="shared" si="20"/>
        <v>1.3007500000000003</v>
      </c>
      <c r="G89" s="42">
        <f t="shared" si="21"/>
        <v>0</v>
      </c>
      <c r="H89" s="42">
        <f t="shared" si="22"/>
        <v>0.9087499999999995</v>
      </c>
      <c r="I89" s="42">
        <f t="shared" si="13"/>
        <v>-2.2094999999999998</v>
      </c>
      <c r="J89" s="43">
        <f>MIN('Výpočty '!$B$1*0.9, MAX('Výpočty '!$B$1*0.05, J88 + M89 - MIN(O89, MAX(0, J88 - ('Výpočty '!$B$1*0.1))) - P89))</f>
        <v>1.8904999999999994</v>
      </c>
      <c r="K89" s="46">
        <f>J89/'Výpočty '!$B$1</f>
        <v>9.452499999999997E-2</v>
      </c>
      <c r="L89" s="42">
        <f t="shared" si="14"/>
        <v>0</v>
      </c>
      <c r="M89" s="42">
        <f t="shared" si="15"/>
        <v>0</v>
      </c>
      <c r="N89" s="42">
        <f t="shared" si="16"/>
        <v>0.9087499999999995</v>
      </c>
      <c r="O89" s="42">
        <f t="shared" si="23"/>
        <v>1.0097222222222217</v>
      </c>
      <c r="P89" s="42">
        <f t="shared" si="17"/>
        <v>1.8249999999999999E-2</v>
      </c>
    </row>
    <row r="90" spans="1:16" x14ac:dyDescent="0.3">
      <c r="A90" s="47">
        <f t="shared" si="24"/>
        <v>46208</v>
      </c>
      <c r="B90" s="49">
        <f t="shared" si="25"/>
        <v>0.90624999999999889</v>
      </c>
      <c r="C90" s="42">
        <f>'Červenec data'!V89+P90</f>
        <v>0.69199999999999995</v>
      </c>
      <c r="D90" s="42">
        <f t="shared" si="18"/>
        <v>0</v>
      </c>
      <c r="E90">
        <f t="shared" si="19"/>
        <v>0</v>
      </c>
      <c r="F90" s="42">
        <f t="shared" si="20"/>
        <v>0</v>
      </c>
      <c r="G90" s="42">
        <f t="shared" si="21"/>
        <v>0</v>
      </c>
      <c r="H90" s="42">
        <f t="shared" si="22"/>
        <v>0.69199999999999995</v>
      </c>
      <c r="I90" s="42">
        <f t="shared" si="13"/>
        <v>-0.69199999999999995</v>
      </c>
      <c r="J90" s="43">
        <f>MIN('Výpočty '!$B$1*0.9, MAX('Výpočty '!$B$1*0.05, J89 + M90 - MIN(O90, MAX(0, J89 - ('Výpočty '!$B$1*0.1))) - P90))</f>
        <v>1.8722499999999993</v>
      </c>
      <c r="K90" s="46">
        <f>J90/'Výpočty '!$B$1</f>
        <v>9.361249999999996E-2</v>
      </c>
      <c r="L90" s="42">
        <f t="shared" si="14"/>
        <v>0</v>
      </c>
      <c r="M90" s="42">
        <f t="shared" si="15"/>
        <v>0</v>
      </c>
      <c r="N90" s="42">
        <f t="shared" si="16"/>
        <v>0.71024999999999994</v>
      </c>
      <c r="O90" s="42">
        <f t="shared" si="23"/>
        <v>0.78916666666666657</v>
      </c>
      <c r="P90" s="42">
        <f t="shared" si="17"/>
        <v>1.8249999999999999E-2</v>
      </c>
    </row>
    <row r="91" spans="1:16" x14ac:dyDescent="0.3">
      <c r="A91" s="47">
        <f t="shared" si="24"/>
        <v>46208</v>
      </c>
      <c r="B91" s="49">
        <f t="shared" si="25"/>
        <v>0.91666666666666552</v>
      </c>
      <c r="C91" s="42">
        <f>'Červenec data'!V90+P91</f>
        <v>0.69199999999999995</v>
      </c>
      <c r="D91" s="42">
        <f t="shared" si="18"/>
        <v>0</v>
      </c>
      <c r="E91">
        <f t="shared" si="19"/>
        <v>0</v>
      </c>
      <c r="F91" s="42">
        <f t="shared" si="20"/>
        <v>0</v>
      </c>
      <c r="G91" s="42">
        <f t="shared" si="21"/>
        <v>0</v>
      </c>
      <c r="H91" s="42">
        <f t="shared" si="22"/>
        <v>0.69199999999999995</v>
      </c>
      <c r="I91" s="42">
        <f t="shared" si="13"/>
        <v>-0.69199999999999995</v>
      </c>
      <c r="J91" s="43">
        <f>MIN('Výpočty '!$B$1*0.9, MAX('Výpočty '!$B$1*0.05, J90 + M91 - MIN(O91, MAX(0, J90 - ('Výpočty '!$B$1*0.1))) - P91))</f>
        <v>1.8539999999999992</v>
      </c>
      <c r="K91" s="46">
        <f>J91/'Výpočty '!$B$1</f>
        <v>9.2699999999999963E-2</v>
      </c>
      <c r="L91" s="42">
        <f t="shared" si="14"/>
        <v>0</v>
      </c>
      <c r="M91" s="42">
        <f t="shared" si="15"/>
        <v>0</v>
      </c>
      <c r="N91" s="42">
        <f t="shared" si="16"/>
        <v>0.71024999999999994</v>
      </c>
      <c r="O91" s="42">
        <f t="shared" si="23"/>
        <v>0.78916666666666657</v>
      </c>
      <c r="P91" s="42">
        <f t="shared" si="17"/>
        <v>1.8249999999999999E-2</v>
      </c>
    </row>
    <row r="92" spans="1:16" x14ac:dyDescent="0.3">
      <c r="A92" s="47">
        <f t="shared" si="24"/>
        <v>46208</v>
      </c>
      <c r="B92" s="49">
        <f t="shared" si="25"/>
        <v>0.92708333333333215</v>
      </c>
      <c r="C92" s="42">
        <f>'Červenec data'!V91+P92</f>
        <v>2.1894999999999998</v>
      </c>
      <c r="D92" s="42">
        <f t="shared" si="18"/>
        <v>0</v>
      </c>
      <c r="E92">
        <f t="shared" si="19"/>
        <v>0</v>
      </c>
      <c r="F92" s="42">
        <f t="shared" si="20"/>
        <v>1.3355000000000006</v>
      </c>
      <c r="G92" s="42">
        <f t="shared" si="21"/>
        <v>0</v>
      </c>
      <c r="H92" s="42">
        <f t="shared" si="22"/>
        <v>0.8539999999999992</v>
      </c>
      <c r="I92" s="42">
        <f t="shared" si="13"/>
        <v>-2.1894999999999998</v>
      </c>
      <c r="J92" s="43">
        <f>MIN('Výpočty '!$B$1*0.9, MAX('Výpočty '!$B$1*0.05, J91 + M92 - MIN(O92, MAX(0, J91 - ('Výpočty '!$B$1*0.1))) - P92))</f>
        <v>1.8357499999999991</v>
      </c>
      <c r="K92" s="46">
        <f>J92/'Výpočty '!$B$1</f>
        <v>9.1787499999999952E-2</v>
      </c>
      <c r="L92" s="42">
        <f t="shared" si="14"/>
        <v>0</v>
      </c>
      <c r="M92" s="42">
        <f t="shared" si="15"/>
        <v>0</v>
      </c>
      <c r="N92" s="42">
        <f t="shared" si="16"/>
        <v>0.8539999999999992</v>
      </c>
      <c r="O92" s="42">
        <f t="shared" si="23"/>
        <v>0.948888888888888</v>
      </c>
      <c r="P92" s="42">
        <f t="shared" si="17"/>
        <v>1.8249999999999999E-2</v>
      </c>
    </row>
    <row r="93" spans="1:16" x14ac:dyDescent="0.3">
      <c r="A93" s="47">
        <f t="shared" si="24"/>
        <v>46208</v>
      </c>
      <c r="B93" s="49">
        <f t="shared" si="25"/>
        <v>0.93749999999999878</v>
      </c>
      <c r="C93" s="42">
        <f>'Červenec data'!V92+P93</f>
        <v>0.1245</v>
      </c>
      <c r="D93" s="42">
        <f t="shared" si="18"/>
        <v>0</v>
      </c>
      <c r="E93">
        <f t="shared" si="19"/>
        <v>0</v>
      </c>
      <c r="F93" s="42">
        <f t="shared" si="20"/>
        <v>0</v>
      </c>
      <c r="G93" s="42">
        <f t="shared" si="21"/>
        <v>0</v>
      </c>
      <c r="H93" s="42">
        <f t="shared" si="22"/>
        <v>0.1245</v>
      </c>
      <c r="I93" s="42">
        <f t="shared" si="13"/>
        <v>-0.1245</v>
      </c>
      <c r="J93" s="43">
        <f>MIN('Výpočty '!$B$1*0.9, MAX('Výpočty '!$B$1*0.05, J92 + M93 - MIN(O93, MAX(0, J92 - ('Výpočty '!$B$1*0.1))) - P93))</f>
        <v>1.817499999999999</v>
      </c>
      <c r="K93" s="46">
        <f>J93/'Výpočty '!$B$1</f>
        <v>9.0874999999999956E-2</v>
      </c>
      <c r="L93" s="42">
        <f t="shared" si="14"/>
        <v>0</v>
      </c>
      <c r="M93" s="42">
        <f t="shared" si="15"/>
        <v>0</v>
      </c>
      <c r="N93" s="42">
        <f t="shared" si="16"/>
        <v>0.14274999999999999</v>
      </c>
      <c r="O93" s="42">
        <f t="shared" si="23"/>
        <v>0.15861111111111109</v>
      </c>
      <c r="P93" s="42">
        <f t="shared" si="17"/>
        <v>1.8249999999999999E-2</v>
      </c>
    </row>
    <row r="94" spans="1:16" x14ac:dyDescent="0.3">
      <c r="A94" s="47">
        <f t="shared" si="24"/>
        <v>46208</v>
      </c>
      <c r="B94" s="49">
        <f t="shared" si="25"/>
        <v>0.94791666666666541</v>
      </c>
      <c r="C94" s="42">
        <f>'Červenec data'!V93+P94</f>
        <v>1.6245000000000001</v>
      </c>
      <c r="D94" s="42">
        <f t="shared" si="18"/>
        <v>0</v>
      </c>
      <c r="E94">
        <f t="shared" si="19"/>
        <v>0</v>
      </c>
      <c r="F94" s="42">
        <f t="shared" si="20"/>
        <v>0.80700000000000105</v>
      </c>
      <c r="G94" s="42">
        <f t="shared" si="21"/>
        <v>0</v>
      </c>
      <c r="H94" s="42">
        <f t="shared" si="22"/>
        <v>0.81749999999999901</v>
      </c>
      <c r="I94" s="42">
        <f t="shared" si="13"/>
        <v>-1.6245000000000001</v>
      </c>
      <c r="J94" s="43">
        <f>MIN('Výpočty '!$B$1*0.9, MAX('Výpočty '!$B$1*0.05, J93 + M94 - MIN(O94, MAX(0, J93 - ('Výpočty '!$B$1*0.1))) - P94))</f>
        <v>1.7992499999999989</v>
      </c>
      <c r="K94" s="46">
        <f>J94/'Výpočty '!$B$1</f>
        <v>8.9962499999999945E-2</v>
      </c>
      <c r="L94" s="42">
        <f t="shared" si="14"/>
        <v>0</v>
      </c>
      <c r="M94" s="42">
        <f t="shared" si="15"/>
        <v>0</v>
      </c>
      <c r="N94" s="42">
        <f t="shared" si="16"/>
        <v>0.81749999999999901</v>
      </c>
      <c r="O94" s="42">
        <f t="shared" si="23"/>
        <v>0.90833333333333222</v>
      </c>
      <c r="P94" s="42">
        <f t="shared" si="17"/>
        <v>1.8249999999999999E-2</v>
      </c>
    </row>
    <row r="95" spans="1:16" x14ac:dyDescent="0.3">
      <c r="A95" s="47">
        <f t="shared" si="24"/>
        <v>46208</v>
      </c>
      <c r="B95" s="49">
        <f t="shared" si="25"/>
        <v>0.95833333333333204</v>
      </c>
      <c r="C95" s="42">
        <f>'Červenec data'!V94+P95</f>
        <v>0.16949999999999998</v>
      </c>
      <c r="D95" s="42">
        <f t="shared" si="18"/>
        <v>0</v>
      </c>
      <c r="E95">
        <f t="shared" si="19"/>
        <v>0</v>
      </c>
      <c r="F95" s="42">
        <f t="shared" si="20"/>
        <v>0</v>
      </c>
      <c r="G95" s="42">
        <f t="shared" si="21"/>
        <v>0</v>
      </c>
      <c r="H95" s="42">
        <f t="shared" si="22"/>
        <v>0.16949999999999998</v>
      </c>
      <c r="I95" s="42">
        <f t="shared" si="13"/>
        <v>-0.16949999999999998</v>
      </c>
      <c r="J95" s="43">
        <f>MIN('Výpočty '!$B$1*0.9, MAX('Výpočty '!$B$1*0.05, J94 + M95 - MIN(O95, MAX(0, J94 - ('Výpočty '!$B$1*0.1))) - P95))</f>
        <v>1.7809999999999988</v>
      </c>
      <c r="K95" s="46">
        <f>J95/'Výpočty '!$B$1</f>
        <v>8.9049999999999935E-2</v>
      </c>
      <c r="L95" s="42">
        <f t="shared" si="14"/>
        <v>0</v>
      </c>
      <c r="M95" s="42">
        <f t="shared" si="15"/>
        <v>0</v>
      </c>
      <c r="N95" s="42">
        <f t="shared" si="16"/>
        <v>0.18774999999999997</v>
      </c>
      <c r="O95" s="42">
        <f t="shared" si="23"/>
        <v>0.20861111111111108</v>
      </c>
      <c r="P95" s="42">
        <f t="shared" si="17"/>
        <v>1.8249999999999999E-2</v>
      </c>
    </row>
    <row r="96" spans="1:16" x14ac:dyDescent="0.3">
      <c r="A96" s="47">
        <f t="shared" si="24"/>
        <v>46208</v>
      </c>
      <c r="B96" s="49">
        <f t="shared" si="25"/>
        <v>0.96874999999999867</v>
      </c>
      <c r="C96" s="42">
        <f>'Červenec data'!V95+P96</f>
        <v>0.16449999999999998</v>
      </c>
      <c r="D96" s="42">
        <f t="shared" si="18"/>
        <v>0</v>
      </c>
      <c r="E96">
        <f t="shared" si="19"/>
        <v>0</v>
      </c>
      <c r="F96" s="42">
        <f t="shared" si="20"/>
        <v>0</v>
      </c>
      <c r="G96" s="42">
        <f t="shared" si="21"/>
        <v>0</v>
      </c>
      <c r="H96" s="42">
        <f t="shared" si="22"/>
        <v>0.16449999999999998</v>
      </c>
      <c r="I96" s="42">
        <f t="shared" si="13"/>
        <v>-0.16449999999999998</v>
      </c>
      <c r="J96" s="43">
        <f>MIN('Výpočty '!$B$1*0.9, MAX('Výpočty '!$B$1*0.05, J95 + M96 - MIN(O96, MAX(0, J95 - ('Výpočty '!$B$1*0.1))) - P96))</f>
        <v>1.7627499999999987</v>
      </c>
      <c r="K96" s="46">
        <f>J96/'Výpočty '!$B$1</f>
        <v>8.8137499999999938E-2</v>
      </c>
      <c r="L96" s="42">
        <f t="shared" si="14"/>
        <v>0</v>
      </c>
      <c r="M96" s="42">
        <f t="shared" si="15"/>
        <v>0</v>
      </c>
      <c r="N96" s="42">
        <f t="shared" si="16"/>
        <v>0.18274999999999997</v>
      </c>
      <c r="O96" s="42">
        <f t="shared" si="23"/>
        <v>0.20305555555555552</v>
      </c>
      <c r="P96" s="42">
        <f t="shared" si="17"/>
        <v>1.8249999999999999E-2</v>
      </c>
    </row>
    <row r="97" spans="1:16" x14ac:dyDescent="0.3">
      <c r="A97" s="47">
        <f t="shared" si="24"/>
        <v>46208</v>
      </c>
      <c r="B97" s="49">
        <f t="shared" si="25"/>
        <v>0.9791666666666653</v>
      </c>
      <c r="C97" s="42">
        <f>'Červenec data'!V96+P97</f>
        <v>0.1145</v>
      </c>
      <c r="D97" s="42">
        <f t="shared" si="18"/>
        <v>0</v>
      </c>
      <c r="E97">
        <f t="shared" si="19"/>
        <v>0</v>
      </c>
      <c r="F97" s="42">
        <f t="shared" si="20"/>
        <v>0</v>
      </c>
      <c r="G97" s="42">
        <f t="shared" si="21"/>
        <v>0</v>
      </c>
      <c r="H97" s="42">
        <f t="shared" si="22"/>
        <v>0.1145</v>
      </c>
      <c r="I97" s="42">
        <f t="shared" si="13"/>
        <v>-0.1145</v>
      </c>
      <c r="J97" s="43">
        <f>MIN('Výpočty '!$B$1*0.9, MAX('Výpočty '!$B$1*0.05, J96 + M97 - MIN(O97, MAX(0, J96 - ('Výpočty '!$B$1*0.1))) - P97))</f>
        <v>1.7444999999999986</v>
      </c>
      <c r="K97" s="46">
        <f>J97/'Výpočty '!$B$1</f>
        <v>8.7224999999999928E-2</v>
      </c>
      <c r="L97" s="42">
        <f t="shared" si="14"/>
        <v>0</v>
      </c>
      <c r="M97" s="42">
        <f t="shared" si="15"/>
        <v>0</v>
      </c>
      <c r="N97" s="42">
        <f t="shared" si="16"/>
        <v>0.13275000000000001</v>
      </c>
      <c r="O97" s="42">
        <f t="shared" si="23"/>
        <v>0.14749999999999999</v>
      </c>
      <c r="P97" s="42">
        <f t="shared" si="17"/>
        <v>1.8249999999999999E-2</v>
      </c>
    </row>
    <row r="98" spans="1:16" x14ac:dyDescent="0.3">
      <c r="A98" s="47">
        <f t="shared" si="24"/>
        <v>46208</v>
      </c>
      <c r="B98" s="49">
        <f t="shared" si="25"/>
        <v>0.98958333333333193</v>
      </c>
      <c r="C98" s="42">
        <f>'Červenec data'!V97+P98</f>
        <v>5.2000000000000005E-2</v>
      </c>
      <c r="D98" s="42">
        <f t="shared" si="18"/>
        <v>0</v>
      </c>
      <c r="E98">
        <f t="shared" si="19"/>
        <v>0</v>
      </c>
      <c r="F98" s="42">
        <f t="shared" si="20"/>
        <v>0</v>
      </c>
      <c r="G98" s="42">
        <f t="shared" si="21"/>
        <v>0</v>
      </c>
      <c r="H98" s="42">
        <f>MAX(0, MIN(C98 - D98, N98 ))</f>
        <v>5.2000000000000005E-2</v>
      </c>
      <c r="I98" s="42">
        <f t="shared" si="13"/>
        <v>-5.2000000000000005E-2</v>
      </c>
      <c r="J98" s="43">
        <f>MIN('Výpočty '!$B$1*0.9, MAX('Výpočty '!$B$1*0.05, J97 + M98 - MIN(O98, MAX(0, J97 - ('Výpočty '!$B$1*0.1))) - P98))</f>
        <v>1.7262499999999985</v>
      </c>
      <c r="K98" s="46">
        <f>J98/'Výpočty '!$B$1</f>
        <v>8.6312499999999931E-2</v>
      </c>
      <c r="L98" s="42">
        <f t="shared" si="14"/>
        <v>0</v>
      </c>
      <c r="M98" s="42">
        <f t="shared" si="15"/>
        <v>0</v>
      </c>
      <c r="N98" s="42">
        <f t="shared" si="16"/>
        <v>7.0250000000000007E-2</v>
      </c>
      <c r="O98" s="42">
        <f t="shared" si="23"/>
        <v>7.8055555555555559E-2</v>
      </c>
      <c r="P98" s="42">
        <f t="shared" si="17"/>
        <v>1.8249999999999999E-2</v>
      </c>
    </row>
    <row r="99" spans="1:16" x14ac:dyDescent="0.3">
      <c r="A99" s="48" t="s">
        <v>5</v>
      </c>
      <c r="B99" s="48" t="s">
        <v>268</v>
      </c>
      <c r="C99" s="44">
        <f t="shared" ref="C99:D99" si="26">SUM(C3:C98)</f>
        <v>35.21074999999999</v>
      </c>
      <c r="D99" s="44">
        <f t="shared" si="26"/>
        <v>4.0179999999999998</v>
      </c>
      <c r="E99" s="4">
        <f>SUM(E3:E98)</f>
        <v>72.458000000000027</v>
      </c>
      <c r="F99" s="44">
        <f t="shared" ref="F99:I99" si="27">SUM(F3:F98)</f>
        <v>4.123000000000002</v>
      </c>
      <c r="G99" s="44">
        <f t="shared" si="27"/>
        <v>55.436903395061719</v>
      </c>
      <c r="H99" s="44">
        <f t="shared" si="27"/>
        <v>27.069749999999996</v>
      </c>
      <c r="I99" s="44">
        <f t="shared" si="27"/>
        <v>37.247250000000008</v>
      </c>
      <c r="J99" s="45">
        <f>J98</f>
        <v>1.7262499999999985</v>
      </c>
      <c r="K99" s="51">
        <f>K98</f>
        <v>8.6312499999999931E-2</v>
      </c>
      <c r="L99" s="44">
        <f>SUM(L3:L98)</f>
        <v>11.702786944444448</v>
      </c>
      <c r="M99" s="44">
        <f t="shared" ref="M99:P99" si="28">SUM(M3:M98)</f>
        <v>13.003096604938282</v>
      </c>
      <c r="N99" s="44">
        <f t="shared" si="28"/>
        <v>28.748750000000005</v>
      </c>
      <c r="O99" s="44">
        <f t="shared" si="28"/>
        <v>31.943055555555567</v>
      </c>
      <c r="P99" s="44">
        <f t="shared" si="28"/>
        <v>1.7520000000000036</v>
      </c>
    </row>
    <row r="102" spans="1:16" ht="23.4" x14ac:dyDescent="0.45">
      <c r="J102" s="69" t="s">
        <v>312</v>
      </c>
      <c r="K102" s="71">
        <f>MAX(J3:J98)</f>
        <v>18</v>
      </c>
      <c r="L102" s="97" t="s">
        <v>316</v>
      </c>
    </row>
    <row r="103" spans="1:16" ht="23.4" x14ac:dyDescent="0.45">
      <c r="J103" s="69" t="s">
        <v>313</v>
      </c>
      <c r="K103" s="71">
        <f>MIN(J3:J98)</f>
        <v>1.7262499999999985</v>
      </c>
      <c r="L103" s="97"/>
    </row>
    <row r="104" spans="1:16" ht="23.4" x14ac:dyDescent="0.45">
      <c r="J104" s="69" t="s">
        <v>314</v>
      </c>
      <c r="K104" s="71">
        <f>J98 -J2</f>
        <v>-13.273750000000001</v>
      </c>
      <c r="L104" s="97"/>
    </row>
    <row r="105" spans="1:16" ht="23.4" x14ac:dyDescent="0.45">
      <c r="J105" s="69" t="s">
        <v>315</v>
      </c>
      <c r="K105" s="71">
        <f>MAX(J3:J98) - MIN(J3:J98)</f>
        <v>16.27375</v>
      </c>
      <c r="L105" s="97"/>
    </row>
    <row r="108" spans="1:16" x14ac:dyDescent="0.3">
      <c r="D108" s="2" t="s">
        <v>72</v>
      </c>
      <c r="E108" s="72">
        <f ca="1">SUM(OFFSET('Červenec data'!$D$2:$D$97, 0, ROW(A1)-1))</f>
        <v>7.5</v>
      </c>
      <c r="F108" s="80" t="s">
        <v>316</v>
      </c>
    </row>
    <row r="109" spans="1:16" x14ac:dyDescent="0.3">
      <c r="D109" s="2" t="s">
        <v>181</v>
      </c>
      <c r="E109" s="72">
        <f ca="1">SUM(OFFSET('Červenec data'!$D$2:$D$97, 0, ROW(A2)-1))</f>
        <v>3.3750000000000002E-2</v>
      </c>
      <c r="F109" s="80"/>
    </row>
    <row r="110" spans="1:16" x14ac:dyDescent="0.3">
      <c r="D110" s="2" t="s">
        <v>180</v>
      </c>
      <c r="E110" s="72">
        <f ca="1">SUM(OFFSET('Červenec data'!$D$2:$D$97, 0, ROW(A3)-1))</f>
        <v>0.3450000000000002</v>
      </c>
      <c r="F110" s="80"/>
    </row>
    <row r="111" spans="1:16" x14ac:dyDescent="0.3">
      <c r="D111" s="2" t="s">
        <v>179</v>
      </c>
      <c r="E111" s="72">
        <f ca="1">SUM(OFFSET('Červenec data'!$D$2:$D$97, 0, ROW(A4)-1))</f>
        <v>12</v>
      </c>
      <c r="F111" s="80"/>
    </row>
    <row r="112" spans="1:16" x14ac:dyDescent="0.3">
      <c r="D112" s="2" t="s">
        <v>178</v>
      </c>
      <c r="E112" s="72">
        <f ca="1">SUM(OFFSET('Červenec data'!$D$2:$D$97, 0, ROW(A5)-1))</f>
        <v>1.875</v>
      </c>
      <c r="F112" s="80"/>
    </row>
    <row r="113" spans="4:6" x14ac:dyDescent="0.3">
      <c r="D113" s="2" t="s">
        <v>177</v>
      </c>
      <c r="E113" s="72">
        <f ca="1">SUM(OFFSET('Červenec data'!$D$2:$D$97, 0, ROW(A6)-1))</f>
        <v>5.25</v>
      </c>
      <c r="F113" s="80"/>
    </row>
    <row r="114" spans="4:6" x14ac:dyDescent="0.3">
      <c r="D114" s="2" t="s">
        <v>60</v>
      </c>
      <c r="E114" s="72">
        <f ca="1">SUM(OFFSET('Červenec data'!$D$2:$D$97, 0, ROW(A7)-1))</f>
        <v>0.63749999999999984</v>
      </c>
      <c r="F114" s="80"/>
    </row>
    <row r="115" spans="4:6" x14ac:dyDescent="0.3">
      <c r="D115" s="2" t="s">
        <v>176</v>
      </c>
      <c r="E115" s="72">
        <f ca="1">SUM(OFFSET('Červenec data'!$D$2:$D$97, 0, ROW(A8)-1))</f>
        <v>0.9375</v>
      </c>
      <c r="F115" s="80"/>
    </row>
    <row r="116" spans="4:6" x14ac:dyDescent="0.3">
      <c r="D116" s="2" t="s">
        <v>39</v>
      </c>
      <c r="E116" s="72">
        <f ca="1">SUM(OFFSET('Červenec data'!$D$2:$D$97, 0, ROW(A9)-1))</f>
        <v>0</v>
      </c>
      <c r="F116" s="80"/>
    </row>
    <row r="117" spans="4:6" x14ac:dyDescent="0.3">
      <c r="D117" s="2" t="s">
        <v>36</v>
      </c>
      <c r="E117" s="72">
        <f ca="1">SUM(OFFSET('Červenec data'!$D$2:$D$97, 0, ROW(A10)-1))</f>
        <v>0</v>
      </c>
      <c r="F117" s="80"/>
    </row>
    <row r="118" spans="4:6" x14ac:dyDescent="0.3">
      <c r="D118" s="2" t="s">
        <v>41</v>
      </c>
      <c r="E118" s="72">
        <f ca="1">SUM(OFFSET('Červenec data'!$D$2:$D$97, 0, ROW(A11)-1))</f>
        <v>2.75</v>
      </c>
      <c r="F118" s="80"/>
    </row>
    <row r="119" spans="4:6" x14ac:dyDescent="0.3">
      <c r="D119" s="2" t="s">
        <v>175</v>
      </c>
      <c r="E119" s="72">
        <f ca="1">SUM(OFFSET('Červenec data'!$D$2:$D$97, 0, ROW(A12)-1))</f>
        <v>7.0000000000000007E-2</v>
      </c>
      <c r="F119" s="80"/>
    </row>
    <row r="120" spans="4:6" x14ac:dyDescent="0.3">
      <c r="D120" s="2" t="s">
        <v>64</v>
      </c>
      <c r="E120" s="72">
        <f ca="1">SUM(OFFSET('Červenec data'!$D$2:$D$97, 0, ROW(A13)-1))</f>
        <v>0.16000000000000006</v>
      </c>
      <c r="F120" s="80"/>
    </row>
    <row r="121" spans="4:6" x14ac:dyDescent="0.3">
      <c r="D121" s="2" t="s">
        <v>62</v>
      </c>
      <c r="E121" s="72">
        <f ca="1">SUM(OFFSET('Červenec data'!$D$2:$D$97, 0, ROW(A14)-1))</f>
        <v>0.3</v>
      </c>
      <c r="F121" s="80"/>
    </row>
    <row r="122" spans="4:6" x14ac:dyDescent="0.3">
      <c r="D122" s="2" t="s">
        <v>174</v>
      </c>
      <c r="E122" s="72">
        <f ca="1">SUM(OFFSET('Červenec data'!$D$2:$D$97, 0, ROW(A15)-1))</f>
        <v>9.7500000000000003E-2</v>
      </c>
      <c r="F122" s="80"/>
    </row>
    <row r="123" spans="4:6" x14ac:dyDescent="0.3">
      <c r="D123" s="2" t="s">
        <v>173</v>
      </c>
      <c r="E123" s="72">
        <f ca="1">SUM(OFFSET('Červenec data'!$D$2:$D$97, 0, ROW(A16)-1))</f>
        <v>0.4250000000000001</v>
      </c>
      <c r="F123" s="80"/>
    </row>
    <row r="124" spans="4:6" x14ac:dyDescent="0.3">
      <c r="D124" s="2" t="s">
        <v>172</v>
      </c>
      <c r="E124" s="72">
        <f ca="1">SUM(OFFSET('Červenec data'!$D$2:$D$97, 0, ROW(A17)-1))</f>
        <v>0.32</v>
      </c>
      <c r="F124" s="80"/>
    </row>
    <row r="125" spans="4:6" x14ac:dyDescent="0.3">
      <c r="D125" s="2" t="s">
        <v>171</v>
      </c>
      <c r="E125" s="72">
        <f ca="1">SUM(OFFSET('Červenec data'!$D$2:$D$97, 0, ROW(A18)-1))</f>
        <v>3.7499999999999999E-2</v>
      </c>
      <c r="F125" s="80"/>
    </row>
  </sheetData>
  <mergeCells count="4">
    <mergeCell ref="A1:A2"/>
    <mergeCell ref="B1:B2"/>
    <mergeCell ref="L102:L105"/>
    <mergeCell ref="F108:F125"/>
  </mergeCells>
  <conditionalFormatting sqref="H100:H1048576">
    <cfRule type="cellIs" dxfId="28" priority="21" operator="lessThan">
      <formula>0</formula>
    </cfRule>
  </conditionalFormatting>
  <conditionalFormatting sqref="I1:I99">
    <cfRule type="cellIs" dxfId="27" priority="7" operator="lessThan">
      <formula>0</formula>
    </cfRule>
  </conditionalFormatting>
  <conditionalFormatting sqref="I3:I99">
    <cfRule type="cellIs" dxfId="26" priority="5" operator="lessThan">
      <formula>0</formula>
    </cfRule>
    <cfRule type="cellIs" dxfId="25" priority="6" operator="greaterThan">
      <formula>0</formula>
    </cfRule>
  </conditionalFormatting>
  <conditionalFormatting sqref="J3:J98">
    <cfRule type="expression" dxfId="24" priority="2">
      <formula>J3&lt;Kapacita_baterie*Soc_Min</formula>
    </cfRule>
    <cfRule type="expression" dxfId="23" priority="3">
      <formula>J3=Kapacita_baterie*Soc_Min</formula>
    </cfRule>
    <cfRule type="expression" dxfId="22" priority="4">
      <formula>J3&gt;=Kapacita_baterie*Soc_Max</formula>
    </cfRule>
  </conditionalFormatting>
  <conditionalFormatting sqref="J102">
    <cfRule type="cellIs" dxfId="21" priority="1" operator="lessThan">
      <formula>0</formula>
    </cfRule>
  </conditionalFormatting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BF52-89AA-4E54-8634-768EC95D65B0}">
  <sheetPr>
    <tabColor rgb="FFFF0000"/>
  </sheetPr>
  <dimension ref="A1:V133"/>
  <sheetViews>
    <sheetView topLeftCell="A93" zoomScale="68" zoomScaleNormal="68" workbookViewId="0">
      <selection activeCell="V2" sqref="V2:V97"/>
    </sheetView>
  </sheetViews>
  <sheetFormatPr defaultRowHeight="14.4" x14ac:dyDescent="0.3"/>
  <cols>
    <col min="1" max="1" width="13.6640625" customWidth="1"/>
    <col min="3" max="3" width="36.44140625" customWidth="1"/>
    <col min="4" max="4" width="35.33203125" customWidth="1"/>
    <col min="5" max="5" width="13.6640625" customWidth="1"/>
    <col min="6" max="6" width="17.109375" customWidth="1"/>
    <col min="7" max="7" width="16.6640625" customWidth="1"/>
    <col min="8" max="8" width="12.109375" customWidth="1"/>
    <col min="9" max="9" width="17.44140625" customWidth="1"/>
    <col min="15" max="15" width="11.6640625" customWidth="1"/>
    <col min="16" max="16" width="11.5546875" customWidth="1"/>
    <col min="17" max="17" width="17.44140625" customWidth="1"/>
    <col min="19" max="19" width="12.5546875" customWidth="1"/>
    <col min="20" max="20" width="13.33203125" customWidth="1"/>
    <col min="22" max="22" width="21.6640625" customWidth="1"/>
  </cols>
  <sheetData>
    <row r="1" spans="1:22" x14ac:dyDescent="0.3">
      <c r="A1" s="17" t="s">
        <v>184</v>
      </c>
      <c r="B1" s="17" t="s">
        <v>183</v>
      </c>
      <c r="C1" s="38" t="s">
        <v>182</v>
      </c>
      <c r="D1" s="38" t="s">
        <v>72</v>
      </c>
      <c r="E1" s="38" t="s">
        <v>181</v>
      </c>
      <c r="F1" s="38" t="s">
        <v>180</v>
      </c>
      <c r="G1" s="39" t="s">
        <v>179</v>
      </c>
      <c r="H1" s="38" t="s">
        <v>178</v>
      </c>
      <c r="I1" s="38" t="s">
        <v>177</v>
      </c>
      <c r="J1" s="38" t="s">
        <v>60</v>
      </c>
      <c r="K1" s="38" t="s">
        <v>176</v>
      </c>
      <c r="L1" s="38" t="s">
        <v>39</v>
      </c>
      <c r="M1" s="38" t="s">
        <v>36</v>
      </c>
      <c r="N1" s="38" t="s">
        <v>41</v>
      </c>
      <c r="O1" s="38" t="s">
        <v>175</v>
      </c>
      <c r="P1" s="38" t="s">
        <v>64</v>
      </c>
      <c r="Q1" s="38" t="s">
        <v>62</v>
      </c>
      <c r="R1" s="38" t="s">
        <v>174</v>
      </c>
      <c r="S1" s="38" t="s">
        <v>173</v>
      </c>
      <c r="T1" s="37" t="s">
        <v>172</v>
      </c>
      <c r="U1" s="37" t="s">
        <v>171</v>
      </c>
      <c r="V1" s="37" t="s">
        <v>170</v>
      </c>
    </row>
    <row r="2" spans="1:22" x14ac:dyDescent="0.3">
      <c r="A2" s="19">
        <v>46208</v>
      </c>
      <c r="B2" s="19" t="s">
        <v>169</v>
      </c>
      <c r="C2" s="4">
        <v>7.4999999999999997E-3</v>
      </c>
      <c r="D2" s="4">
        <v>0</v>
      </c>
      <c r="E2" s="4">
        <v>0</v>
      </c>
      <c r="F2" s="4">
        <v>1.4999999999999999E-2</v>
      </c>
      <c r="G2" s="4">
        <v>0</v>
      </c>
      <c r="H2" s="4">
        <v>0</v>
      </c>
      <c r="I2" s="4">
        <v>0</v>
      </c>
      <c r="J2" s="4">
        <v>2.1250000000000002E-2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30">
        <f>C2+D2+E2+F2+G2+H2+I2+J2+K2+L2+M2+N2+O2+P2+Q2+R2+S2+T2+U2</f>
        <v>4.3749999999999997E-2</v>
      </c>
    </row>
    <row r="3" spans="1:22" x14ac:dyDescent="0.3">
      <c r="A3" s="19">
        <v>46208</v>
      </c>
      <c r="B3" s="19" t="s">
        <v>168</v>
      </c>
      <c r="C3" s="4">
        <v>7.4999999999999997E-3</v>
      </c>
      <c r="D3" s="4">
        <v>0</v>
      </c>
      <c r="E3" s="4">
        <v>0</v>
      </c>
      <c r="F3" s="4">
        <v>1.4999999999999999E-2</v>
      </c>
      <c r="G3" s="4">
        <v>0</v>
      </c>
      <c r="H3" s="4">
        <v>0</v>
      </c>
      <c r="I3" s="4">
        <v>0</v>
      </c>
      <c r="J3" s="4">
        <v>2.1250000000000002E-2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0">
        <f t="shared" ref="V3:V66" si="0">C3+D3+E3+F3+G3+H3+I3+J3+K3+L3+M3+N3+O3+P3+Q3+R3+S3+T3+U3</f>
        <v>4.3749999999999997E-2</v>
      </c>
    </row>
    <row r="4" spans="1:22" x14ac:dyDescent="0.3">
      <c r="A4" s="19">
        <v>46208</v>
      </c>
      <c r="B4" s="19" t="s">
        <v>167</v>
      </c>
      <c r="C4" s="4">
        <v>7.4999999999999997E-3</v>
      </c>
      <c r="D4" s="4">
        <v>0</v>
      </c>
      <c r="E4" s="4">
        <v>0</v>
      </c>
      <c r="F4" s="4">
        <v>1.4999999999999999E-2</v>
      </c>
      <c r="G4" s="4">
        <v>0</v>
      </c>
      <c r="H4" s="4">
        <v>0</v>
      </c>
      <c r="I4" s="4">
        <v>0</v>
      </c>
      <c r="J4" s="4">
        <v>2.1250000000000002E-2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30">
        <f t="shared" si="0"/>
        <v>4.3749999999999997E-2</v>
      </c>
    </row>
    <row r="5" spans="1:22" x14ac:dyDescent="0.3">
      <c r="A5" s="19">
        <v>46208</v>
      </c>
      <c r="B5" s="19" t="s">
        <v>166</v>
      </c>
      <c r="C5" s="4">
        <v>7.4999999999999997E-3</v>
      </c>
      <c r="D5" s="4">
        <v>0</v>
      </c>
      <c r="E5" s="4">
        <v>0</v>
      </c>
      <c r="F5" s="4">
        <v>1.4999999999999999E-2</v>
      </c>
      <c r="G5" s="4">
        <v>0</v>
      </c>
      <c r="H5" s="4">
        <v>0</v>
      </c>
      <c r="I5" s="4">
        <v>0</v>
      </c>
      <c r="J5" s="4">
        <v>2.1250000000000002E-2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30">
        <f t="shared" si="0"/>
        <v>4.3749999999999997E-2</v>
      </c>
    </row>
    <row r="6" spans="1:22" x14ac:dyDescent="0.3">
      <c r="A6" s="19">
        <v>46208</v>
      </c>
      <c r="B6" s="19" t="s">
        <v>165</v>
      </c>
      <c r="C6" s="4">
        <v>7.4999999999999997E-3</v>
      </c>
      <c r="D6" s="4">
        <v>0</v>
      </c>
      <c r="E6" s="4">
        <v>0</v>
      </c>
      <c r="F6" s="4">
        <v>1.4999999999999999E-2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0">
        <f t="shared" si="0"/>
        <v>2.2499999999999999E-2</v>
      </c>
    </row>
    <row r="7" spans="1:22" x14ac:dyDescent="0.3">
      <c r="A7" s="19">
        <v>46208</v>
      </c>
      <c r="B7" s="19" t="s">
        <v>164</v>
      </c>
      <c r="C7" s="4">
        <v>7.4999999999999997E-3</v>
      </c>
      <c r="D7" s="4">
        <v>0</v>
      </c>
      <c r="E7" s="4">
        <v>0</v>
      </c>
      <c r="F7" s="4">
        <v>1.4999999999999999E-2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30">
        <f t="shared" si="0"/>
        <v>2.2499999999999999E-2</v>
      </c>
    </row>
    <row r="8" spans="1:22" x14ac:dyDescent="0.3">
      <c r="A8" s="19">
        <v>46208</v>
      </c>
      <c r="B8" s="19" t="s">
        <v>163</v>
      </c>
      <c r="C8" s="4">
        <v>7.4999999999999997E-3</v>
      </c>
      <c r="D8" s="4">
        <v>0</v>
      </c>
      <c r="E8" s="4">
        <v>0</v>
      </c>
      <c r="F8" s="4">
        <v>1.4999999999999999E-2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30">
        <f t="shared" si="0"/>
        <v>2.2499999999999999E-2</v>
      </c>
    </row>
    <row r="9" spans="1:22" x14ac:dyDescent="0.3">
      <c r="A9" s="19">
        <v>46208</v>
      </c>
      <c r="B9" s="19" t="s">
        <v>162</v>
      </c>
      <c r="C9" s="4">
        <v>7.4999999999999997E-3</v>
      </c>
      <c r="D9" s="4">
        <v>0</v>
      </c>
      <c r="E9" s="4">
        <v>0</v>
      </c>
      <c r="F9" s="4">
        <v>1.4999999999999999E-2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0">
        <f t="shared" si="0"/>
        <v>2.2499999999999999E-2</v>
      </c>
    </row>
    <row r="10" spans="1:22" x14ac:dyDescent="0.3">
      <c r="A10" s="19">
        <v>46208</v>
      </c>
      <c r="B10" s="36" t="s">
        <v>161</v>
      </c>
      <c r="C10" s="68">
        <v>7.4999999999999997E-3</v>
      </c>
      <c r="D10" s="68">
        <v>0</v>
      </c>
      <c r="E10" s="68">
        <v>0</v>
      </c>
      <c r="F10" s="68">
        <v>1.4999999999999999E-2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30">
        <f t="shared" si="0"/>
        <v>2.2499999999999999E-2</v>
      </c>
    </row>
    <row r="11" spans="1:22" x14ac:dyDescent="0.3">
      <c r="A11" s="19">
        <v>46208</v>
      </c>
      <c r="B11" s="36" t="s">
        <v>160</v>
      </c>
      <c r="C11" s="68">
        <v>7.4999999999999997E-3</v>
      </c>
      <c r="D11" s="68">
        <v>0</v>
      </c>
      <c r="E11" s="68">
        <v>0</v>
      </c>
      <c r="F11" s="68">
        <v>1.4999999999999999E-2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30">
        <f t="shared" si="0"/>
        <v>2.2499999999999999E-2</v>
      </c>
    </row>
    <row r="12" spans="1:22" x14ac:dyDescent="0.3">
      <c r="A12" s="19">
        <v>46208</v>
      </c>
      <c r="B12" s="36" t="s">
        <v>159</v>
      </c>
      <c r="C12" s="68">
        <v>7.4999999999999997E-3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30">
        <f t="shared" si="0"/>
        <v>7.4999999999999997E-3</v>
      </c>
    </row>
    <row r="13" spans="1:22" x14ac:dyDescent="0.3">
      <c r="A13" s="19">
        <v>46208</v>
      </c>
      <c r="B13" s="36" t="s">
        <v>158</v>
      </c>
      <c r="C13" s="68">
        <v>7.4999999999999997E-3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30">
        <f t="shared" si="0"/>
        <v>7.4999999999999997E-3</v>
      </c>
    </row>
    <row r="14" spans="1:22" x14ac:dyDescent="0.3">
      <c r="A14" s="19">
        <v>46208</v>
      </c>
      <c r="B14" s="36" t="s">
        <v>157</v>
      </c>
      <c r="C14" s="68">
        <v>7.4999999999999997E-3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30">
        <f t="shared" si="0"/>
        <v>7.4999999999999997E-3</v>
      </c>
    </row>
    <row r="15" spans="1:22" x14ac:dyDescent="0.3">
      <c r="A15" s="19">
        <v>46208</v>
      </c>
      <c r="B15" s="36" t="s">
        <v>156</v>
      </c>
      <c r="C15" s="68">
        <v>7.4999999999999997E-3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30">
        <f t="shared" si="0"/>
        <v>7.4999999999999997E-3</v>
      </c>
    </row>
    <row r="16" spans="1:22" x14ac:dyDescent="0.3">
      <c r="A16" s="19">
        <v>46208</v>
      </c>
      <c r="B16" s="36" t="s">
        <v>155</v>
      </c>
      <c r="C16" s="68">
        <v>7.4999999999999997E-3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30">
        <f t="shared" si="0"/>
        <v>7.4999999999999997E-3</v>
      </c>
    </row>
    <row r="17" spans="1:22" x14ac:dyDescent="0.3">
      <c r="A17" s="19">
        <v>46208</v>
      </c>
      <c r="B17" s="36" t="s">
        <v>154</v>
      </c>
      <c r="C17" s="68">
        <v>7.4999999999999997E-3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30">
        <f t="shared" si="0"/>
        <v>7.4999999999999997E-3</v>
      </c>
    </row>
    <row r="18" spans="1:22" x14ac:dyDescent="0.3">
      <c r="A18" s="19">
        <v>46208</v>
      </c>
      <c r="B18" s="36" t="s">
        <v>153</v>
      </c>
      <c r="C18" s="68">
        <v>7.4999999999999997E-3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30">
        <f t="shared" si="0"/>
        <v>7.4999999999999997E-3</v>
      </c>
    </row>
    <row r="19" spans="1:22" x14ac:dyDescent="0.3">
      <c r="A19" s="19">
        <v>46208</v>
      </c>
      <c r="B19" s="36" t="s">
        <v>152</v>
      </c>
      <c r="C19" s="68">
        <v>7.4999999999999997E-3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30">
        <f t="shared" si="0"/>
        <v>7.4999999999999997E-3</v>
      </c>
    </row>
    <row r="20" spans="1:22" x14ac:dyDescent="0.3">
      <c r="A20" s="19">
        <v>46208</v>
      </c>
      <c r="B20" s="36" t="s">
        <v>151</v>
      </c>
      <c r="C20" s="68">
        <v>7.4999999999999997E-3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30">
        <f t="shared" si="0"/>
        <v>7.4999999999999997E-3</v>
      </c>
    </row>
    <row r="21" spans="1:22" x14ac:dyDescent="0.3">
      <c r="A21" s="19">
        <v>46208</v>
      </c>
      <c r="B21" s="36" t="s">
        <v>150</v>
      </c>
      <c r="C21" s="68">
        <v>7.4999999999999997E-3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30">
        <f t="shared" si="0"/>
        <v>7.4999999999999997E-3</v>
      </c>
    </row>
    <row r="22" spans="1:22" x14ac:dyDescent="0.3">
      <c r="A22" s="19">
        <v>46208</v>
      </c>
      <c r="B22" s="36" t="s">
        <v>149</v>
      </c>
      <c r="C22" s="68">
        <v>7.4999999999999997E-3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30">
        <f t="shared" si="0"/>
        <v>7.4999999999999997E-3</v>
      </c>
    </row>
    <row r="23" spans="1:22" x14ac:dyDescent="0.3">
      <c r="A23" s="19">
        <v>46208</v>
      </c>
      <c r="B23" s="36" t="s">
        <v>148</v>
      </c>
      <c r="C23" s="68">
        <v>7.4999999999999997E-3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30">
        <f t="shared" si="0"/>
        <v>7.4999999999999997E-3</v>
      </c>
    </row>
    <row r="24" spans="1:22" x14ac:dyDescent="0.3">
      <c r="A24" s="19">
        <v>46208</v>
      </c>
      <c r="B24" s="36" t="s">
        <v>147</v>
      </c>
      <c r="C24" s="68">
        <v>7.4999999999999997E-3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30">
        <f t="shared" si="0"/>
        <v>7.4999999999999997E-3</v>
      </c>
    </row>
    <row r="25" spans="1:22" x14ac:dyDescent="0.3">
      <c r="A25" s="19">
        <v>46208</v>
      </c>
      <c r="B25" s="36" t="s">
        <v>146</v>
      </c>
      <c r="C25" s="68">
        <v>7.4999999999999997E-3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30">
        <f t="shared" si="0"/>
        <v>7.4999999999999997E-3</v>
      </c>
    </row>
    <row r="26" spans="1:22" x14ac:dyDescent="0.3">
      <c r="A26" s="19">
        <v>46208</v>
      </c>
      <c r="B26" s="36" t="s">
        <v>145</v>
      </c>
      <c r="C26" s="68">
        <v>7.4999999999999997E-3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30">
        <f t="shared" si="0"/>
        <v>7.4999999999999997E-3</v>
      </c>
    </row>
    <row r="27" spans="1:22" x14ac:dyDescent="0.3">
      <c r="A27" s="19">
        <v>46208</v>
      </c>
      <c r="B27" s="19" t="s">
        <v>144</v>
      </c>
      <c r="C27" s="4">
        <v>7.4999999999999997E-3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0">
        <f t="shared" si="0"/>
        <v>7.4999999999999997E-3</v>
      </c>
    </row>
    <row r="28" spans="1:22" x14ac:dyDescent="0.3">
      <c r="A28" s="19">
        <v>46208</v>
      </c>
      <c r="B28" s="19" t="s">
        <v>143</v>
      </c>
      <c r="C28" s="4">
        <v>7.4999999999999997E-3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0">
        <f t="shared" si="0"/>
        <v>7.4999999999999997E-3</v>
      </c>
    </row>
    <row r="29" spans="1:22" x14ac:dyDescent="0.3">
      <c r="A29" s="19">
        <v>46208</v>
      </c>
      <c r="B29" s="19" t="s">
        <v>142</v>
      </c>
      <c r="C29" s="4">
        <v>7.4999999999999997E-3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5.0000000000000001E-3</v>
      </c>
      <c r="Q29" s="4">
        <v>0.05</v>
      </c>
      <c r="R29" s="4">
        <v>0</v>
      </c>
      <c r="S29" s="4">
        <v>0</v>
      </c>
      <c r="T29" s="4">
        <v>0</v>
      </c>
      <c r="U29" s="4">
        <v>0</v>
      </c>
      <c r="V29" s="30">
        <f t="shared" si="0"/>
        <v>6.25E-2</v>
      </c>
    </row>
    <row r="30" spans="1:22" x14ac:dyDescent="0.3">
      <c r="A30" s="19">
        <v>46208</v>
      </c>
      <c r="B30" s="35" t="s">
        <v>141</v>
      </c>
      <c r="C30" s="4">
        <v>7.4999999999999997E-3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5.0000000000000001E-3</v>
      </c>
      <c r="Q30" s="4">
        <v>0.05</v>
      </c>
      <c r="R30" s="4">
        <v>0</v>
      </c>
      <c r="S30" s="4">
        <v>0</v>
      </c>
      <c r="T30" s="4">
        <v>0.16</v>
      </c>
      <c r="U30" s="4">
        <v>0</v>
      </c>
      <c r="V30" s="30">
        <f t="shared" si="0"/>
        <v>0.2225</v>
      </c>
    </row>
    <row r="31" spans="1:22" x14ac:dyDescent="0.3">
      <c r="A31" s="19">
        <v>46208</v>
      </c>
      <c r="B31" s="35" t="s">
        <v>140</v>
      </c>
      <c r="C31" s="4">
        <v>7.4999999999999997E-3</v>
      </c>
      <c r="D31" s="4">
        <v>0</v>
      </c>
      <c r="E31" s="4">
        <v>0</v>
      </c>
      <c r="F31" s="4">
        <v>0</v>
      </c>
      <c r="G31" s="4">
        <v>1.5</v>
      </c>
      <c r="H31" s="4">
        <v>0.375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5.0000000000000001E-3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30">
        <f t="shared" si="0"/>
        <v>1.8875</v>
      </c>
    </row>
    <row r="32" spans="1:22" x14ac:dyDescent="0.3">
      <c r="A32" s="19">
        <v>46208</v>
      </c>
      <c r="B32" s="35" t="s">
        <v>139</v>
      </c>
      <c r="C32" s="4">
        <v>7.4999999999999997E-3</v>
      </c>
      <c r="D32" s="4">
        <v>0</v>
      </c>
      <c r="E32" s="4">
        <v>0</v>
      </c>
      <c r="F32" s="4">
        <v>0</v>
      </c>
      <c r="G32" s="4">
        <v>1.5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5.0000000000000001E-3</v>
      </c>
      <c r="Q32" s="4">
        <v>0</v>
      </c>
      <c r="R32" s="4">
        <v>3.2500000000000001E-2</v>
      </c>
      <c r="S32" s="4">
        <v>0</v>
      </c>
      <c r="T32" s="4">
        <v>0</v>
      </c>
      <c r="U32" s="4">
        <v>0</v>
      </c>
      <c r="V32" s="30">
        <f t="shared" si="0"/>
        <v>1.5449999999999999</v>
      </c>
    </row>
    <row r="33" spans="1:22" x14ac:dyDescent="0.3">
      <c r="A33" s="19">
        <v>46208</v>
      </c>
      <c r="B33" s="35" t="s">
        <v>138</v>
      </c>
      <c r="C33" s="4">
        <v>7.4999999999999997E-3</v>
      </c>
      <c r="D33" s="4">
        <v>0</v>
      </c>
      <c r="E33" s="4">
        <v>0</v>
      </c>
      <c r="F33" s="4">
        <v>0</v>
      </c>
      <c r="G33" s="4">
        <v>1.5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5.0000000000000001E-3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30">
        <f t="shared" si="0"/>
        <v>1.5125</v>
      </c>
    </row>
    <row r="34" spans="1:22" x14ac:dyDescent="0.3">
      <c r="A34" s="19">
        <v>46208</v>
      </c>
      <c r="B34" s="35" t="s">
        <v>137</v>
      </c>
      <c r="C34" s="4">
        <v>7.4999999999999997E-3</v>
      </c>
      <c r="D34" s="4">
        <v>0</v>
      </c>
      <c r="E34" s="4">
        <v>0</v>
      </c>
      <c r="F34" s="4">
        <v>0</v>
      </c>
      <c r="G34" s="4">
        <v>1.5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5.0000000000000001E-3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30">
        <f t="shared" si="0"/>
        <v>1.5125</v>
      </c>
    </row>
    <row r="35" spans="1:22" x14ac:dyDescent="0.3">
      <c r="A35" s="19">
        <v>46208</v>
      </c>
      <c r="B35" s="19" t="s">
        <v>136</v>
      </c>
      <c r="C35" s="4">
        <v>7.4999999999999997E-3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5.0000000000000001E-3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30">
        <f t="shared" si="0"/>
        <v>1.2500000000000001E-2</v>
      </c>
    </row>
    <row r="36" spans="1:22" x14ac:dyDescent="0.3">
      <c r="A36" s="19">
        <v>46208</v>
      </c>
      <c r="B36" s="19" t="s">
        <v>135</v>
      </c>
      <c r="C36" s="4">
        <v>7.4999999999999997E-3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5.0000000000000001E-3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30">
        <f t="shared" si="0"/>
        <v>1.2500000000000001E-2</v>
      </c>
    </row>
    <row r="37" spans="1:22" x14ac:dyDescent="0.3">
      <c r="A37" s="19">
        <v>46208</v>
      </c>
      <c r="B37" s="19" t="s">
        <v>134</v>
      </c>
      <c r="C37" s="4">
        <v>7.4999999999999997E-3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5.0000000000000001E-3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30">
        <f t="shared" si="0"/>
        <v>1.2500000000000001E-2</v>
      </c>
    </row>
    <row r="38" spans="1:22" x14ac:dyDescent="0.3">
      <c r="A38" s="19">
        <v>46208</v>
      </c>
      <c r="B38" s="19" t="s">
        <v>133</v>
      </c>
      <c r="C38" s="4">
        <v>7.4999999999999997E-3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30">
        <f t="shared" si="0"/>
        <v>7.4999999999999997E-3</v>
      </c>
    </row>
    <row r="39" spans="1:22" x14ac:dyDescent="0.3">
      <c r="A39" s="19">
        <v>46208</v>
      </c>
      <c r="B39" s="19" t="s">
        <v>132</v>
      </c>
      <c r="C39" s="4">
        <v>7.4999999999999997E-3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30">
        <f t="shared" si="0"/>
        <v>7.4999999999999997E-3</v>
      </c>
    </row>
    <row r="40" spans="1:22" x14ac:dyDescent="0.3">
      <c r="A40" s="19">
        <v>46208</v>
      </c>
      <c r="B40" s="19" t="s">
        <v>131</v>
      </c>
      <c r="C40" s="4">
        <v>7.4999999999999997E-3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30">
        <f t="shared" si="0"/>
        <v>7.4999999999999997E-3</v>
      </c>
    </row>
    <row r="41" spans="1:22" x14ac:dyDescent="0.3">
      <c r="A41" s="19">
        <v>46208</v>
      </c>
      <c r="B41" s="19" t="s">
        <v>130</v>
      </c>
      <c r="C41" s="4">
        <v>7.4999999999999997E-3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30">
        <f t="shared" si="0"/>
        <v>7.4999999999999997E-3</v>
      </c>
    </row>
    <row r="42" spans="1:22" x14ac:dyDescent="0.3">
      <c r="A42" s="19">
        <v>46208</v>
      </c>
      <c r="B42" s="19" t="s">
        <v>129</v>
      </c>
      <c r="C42" s="4">
        <v>7.4999999999999997E-3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30">
        <f t="shared" si="0"/>
        <v>7.4999999999999997E-3</v>
      </c>
    </row>
    <row r="43" spans="1:22" x14ac:dyDescent="0.3">
      <c r="A43" s="19">
        <v>46208</v>
      </c>
      <c r="B43" s="19" t="s">
        <v>128</v>
      </c>
      <c r="C43" s="4">
        <v>7.4999999999999997E-3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30">
        <f t="shared" si="0"/>
        <v>7.4999999999999997E-3</v>
      </c>
    </row>
    <row r="44" spans="1:22" x14ac:dyDescent="0.3">
      <c r="A44" s="19">
        <v>46208</v>
      </c>
      <c r="B44" s="19" t="s">
        <v>127</v>
      </c>
      <c r="C44" s="4">
        <v>7.4999999999999997E-3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0">
        <f t="shared" si="0"/>
        <v>7.4999999999999997E-3</v>
      </c>
    </row>
    <row r="45" spans="1:22" x14ac:dyDescent="0.3">
      <c r="A45" s="19">
        <v>46208</v>
      </c>
      <c r="B45" s="19" t="s">
        <v>126</v>
      </c>
      <c r="C45" s="4">
        <v>7.4999999999999997E-3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30">
        <f t="shared" si="0"/>
        <v>7.4999999999999997E-3</v>
      </c>
    </row>
    <row r="46" spans="1:22" x14ac:dyDescent="0.3">
      <c r="A46" s="19">
        <v>46208</v>
      </c>
      <c r="B46" s="36" t="s">
        <v>125</v>
      </c>
      <c r="C46" s="68">
        <v>7.4999999999999997E-3</v>
      </c>
      <c r="D46" s="68">
        <v>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30">
        <f t="shared" si="0"/>
        <v>7.4999999999999997E-3</v>
      </c>
    </row>
    <row r="47" spans="1:22" x14ac:dyDescent="0.3">
      <c r="A47" s="19">
        <v>46208</v>
      </c>
      <c r="B47" s="36" t="s">
        <v>124</v>
      </c>
      <c r="C47" s="68">
        <v>7.4999999999999997E-3</v>
      </c>
      <c r="D47" s="68">
        <v>0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v>0</v>
      </c>
      <c r="R47" s="68">
        <v>0</v>
      </c>
      <c r="S47" s="68">
        <v>0</v>
      </c>
      <c r="T47" s="68">
        <v>0</v>
      </c>
      <c r="U47" s="68">
        <v>0</v>
      </c>
      <c r="V47" s="30">
        <f t="shared" si="0"/>
        <v>7.4999999999999997E-3</v>
      </c>
    </row>
    <row r="48" spans="1:22" x14ac:dyDescent="0.3">
      <c r="A48" s="19">
        <v>46208</v>
      </c>
      <c r="B48" s="36" t="s">
        <v>123</v>
      </c>
      <c r="C48" s="68">
        <v>7.4999999999999997E-3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68">
        <v>0</v>
      </c>
      <c r="U48" s="68">
        <v>0</v>
      </c>
      <c r="V48" s="30">
        <f t="shared" si="0"/>
        <v>7.4999999999999997E-3</v>
      </c>
    </row>
    <row r="49" spans="1:22" x14ac:dyDescent="0.3">
      <c r="A49" s="19">
        <v>46208</v>
      </c>
      <c r="B49" s="36" t="s">
        <v>122</v>
      </c>
      <c r="C49" s="68">
        <v>7.4999999999999997E-3</v>
      </c>
      <c r="D49" s="68">
        <v>0</v>
      </c>
      <c r="E49" s="68">
        <v>0</v>
      </c>
      <c r="F49" s="68">
        <v>0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68">
        <v>0</v>
      </c>
      <c r="S49" s="68">
        <v>0</v>
      </c>
      <c r="T49" s="68">
        <v>0</v>
      </c>
      <c r="U49" s="68">
        <v>0</v>
      </c>
      <c r="V49" s="30">
        <f t="shared" si="0"/>
        <v>7.4999999999999997E-3</v>
      </c>
    </row>
    <row r="50" spans="1:22" x14ac:dyDescent="0.3">
      <c r="A50" s="19">
        <v>46208</v>
      </c>
      <c r="B50" s="36" t="s">
        <v>121</v>
      </c>
      <c r="C50" s="68">
        <v>7.4999999999999997E-3</v>
      </c>
      <c r="D50" s="68">
        <v>0</v>
      </c>
      <c r="E50" s="68">
        <v>0</v>
      </c>
      <c r="F50" s="68">
        <v>0</v>
      </c>
      <c r="G50" s="68">
        <v>0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68">
        <v>0</v>
      </c>
      <c r="U50" s="68">
        <v>0</v>
      </c>
      <c r="V50" s="30">
        <f t="shared" si="0"/>
        <v>7.4999999999999997E-3</v>
      </c>
    </row>
    <row r="51" spans="1:22" x14ac:dyDescent="0.3">
      <c r="A51" s="19">
        <v>46208</v>
      </c>
      <c r="B51" s="36" t="s">
        <v>120</v>
      </c>
      <c r="C51" s="68">
        <v>7.4999999999999997E-3</v>
      </c>
      <c r="D51" s="68">
        <v>0</v>
      </c>
      <c r="E51" s="68">
        <v>0</v>
      </c>
      <c r="F51" s="68">
        <v>0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68">
        <v>0</v>
      </c>
      <c r="U51" s="68">
        <v>0</v>
      </c>
      <c r="V51" s="30">
        <f t="shared" si="0"/>
        <v>7.4999999999999997E-3</v>
      </c>
    </row>
    <row r="52" spans="1:22" x14ac:dyDescent="0.3">
      <c r="A52" s="19">
        <v>46208</v>
      </c>
      <c r="B52" s="36" t="s">
        <v>119</v>
      </c>
      <c r="C52" s="68">
        <v>7.4999999999999997E-3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30">
        <f t="shared" si="0"/>
        <v>7.4999999999999997E-3</v>
      </c>
    </row>
    <row r="53" spans="1:22" x14ac:dyDescent="0.3">
      <c r="A53" s="19">
        <v>46208</v>
      </c>
      <c r="B53" s="36" t="s">
        <v>118</v>
      </c>
      <c r="C53" s="68">
        <v>7.4999999999999997E-3</v>
      </c>
      <c r="D53" s="68">
        <v>0</v>
      </c>
      <c r="E53" s="68">
        <v>0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30">
        <f t="shared" si="0"/>
        <v>7.4999999999999997E-3</v>
      </c>
    </row>
    <row r="54" spans="1:22" x14ac:dyDescent="0.3">
      <c r="A54" s="19">
        <v>46208</v>
      </c>
      <c r="B54" s="36" t="s">
        <v>117</v>
      </c>
      <c r="C54" s="68">
        <v>7.4999999999999997E-3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30">
        <f t="shared" si="0"/>
        <v>7.4999999999999997E-3</v>
      </c>
    </row>
    <row r="55" spans="1:22" x14ac:dyDescent="0.3">
      <c r="A55" s="19">
        <v>46208</v>
      </c>
      <c r="B55" s="19" t="s">
        <v>116</v>
      </c>
      <c r="C55" s="4">
        <v>7.4999999999999997E-3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30">
        <f t="shared" si="0"/>
        <v>7.4999999999999997E-3</v>
      </c>
    </row>
    <row r="56" spans="1:22" x14ac:dyDescent="0.3">
      <c r="A56" s="19">
        <v>46208</v>
      </c>
      <c r="B56" s="19" t="s">
        <v>115</v>
      </c>
      <c r="C56" s="4">
        <v>7.4999999999999997E-3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30">
        <f t="shared" si="0"/>
        <v>7.4999999999999997E-3</v>
      </c>
    </row>
    <row r="57" spans="1:22" x14ac:dyDescent="0.3">
      <c r="A57" s="19">
        <v>46208</v>
      </c>
      <c r="B57" s="19" t="s">
        <v>114</v>
      </c>
      <c r="C57" s="4">
        <v>7.4999999999999997E-3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0">
        <f t="shared" si="0"/>
        <v>7.4999999999999997E-3</v>
      </c>
    </row>
    <row r="58" spans="1:22" x14ac:dyDescent="0.3">
      <c r="A58" s="19">
        <v>46208</v>
      </c>
      <c r="B58" s="19" t="s">
        <v>113</v>
      </c>
      <c r="C58" s="4">
        <v>7.4999999999999997E-3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30">
        <f t="shared" si="0"/>
        <v>7.4999999999999997E-3</v>
      </c>
    </row>
    <row r="59" spans="1:22" x14ac:dyDescent="0.3">
      <c r="A59" s="19">
        <v>46208</v>
      </c>
      <c r="B59" s="19" t="s">
        <v>112</v>
      </c>
      <c r="C59" s="4">
        <v>7.4999999999999997E-3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30">
        <f t="shared" si="0"/>
        <v>7.4999999999999997E-3</v>
      </c>
    </row>
    <row r="60" spans="1:22" x14ac:dyDescent="0.3">
      <c r="A60" s="19">
        <v>46208</v>
      </c>
      <c r="B60" s="19" t="s">
        <v>111</v>
      </c>
      <c r="C60" s="4">
        <v>7.4999999999999997E-3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30">
        <f t="shared" si="0"/>
        <v>7.4999999999999997E-3</v>
      </c>
    </row>
    <row r="61" spans="1:22" x14ac:dyDescent="0.3">
      <c r="A61" s="19">
        <v>46208</v>
      </c>
      <c r="B61" s="19" t="s">
        <v>110</v>
      </c>
      <c r="C61" s="4">
        <v>7.4999999999999997E-3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0">
        <f t="shared" si="0"/>
        <v>7.4999999999999997E-3</v>
      </c>
    </row>
    <row r="62" spans="1:22" x14ac:dyDescent="0.3">
      <c r="A62" s="19">
        <v>46208</v>
      </c>
      <c r="B62" s="19" t="s">
        <v>109</v>
      </c>
      <c r="C62" s="4">
        <v>7.4999999999999997E-3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2.5000000000000001E-2</v>
      </c>
      <c r="T62" s="4">
        <v>0</v>
      </c>
      <c r="U62" s="4">
        <v>0</v>
      </c>
      <c r="V62" s="30">
        <f t="shared" si="0"/>
        <v>3.2500000000000001E-2</v>
      </c>
    </row>
    <row r="63" spans="1:22" x14ac:dyDescent="0.3">
      <c r="A63" s="19">
        <v>46208</v>
      </c>
      <c r="B63" s="19" t="s">
        <v>108</v>
      </c>
      <c r="C63" s="4">
        <v>7.4999999999999997E-3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2.1250000000000002E-2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2.5000000000000001E-2</v>
      </c>
      <c r="T63" s="4">
        <v>0</v>
      </c>
      <c r="U63" s="4">
        <v>0</v>
      </c>
      <c r="V63" s="30">
        <f t="shared" si="0"/>
        <v>5.3750000000000006E-2</v>
      </c>
    </row>
    <row r="64" spans="1:22" x14ac:dyDescent="0.3">
      <c r="A64" s="19">
        <v>46208</v>
      </c>
      <c r="B64" s="19" t="s">
        <v>107</v>
      </c>
      <c r="C64" s="4">
        <v>7.4999999999999997E-3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2.1250000000000002E-2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2.5000000000000001E-2</v>
      </c>
      <c r="T64" s="4">
        <v>0</v>
      </c>
      <c r="U64" s="4">
        <v>0</v>
      </c>
      <c r="V64" s="30">
        <f t="shared" si="0"/>
        <v>5.3750000000000006E-2</v>
      </c>
    </row>
    <row r="65" spans="1:22" x14ac:dyDescent="0.3">
      <c r="A65" s="19">
        <v>46208</v>
      </c>
      <c r="B65" s="31" t="s">
        <v>106</v>
      </c>
      <c r="C65" s="4">
        <v>7.4999999999999997E-3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2.1250000000000002E-2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2.5000000000000001E-2</v>
      </c>
      <c r="T65" s="4">
        <v>0</v>
      </c>
      <c r="U65" s="4">
        <v>0</v>
      </c>
      <c r="V65" s="30">
        <f t="shared" si="0"/>
        <v>5.3750000000000006E-2</v>
      </c>
    </row>
    <row r="66" spans="1:22" x14ac:dyDescent="0.3">
      <c r="A66" s="19">
        <v>46208</v>
      </c>
      <c r="B66" s="33" t="s">
        <v>105</v>
      </c>
      <c r="C66" s="68">
        <v>7.4999999999999997E-3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2.1250000000000002E-2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2.5000000000000001E-2</v>
      </c>
      <c r="T66" s="68">
        <v>0</v>
      </c>
      <c r="U66" s="68">
        <v>0</v>
      </c>
      <c r="V66" s="30">
        <f t="shared" si="0"/>
        <v>5.3750000000000006E-2</v>
      </c>
    </row>
    <row r="67" spans="1:22" x14ac:dyDescent="0.3">
      <c r="A67" s="19">
        <v>46208</v>
      </c>
      <c r="B67" s="33" t="s">
        <v>104</v>
      </c>
      <c r="C67" s="68">
        <v>7.4999999999999997E-3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2.1250000000000002E-2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7.4999999999999997E-3</v>
      </c>
      <c r="V67" s="30">
        <f t="shared" ref="V67:V97" si="1">C67+D67+E67+F67+G67+H67+I67+J67+K67+L67+M67+N67+O67+P67+Q67+R67+S67+T67+U67</f>
        <v>3.6250000000000004E-2</v>
      </c>
    </row>
    <row r="68" spans="1:22" x14ac:dyDescent="0.3">
      <c r="A68" s="19">
        <v>46208</v>
      </c>
      <c r="B68" s="33" t="s">
        <v>103</v>
      </c>
      <c r="C68" s="68">
        <v>7.4999999999999997E-3</v>
      </c>
      <c r="D68" s="68">
        <v>0</v>
      </c>
      <c r="E68" s="68">
        <v>0</v>
      </c>
      <c r="F68" s="68">
        <v>1.4999999999999999E-2</v>
      </c>
      <c r="G68" s="68">
        <v>0</v>
      </c>
      <c r="H68" s="68">
        <v>0</v>
      </c>
      <c r="I68" s="68">
        <v>0</v>
      </c>
      <c r="J68" s="68">
        <v>2.1250000000000002E-2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7.4999999999999997E-3</v>
      </c>
      <c r="V68" s="30">
        <f t="shared" si="1"/>
        <v>5.1249999999999997E-2</v>
      </c>
    </row>
    <row r="69" spans="1:22" x14ac:dyDescent="0.3">
      <c r="A69" s="19">
        <v>46208</v>
      </c>
      <c r="B69" s="33" t="s">
        <v>102</v>
      </c>
      <c r="C69" s="68">
        <v>7.4999999999999997E-3</v>
      </c>
      <c r="D69" s="68">
        <v>0</v>
      </c>
      <c r="E69" s="68">
        <v>0</v>
      </c>
      <c r="F69" s="68">
        <v>1.4999999999999999E-2</v>
      </c>
      <c r="G69" s="68">
        <v>0</v>
      </c>
      <c r="H69" s="68">
        <v>0</v>
      </c>
      <c r="I69" s="68">
        <v>0</v>
      </c>
      <c r="J69" s="68">
        <v>2.1250000000000002E-2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68">
        <v>0</v>
      </c>
      <c r="U69" s="68">
        <v>7.4999999999999997E-3</v>
      </c>
      <c r="V69" s="30">
        <f t="shared" si="1"/>
        <v>5.1249999999999997E-2</v>
      </c>
    </row>
    <row r="70" spans="1:22" x14ac:dyDescent="0.3">
      <c r="A70" s="19">
        <v>46208</v>
      </c>
      <c r="B70" s="33" t="s">
        <v>101</v>
      </c>
      <c r="C70" s="68">
        <v>7.4999999999999997E-3</v>
      </c>
      <c r="D70" s="68">
        <v>0</v>
      </c>
      <c r="E70" s="68">
        <v>0</v>
      </c>
      <c r="F70" s="68">
        <v>1.4999999999999999E-2</v>
      </c>
      <c r="G70" s="68">
        <v>0</v>
      </c>
      <c r="H70" s="68">
        <v>0</v>
      </c>
      <c r="I70" s="68">
        <v>0</v>
      </c>
      <c r="J70" s="68">
        <v>2.1250000000000002E-2</v>
      </c>
      <c r="K70" s="68">
        <v>0</v>
      </c>
      <c r="L70" s="68">
        <v>0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68">
        <v>3.2500000000000001E-2</v>
      </c>
      <c r="S70" s="68">
        <v>0</v>
      </c>
      <c r="T70" s="68">
        <v>0</v>
      </c>
      <c r="U70" s="68">
        <v>0</v>
      </c>
      <c r="V70" s="30">
        <f t="shared" si="1"/>
        <v>7.6249999999999998E-2</v>
      </c>
    </row>
    <row r="71" spans="1:22" x14ac:dyDescent="0.3">
      <c r="A71" s="19">
        <v>46208</v>
      </c>
      <c r="B71" s="33" t="s">
        <v>100</v>
      </c>
      <c r="C71" s="68">
        <v>7.4999999999999997E-3</v>
      </c>
      <c r="D71" s="68">
        <v>0</v>
      </c>
      <c r="E71" s="68">
        <v>0</v>
      </c>
      <c r="F71" s="68">
        <v>1.4999999999999999E-2</v>
      </c>
      <c r="G71" s="68">
        <v>0</v>
      </c>
      <c r="H71" s="68">
        <v>0</v>
      </c>
      <c r="I71" s="68">
        <v>0</v>
      </c>
      <c r="J71" s="68">
        <v>2.1250000000000002E-2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5.0000000000000001E-3</v>
      </c>
      <c r="Q71" s="68">
        <v>0.05</v>
      </c>
      <c r="R71" s="68">
        <v>0</v>
      </c>
      <c r="S71" s="68">
        <v>0</v>
      </c>
      <c r="T71" s="68">
        <v>0</v>
      </c>
      <c r="U71" s="68">
        <v>0</v>
      </c>
      <c r="V71" s="30">
        <f t="shared" si="1"/>
        <v>9.8750000000000004E-2</v>
      </c>
    </row>
    <row r="72" spans="1:22" x14ac:dyDescent="0.3">
      <c r="A72" s="19">
        <v>46208</v>
      </c>
      <c r="B72" s="33" t="s">
        <v>99</v>
      </c>
      <c r="C72" s="68">
        <v>7.4999999999999997E-3</v>
      </c>
      <c r="D72" s="68">
        <v>0</v>
      </c>
      <c r="E72" s="68">
        <v>0</v>
      </c>
      <c r="F72" s="68">
        <v>1.4999999999999999E-2</v>
      </c>
      <c r="G72" s="68">
        <v>0</v>
      </c>
      <c r="H72" s="68">
        <v>0.375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5.0000000000000001E-3</v>
      </c>
      <c r="Q72" s="68">
        <v>0.05</v>
      </c>
      <c r="R72" s="68">
        <v>0</v>
      </c>
      <c r="S72" s="68">
        <v>0</v>
      </c>
      <c r="T72" s="68">
        <v>0</v>
      </c>
      <c r="U72" s="68">
        <v>0</v>
      </c>
      <c r="V72" s="30">
        <f t="shared" si="1"/>
        <v>0.45250000000000001</v>
      </c>
    </row>
    <row r="73" spans="1:22" x14ac:dyDescent="0.3">
      <c r="A73" s="19">
        <v>46208</v>
      </c>
      <c r="B73" s="33" t="s">
        <v>98</v>
      </c>
      <c r="C73" s="68">
        <v>7.4999999999999997E-3</v>
      </c>
      <c r="D73" s="68">
        <v>0</v>
      </c>
      <c r="E73" s="68">
        <v>0</v>
      </c>
      <c r="F73" s="68">
        <v>1.4999999999999999E-2</v>
      </c>
      <c r="G73" s="68">
        <v>0</v>
      </c>
      <c r="H73" s="68">
        <v>0.375</v>
      </c>
      <c r="I73" s="68">
        <v>0.75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5.0000000000000001E-3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30">
        <f t="shared" si="1"/>
        <v>1.1524999999999999</v>
      </c>
    </row>
    <row r="74" spans="1:22" x14ac:dyDescent="0.3">
      <c r="A74" s="19">
        <v>46208</v>
      </c>
      <c r="B74" s="33" t="s">
        <v>97</v>
      </c>
      <c r="C74" s="68">
        <v>7.4999999999999997E-3</v>
      </c>
      <c r="D74" s="68">
        <v>0</v>
      </c>
      <c r="E74" s="68">
        <v>0</v>
      </c>
      <c r="F74" s="68">
        <v>1.4999999999999999E-2</v>
      </c>
      <c r="G74" s="68">
        <v>1.5</v>
      </c>
      <c r="H74" s="68">
        <v>0</v>
      </c>
      <c r="I74" s="68">
        <v>0.75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5.0000000000000001E-3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30">
        <f t="shared" si="1"/>
        <v>2.2774999999999999</v>
      </c>
    </row>
    <row r="75" spans="1:22" x14ac:dyDescent="0.3">
      <c r="A75" s="19">
        <v>46208</v>
      </c>
      <c r="B75" s="31" t="s">
        <v>96</v>
      </c>
      <c r="C75" s="4">
        <v>7.4999999999999997E-3</v>
      </c>
      <c r="D75" s="4">
        <v>0</v>
      </c>
      <c r="E75" s="4">
        <v>0</v>
      </c>
      <c r="F75" s="4">
        <v>0</v>
      </c>
      <c r="G75" s="4">
        <v>1.5</v>
      </c>
      <c r="H75" s="4">
        <v>0</v>
      </c>
      <c r="I75" s="4">
        <v>0.75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5.0000000000000001E-3</v>
      </c>
      <c r="Q75" s="4">
        <v>0</v>
      </c>
      <c r="R75" s="4">
        <v>3.2500000000000001E-2</v>
      </c>
      <c r="S75" s="4">
        <v>0</v>
      </c>
      <c r="T75" s="4">
        <v>0</v>
      </c>
      <c r="U75" s="4">
        <v>0</v>
      </c>
      <c r="V75" s="30">
        <f t="shared" si="1"/>
        <v>2.2950000000000004</v>
      </c>
    </row>
    <row r="76" spans="1:22" x14ac:dyDescent="0.3">
      <c r="A76" s="19">
        <v>46208</v>
      </c>
      <c r="B76" s="31" t="s">
        <v>95</v>
      </c>
      <c r="C76" s="4">
        <v>7.4999999999999997E-3</v>
      </c>
      <c r="D76" s="4">
        <v>0</v>
      </c>
      <c r="E76" s="4">
        <v>0</v>
      </c>
      <c r="F76" s="4">
        <v>0</v>
      </c>
      <c r="G76" s="4">
        <v>1.5</v>
      </c>
      <c r="H76" s="4">
        <v>0</v>
      </c>
      <c r="I76" s="4">
        <v>0.75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5.0000000000000001E-3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30">
        <f t="shared" si="1"/>
        <v>2.2625000000000002</v>
      </c>
    </row>
    <row r="77" spans="1:22" x14ac:dyDescent="0.3">
      <c r="A77" s="19">
        <v>46208</v>
      </c>
      <c r="B77" s="31" t="s">
        <v>94</v>
      </c>
      <c r="C77" s="4">
        <v>7.4999999999999997E-3</v>
      </c>
      <c r="D77" s="4">
        <v>0</v>
      </c>
      <c r="E77" s="4">
        <v>3.7499999999999999E-3</v>
      </c>
      <c r="F77" s="4">
        <v>0</v>
      </c>
      <c r="G77" s="4">
        <v>1.5</v>
      </c>
      <c r="H77" s="4">
        <v>0</v>
      </c>
      <c r="I77" s="4">
        <v>0.75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5.0000000000000001E-3</v>
      </c>
      <c r="Q77" s="4">
        <v>0</v>
      </c>
      <c r="R77" s="4">
        <v>0</v>
      </c>
      <c r="S77" s="4">
        <v>2.5000000000000001E-2</v>
      </c>
      <c r="T77" s="4">
        <v>0</v>
      </c>
      <c r="U77" s="4">
        <v>0</v>
      </c>
      <c r="V77" s="30">
        <f t="shared" si="1"/>
        <v>2.2912499999999998</v>
      </c>
    </row>
    <row r="78" spans="1:22" x14ac:dyDescent="0.3">
      <c r="A78" s="19">
        <v>46208</v>
      </c>
      <c r="B78" s="34" t="s">
        <v>93</v>
      </c>
      <c r="C78" s="4">
        <v>7.4999999999999997E-3</v>
      </c>
      <c r="D78" s="4">
        <v>0</v>
      </c>
      <c r="E78" s="4">
        <v>3.7499999999999999E-3</v>
      </c>
      <c r="F78" s="4">
        <v>0</v>
      </c>
      <c r="G78" s="4">
        <v>0</v>
      </c>
      <c r="H78" s="4">
        <v>0</v>
      </c>
      <c r="I78" s="4">
        <v>0.75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5.0000000000000001E-3</v>
      </c>
      <c r="Q78" s="4">
        <v>0</v>
      </c>
      <c r="R78" s="4">
        <v>0</v>
      </c>
      <c r="S78" s="4">
        <v>2.5000000000000001E-2</v>
      </c>
      <c r="T78" s="4">
        <v>0</v>
      </c>
      <c r="U78" s="4">
        <v>0</v>
      </c>
      <c r="V78" s="30">
        <f t="shared" si="1"/>
        <v>0.79125000000000001</v>
      </c>
    </row>
    <row r="79" spans="1:22" x14ac:dyDescent="0.3">
      <c r="A79" s="19">
        <v>46208</v>
      </c>
      <c r="B79" s="34" t="s">
        <v>92</v>
      </c>
      <c r="C79" s="4">
        <v>7.4999999999999997E-3</v>
      </c>
      <c r="D79" s="4">
        <v>0</v>
      </c>
      <c r="E79" s="4">
        <v>3.7499999999999999E-3</v>
      </c>
      <c r="F79" s="4">
        <v>0</v>
      </c>
      <c r="G79" s="4">
        <v>0</v>
      </c>
      <c r="H79" s="4">
        <v>0</v>
      </c>
      <c r="I79" s="4">
        <v>0.75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5.0000000000000001E-3</v>
      </c>
      <c r="Q79" s="4">
        <v>0</v>
      </c>
      <c r="R79" s="4">
        <v>0</v>
      </c>
      <c r="S79" s="4">
        <v>2.5000000000000001E-2</v>
      </c>
      <c r="T79" s="4">
        <v>0</v>
      </c>
      <c r="U79" s="4">
        <v>0</v>
      </c>
      <c r="V79" s="30">
        <f t="shared" si="1"/>
        <v>0.79125000000000001</v>
      </c>
    </row>
    <row r="80" spans="1:22" x14ac:dyDescent="0.3">
      <c r="A80" s="19">
        <v>46208</v>
      </c>
      <c r="B80" s="34" t="s">
        <v>91</v>
      </c>
      <c r="C80" s="4">
        <v>7.4999999999999997E-3</v>
      </c>
      <c r="D80" s="4">
        <v>0</v>
      </c>
      <c r="E80" s="4">
        <v>3.7499999999999999E-3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5.0000000000000001E-3</v>
      </c>
      <c r="Q80" s="4">
        <v>0</v>
      </c>
      <c r="R80" s="4">
        <v>0</v>
      </c>
      <c r="S80" s="4">
        <v>2.5000000000000001E-2</v>
      </c>
      <c r="T80" s="4">
        <v>0</v>
      </c>
      <c r="U80" s="4">
        <v>0</v>
      </c>
      <c r="V80" s="30">
        <f t="shared" si="1"/>
        <v>4.1250000000000002E-2</v>
      </c>
    </row>
    <row r="81" spans="1:22" x14ac:dyDescent="0.3">
      <c r="A81" s="19">
        <v>46208</v>
      </c>
      <c r="B81" s="34" t="s">
        <v>90</v>
      </c>
      <c r="C81" s="4">
        <v>7.4999999999999997E-3</v>
      </c>
      <c r="D81" s="4">
        <v>0</v>
      </c>
      <c r="E81" s="4">
        <v>3.7499999999999999E-3</v>
      </c>
      <c r="F81" s="4">
        <v>0</v>
      </c>
      <c r="G81" s="4">
        <v>0</v>
      </c>
      <c r="H81" s="4">
        <v>0</v>
      </c>
      <c r="I81" s="4">
        <v>0</v>
      </c>
      <c r="J81" s="4">
        <v>2.1250000000000002E-2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5.0000000000000001E-3</v>
      </c>
      <c r="Q81" s="4">
        <v>0</v>
      </c>
      <c r="R81" s="4">
        <v>0</v>
      </c>
      <c r="S81" s="4">
        <v>2.5000000000000001E-2</v>
      </c>
      <c r="T81" s="4">
        <v>0</v>
      </c>
      <c r="U81" s="4">
        <v>0</v>
      </c>
      <c r="V81" s="30">
        <f t="shared" si="1"/>
        <v>6.25E-2</v>
      </c>
    </row>
    <row r="82" spans="1:22" x14ac:dyDescent="0.3">
      <c r="A82" s="19">
        <v>46208</v>
      </c>
      <c r="B82" s="31" t="s">
        <v>89</v>
      </c>
      <c r="C82" s="4">
        <v>7.4999999999999997E-3</v>
      </c>
      <c r="D82" s="4">
        <v>1.5</v>
      </c>
      <c r="E82" s="4">
        <v>3.7499999999999999E-3</v>
      </c>
      <c r="F82" s="4">
        <v>0</v>
      </c>
      <c r="G82" s="4">
        <v>0</v>
      </c>
      <c r="H82" s="4">
        <v>0.375</v>
      </c>
      <c r="I82" s="4">
        <v>0</v>
      </c>
      <c r="J82" s="4">
        <v>2.1250000000000002E-2</v>
      </c>
      <c r="K82" s="4">
        <v>6.25E-2</v>
      </c>
      <c r="L82" s="4">
        <v>0</v>
      </c>
      <c r="M82" s="4">
        <v>0</v>
      </c>
      <c r="N82" s="4">
        <v>0</v>
      </c>
      <c r="O82" s="4">
        <v>0</v>
      </c>
      <c r="P82" s="4">
        <v>5.0000000000000001E-3</v>
      </c>
      <c r="Q82" s="4">
        <v>0</v>
      </c>
      <c r="R82" s="4">
        <v>0</v>
      </c>
      <c r="S82" s="4">
        <v>2.5000000000000001E-2</v>
      </c>
      <c r="T82" s="4">
        <v>0</v>
      </c>
      <c r="U82" s="4">
        <v>0</v>
      </c>
      <c r="V82" s="30">
        <f t="shared" si="1"/>
        <v>1.9999999999999998</v>
      </c>
    </row>
    <row r="83" spans="1:22" x14ac:dyDescent="0.3">
      <c r="A83" s="19">
        <v>46208</v>
      </c>
      <c r="B83" s="31" t="s">
        <v>88</v>
      </c>
      <c r="C83" s="4">
        <v>7.4999999999999997E-3</v>
      </c>
      <c r="D83" s="4">
        <v>0</v>
      </c>
      <c r="E83" s="4">
        <v>3.7499999999999999E-3</v>
      </c>
      <c r="F83" s="4">
        <v>0</v>
      </c>
      <c r="G83" s="4">
        <v>0</v>
      </c>
      <c r="H83" s="4">
        <v>0.375</v>
      </c>
      <c r="I83" s="4">
        <v>0</v>
      </c>
      <c r="J83" s="4">
        <v>2.1250000000000002E-2</v>
      </c>
      <c r="K83" s="4">
        <v>6.25E-2</v>
      </c>
      <c r="L83" s="4">
        <v>0</v>
      </c>
      <c r="M83" s="4">
        <v>0</v>
      </c>
      <c r="N83" s="4">
        <v>0</v>
      </c>
      <c r="O83" s="4">
        <v>0</v>
      </c>
      <c r="P83" s="4">
        <v>5.0000000000000001E-3</v>
      </c>
      <c r="Q83" s="4">
        <v>0</v>
      </c>
      <c r="R83" s="4">
        <v>0</v>
      </c>
      <c r="S83" s="4">
        <v>2.5000000000000001E-2</v>
      </c>
      <c r="T83" s="4">
        <v>0.16</v>
      </c>
      <c r="U83" s="4">
        <v>0</v>
      </c>
      <c r="V83" s="30">
        <f t="shared" si="1"/>
        <v>0.66</v>
      </c>
    </row>
    <row r="84" spans="1:22" x14ac:dyDescent="0.3">
      <c r="A84" s="19">
        <v>46208</v>
      </c>
      <c r="B84" s="31" t="s">
        <v>87</v>
      </c>
      <c r="C84" s="4">
        <v>7.4999999999999997E-3</v>
      </c>
      <c r="D84" s="4">
        <v>0</v>
      </c>
      <c r="E84" s="4">
        <v>3.7499999999999999E-3</v>
      </c>
      <c r="F84" s="4">
        <v>0</v>
      </c>
      <c r="G84" s="4">
        <v>0</v>
      </c>
      <c r="H84" s="4">
        <v>0</v>
      </c>
      <c r="I84" s="4">
        <v>0</v>
      </c>
      <c r="J84" s="4">
        <v>2.1250000000000002E-2</v>
      </c>
      <c r="K84" s="4">
        <v>6.25E-2</v>
      </c>
      <c r="L84" s="4">
        <v>0</v>
      </c>
      <c r="M84" s="4">
        <v>0</v>
      </c>
      <c r="N84" s="4">
        <v>0</v>
      </c>
      <c r="O84" s="4">
        <v>0</v>
      </c>
      <c r="P84" s="4">
        <v>5.0000000000000001E-3</v>
      </c>
      <c r="Q84" s="4">
        <v>0</v>
      </c>
      <c r="R84" s="4">
        <v>0</v>
      </c>
      <c r="S84" s="4">
        <v>2.5000000000000001E-2</v>
      </c>
      <c r="T84" s="4">
        <v>0</v>
      </c>
      <c r="U84" s="4">
        <v>0</v>
      </c>
      <c r="V84" s="30">
        <f t="shared" si="1"/>
        <v>0.125</v>
      </c>
    </row>
    <row r="85" spans="1:22" x14ac:dyDescent="0.3">
      <c r="A85" s="19">
        <v>46208</v>
      </c>
      <c r="B85" s="31" t="s">
        <v>86</v>
      </c>
      <c r="C85" s="4">
        <v>7.4999999999999997E-3</v>
      </c>
      <c r="D85" s="4">
        <v>1.5</v>
      </c>
      <c r="E85" s="4">
        <v>3.7499999999999999E-3</v>
      </c>
      <c r="F85" s="4">
        <v>0</v>
      </c>
      <c r="G85" s="4">
        <v>0</v>
      </c>
      <c r="H85" s="4">
        <v>0</v>
      </c>
      <c r="I85" s="4">
        <v>0</v>
      </c>
      <c r="J85" s="4">
        <v>2.1250000000000002E-2</v>
      </c>
      <c r="K85" s="4">
        <v>6.25E-2</v>
      </c>
      <c r="L85" s="4">
        <v>0</v>
      </c>
      <c r="M85" s="4">
        <v>0</v>
      </c>
      <c r="N85" s="4">
        <v>0</v>
      </c>
      <c r="O85" s="4">
        <v>0</v>
      </c>
      <c r="P85" s="4">
        <v>5.0000000000000001E-3</v>
      </c>
      <c r="Q85" s="4">
        <v>0</v>
      </c>
      <c r="R85" s="4">
        <v>0</v>
      </c>
      <c r="S85" s="4">
        <v>2.5000000000000001E-2</v>
      </c>
      <c r="T85" s="4">
        <v>0</v>
      </c>
      <c r="U85" s="4">
        <v>0</v>
      </c>
      <c r="V85" s="30">
        <f t="shared" si="1"/>
        <v>1.6249999999999998</v>
      </c>
    </row>
    <row r="86" spans="1:22" x14ac:dyDescent="0.3">
      <c r="A86" s="19">
        <v>46208</v>
      </c>
      <c r="B86" s="34" t="s">
        <v>85</v>
      </c>
      <c r="C86" s="4">
        <v>7.4999999999999997E-3</v>
      </c>
      <c r="D86" s="4">
        <v>0</v>
      </c>
      <c r="E86" s="4">
        <v>0</v>
      </c>
      <c r="F86" s="4">
        <v>1.4999999999999999E-2</v>
      </c>
      <c r="G86" s="4">
        <v>0</v>
      </c>
      <c r="H86" s="4">
        <v>0</v>
      </c>
      <c r="I86" s="4">
        <v>0</v>
      </c>
      <c r="J86" s="4">
        <v>2.1250000000000002E-2</v>
      </c>
      <c r="K86" s="4">
        <v>6.25E-2</v>
      </c>
      <c r="L86" s="4">
        <v>0</v>
      </c>
      <c r="M86" s="4">
        <v>0</v>
      </c>
      <c r="N86" s="4">
        <v>0</v>
      </c>
      <c r="O86" s="4">
        <v>0</v>
      </c>
      <c r="P86" s="4">
        <v>5.0000000000000001E-3</v>
      </c>
      <c r="Q86" s="4">
        <v>0</v>
      </c>
      <c r="R86" s="4">
        <v>0</v>
      </c>
      <c r="S86" s="4">
        <v>2.5000000000000001E-2</v>
      </c>
      <c r="T86" s="4">
        <v>0</v>
      </c>
      <c r="U86" s="4">
        <v>0</v>
      </c>
      <c r="V86" s="30">
        <f t="shared" si="1"/>
        <v>0.13625000000000001</v>
      </c>
    </row>
    <row r="87" spans="1:22" x14ac:dyDescent="0.3">
      <c r="A87" s="19">
        <v>46208</v>
      </c>
      <c r="B87" s="34" t="s">
        <v>84</v>
      </c>
      <c r="C87" s="4">
        <v>7.4999999999999997E-3</v>
      </c>
      <c r="D87" s="4">
        <v>0</v>
      </c>
      <c r="E87" s="4">
        <v>0</v>
      </c>
      <c r="F87" s="4">
        <v>1.4999999999999999E-2</v>
      </c>
      <c r="G87" s="4">
        <v>0</v>
      </c>
      <c r="H87" s="4">
        <v>0</v>
      </c>
      <c r="I87" s="4">
        <v>0</v>
      </c>
      <c r="J87" s="4">
        <v>2.1250000000000002E-2</v>
      </c>
      <c r="K87" s="4">
        <v>6.25E-2</v>
      </c>
      <c r="L87" s="4">
        <v>0</v>
      </c>
      <c r="M87" s="4">
        <v>0</v>
      </c>
      <c r="N87" s="4">
        <v>0.55000000000000004</v>
      </c>
      <c r="O87" s="4">
        <v>0</v>
      </c>
      <c r="P87" s="4">
        <v>5.0000000000000001E-3</v>
      </c>
      <c r="Q87" s="4">
        <v>0</v>
      </c>
      <c r="R87" s="4">
        <v>0</v>
      </c>
      <c r="S87" s="4">
        <v>2.5000000000000001E-2</v>
      </c>
      <c r="T87" s="4">
        <v>0</v>
      </c>
      <c r="U87" s="4">
        <v>0</v>
      </c>
      <c r="V87" s="30">
        <f t="shared" si="1"/>
        <v>0.68625000000000003</v>
      </c>
    </row>
    <row r="88" spans="1:22" x14ac:dyDescent="0.3">
      <c r="A88" s="19">
        <v>46208</v>
      </c>
      <c r="B88" s="34" t="s">
        <v>83</v>
      </c>
      <c r="C88" s="4">
        <v>7.4999999999999997E-3</v>
      </c>
      <c r="D88" s="4">
        <v>1.5</v>
      </c>
      <c r="E88" s="4">
        <v>0</v>
      </c>
      <c r="F88" s="4">
        <v>1.4999999999999999E-2</v>
      </c>
      <c r="G88" s="4">
        <v>0</v>
      </c>
      <c r="H88" s="4">
        <v>0</v>
      </c>
      <c r="I88" s="4">
        <v>0</v>
      </c>
      <c r="J88" s="4">
        <v>2.1250000000000002E-2</v>
      </c>
      <c r="K88" s="4">
        <v>6.25E-2</v>
      </c>
      <c r="L88" s="4">
        <v>0</v>
      </c>
      <c r="M88" s="4">
        <v>0</v>
      </c>
      <c r="N88" s="4">
        <v>0.55000000000000004</v>
      </c>
      <c r="O88" s="4">
        <v>5.0000000000000001E-3</v>
      </c>
      <c r="P88" s="4">
        <v>5.0000000000000001E-3</v>
      </c>
      <c r="Q88" s="4">
        <v>0</v>
      </c>
      <c r="R88" s="4">
        <v>0</v>
      </c>
      <c r="S88" s="4">
        <v>2.5000000000000001E-2</v>
      </c>
      <c r="T88" s="4">
        <v>0</v>
      </c>
      <c r="U88" s="4">
        <v>0</v>
      </c>
      <c r="V88" s="30">
        <f t="shared" si="1"/>
        <v>2.1912499999999997</v>
      </c>
    </row>
    <row r="89" spans="1:22" x14ac:dyDescent="0.3">
      <c r="A89" s="19">
        <v>46208</v>
      </c>
      <c r="B89" s="34" t="s">
        <v>82</v>
      </c>
      <c r="C89" s="4">
        <v>7.4999999999999997E-3</v>
      </c>
      <c r="D89" s="4">
        <v>0</v>
      </c>
      <c r="E89" s="4">
        <v>0</v>
      </c>
      <c r="F89" s="4">
        <v>1.4999999999999999E-2</v>
      </c>
      <c r="G89" s="4">
        <v>0</v>
      </c>
      <c r="H89" s="4">
        <v>0</v>
      </c>
      <c r="I89" s="4">
        <v>0</v>
      </c>
      <c r="J89" s="4">
        <v>2.1250000000000002E-2</v>
      </c>
      <c r="K89" s="4">
        <v>6.25E-2</v>
      </c>
      <c r="L89" s="4">
        <v>0</v>
      </c>
      <c r="M89" s="4">
        <v>0</v>
      </c>
      <c r="N89" s="4">
        <v>0.55000000000000004</v>
      </c>
      <c r="O89" s="4">
        <v>5.0000000000000001E-3</v>
      </c>
      <c r="P89" s="4">
        <v>5.0000000000000001E-3</v>
      </c>
      <c r="Q89" s="4">
        <v>0</v>
      </c>
      <c r="R89" s="4">
        <v>0</v>
      </c>
      <c r="S89" s="4">
        <v>0</v>
      </c>
      <c r="T89" s="4">
        <v>0</v>
      </c>
      <c r="U89" s="4">
        <v>7.4999999999999997E-3</v>
      </c>
      <c r="V89" s="30">
        <f t="shared" si="1"/>
        <v>0.67374999999999996</v>
      </c>
    </row>
    <row r="90" spans="1:22" x14ac:dyDescent="0.3">
      <c r="A90" s="19">
        <v>46208</v>
      </c>
      <c r="B90" s="31" t="s">
        <v>81</v>
      </c>
      <c r="C90" s="4">
        <v>7.4999999999999997E-3</v>
      </c>
      <c r="D90" s="4">
        <v>0</v>
      </c>
      <c r="E90" s="4">
        <v>0</v>
      </c>
      <c r="F90" s="4">
        <v>1.4999999999999999E-2</v>
      </c>
      <c r="G90" s="4">
        <v>0</v>
      </c>
      <c r="H90" s="4">
        <v>0</v>
      </c>
      <c r="I90" s="4">
        <v>0</v>
      </c>
      <c r="J90" s="4">
        <v>2.1250000000000002E-2</v>
      </c>
      <c r="K90" s="4">
        <v>6.25E-2</v>
      </c>
      <c r="L90" s="4">
        <v>0</v>
      </c>
      <c r="M90" s="4">
        <v>0</v>
      </c>
      <c r="N90" s="4">
        <v>0.55000000000000004</v>
      </c>
      <c r="O90" s="4">
        <v>5.0000000000000001E-3</v>
      </c>
      <c r="P90" s="4">
        <v>5.0000000000000001E-3</v>
      </c>
      <c r="Q90" s="4">
        <v>0</v>
      </c>
      <c r="R90" s="4">
        <v>0</v>
      </c>
      <c r="S90" s="4">
        <v>0</v>
      </c>
      <c r="T90" s="4">
        <v>0</v>
      </c>
      <c r="U90" s="4">
        <v>7.4999999999999997E-3</v>
      </c>
      <c r="V90" s="30">
        <f t="shared" si="1"/>
        <v>0.67374999999999996</v>
      </c>
    </row>
    <row r="91" spans="1:22" x14ac:dyDescent="0.3">
      <c r="A91" s="19">
        <v>46208</v>
      </c>
      <c r="B91" s="31" t="s">
        <v>80</v>
      </c>
      <c r="C91" s="4">
        <v>7.4999999999999997E-3</v>
      </c>
      <c r="D91" s="4">
        <v>1.5</v>
      </c>
      <c r="E91" s="4">
        <v>0</v>
      </c>
      <c r="F91" s="4">
        <v>1.4999999999999999E-2</v>
      </c>
      <c r="G91" s="4">
        <v>0</v>
      </c>
      <c r="H91" s="4">
        <v>0</v>
      </c>
      <c r="I91" s="4">
        <v>0</v>
      </c>
      <c r="J91" s="4">
        <v>2.1250000000000002E-2</v>
      </c>
      <c r="K91" s="4">
        <v>6.25E-2</v>
      </c>
      <c r="L91" s="4">
        <v>0</v>
      </c>
      <c r="M91" s="4">
        <v>0</v>
      </c>
      <c r="N91" s="4">
        <v>0.55000000000000004</v>
      </c>
      <c r="O91" s="4">
        <v>0.01</v>
      </c>
      <c r="P91" s="4">
        <v>5.0000000000000001E-3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30">
        <f t="shared" si="1"/>
        <v>2.1712499999999997</v>
      </c>
    </row>
    <row r="92" spans="1:22" x14ac:dyDescent="0.3">
      <c r="A92" s="19">
        <v>46208</v>
      </c>
      <c r="B92" s="31" t="s">
        <v>79</v>
      </c>
      <c r="C92" s="4">
        <v>7.4999999999999997E-3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2.1250000000000002E-2</v>
      </c>
      <c r="K92" s="4">
        <v>6.25E-2</v>
      </c>
      <c r="L92" s="4">
        <v>0</v>
      </c>
      <c r="M92" s="4">
        <v>0</v>
      </c>
      <c r="N92" s="4">
        <v>0</v>
      </c>
      <c r="O92" s="4">
        <v>0.01</v>
      </c>
      <c r="P92" s="4">
        <v>5.0000000000000001E-3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30">
        <f t="shared" si="1"/>
        <v>0.10625</v>
      </c>
    </row>
    <row r="93" spans="1:22" x14ac:dyDescent="0.3">
      <c r="A93" s="19">
        <v>46208</v>
      </c>
      <c r="B93" s="31" t="s">
        <v>78</v>
      </c>
      <c r="C93" s="4">
        <v>7.4999999999999997E-3</v>
      </c>
      <c r="D93" s="4">
        <v>1.5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2.1250000000000002E-2</v>
      </c>
      <c r="K93" s="4">
        <v>6.25E-2</v>
      </c>
      <c r="L93" s="4">
        <v>0</v>
      </c>
      <c r="M93" s="4">
        <v>0</v>
      </c>
      <c r="N93" s="4">
        <v>0</v>
      </c>
      <c r="O93" s="4">
        <v>0.01</v>
      </c>
      <c r="P93" s="4">
        <v>5.0000000000000001E-3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30">
        <f t="shared" si="1"/>
        <v>1.60625</v>
      </c>
    </row>
    <row r="94" spans="1:22" x14ac:dyDescent="0.3">
      <c r="A94" s="19">
        <v>46208</v>
      </c>
      <c r="B94" s="31" t="s">
        <v>77</v>
      </c>
      <c r="C94" s="4">
        <v>7.4999999999999997E-3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2.1250000000000002E-2</v>
      </c>
      <c r="K94" s="4">
        <v>6.25E-2</v>
      </c>
      <c r="L94" s="4">
        <v>0</v>
      </c>
      <c r="M94" s="4">
        <v>0</v>
      </c>
      <c r="N94" s="4">
        <v>0</v>
      </c>
      <c r="O94" s="4">
        <v>0.01</v>
      </c>
      <c r="P94" s="4">
        <v>0</v>
      </c>
      <c r="Q94" s="4">
        <v>0.05</v>
      </c>
      <c r="R94" s="4">
        <v>0</v>
      </c>
      <c r="S94" s="4">
        <v>0</v>
      </c>
      <c r="T94" s="4">
        <v>0</v>
      </c>
      <c r="U94" s="4">
        <v>0</v>
      </c>
      <c r="V94" s="30">
        <f t="shared" si="1"/>
        <v>0.15125</v>
      </c>
    </row>
    <row r="95" spans="1:22" x14ac:dyDescent="0.3">
      <c r="A95" s="19">
        <v>46208</v>
      </c>
      <c r="B95" s="31" t="s">
        <v>76</v>
      </c>
      <c r="C95" s="4">
        <v>7.4999999999999997E-3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2.1250000000000002E-2</v>
      </c>
      <c r="K95" s="4">
        <v>6.25E-2</v>
      </c>
      <c r="L95" s="4">
        <v>0</v>
      </c>
      <c r="M95" s="4">
        <v>0</v>
      </c>
      <c r="N95" s="4">
        <v>0</v>
      </c>
      <c r="O95" s="4">
        <v>5.0000000000000001E-3</v>
      </c>
      <c r="P95" s="4">
        <v>0</v>
      </c>
      <c r="Q95" s="4">
        <v>0.05</v>
      </c>
      <c r="R95" s="4">
        <v>0</v>
      </c>
      <c r="S95" s="4">
        <v>0</v>
      </c>
      <c r="T95" s="4">
        <v>0</v>
      </c>
      <c r="U95" s="4">
        <v>0</v>
      </c>
      <c r="V95" s="30">
        <f t="shared" si="1"/>
        <v>0.14624999999999999</v>
      </c>
    </row>
    <row r="96" spans="1:22" x14ac:dyDescent="0.3">
      <c r="A96" s="19">
        <v>46208</v>
      </c>
      <c r="B96" s="31" t="s">
        <v>75</v>
      </c>
      <c r="C96" s="4">
        <v>7.4999999999999997E-3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2.1250000000000002E-2</v>
      </c>
      <c r="K96" s="4">
        <v>6.25E-2</v>
      </c>
      <c r="L96" s="4">
        <v>0</v>
      </c>
      <c r="M96" s="4">
        <v>0</v>
      </c>
      <c r="N96" s="4">
        <v>0</v>
      </c>
      <c r="O96" s="4">
        <v>5.0000000000000001E-3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30">
        <f t="shared" si="1"/>
        <v>9.6250000000000002E-2</v>
      </c>
    </row>
    <row r="97" spans="1:22" x14ac:dyDescent="0.3">
      <c r="A97" s="19">
        <v>46208</v>
      </c>
      <c r="B97" s="31" t="s">
        <v>74</v>
      </c>
      <c r="C97" s="4">
        <v>7.4999999999999997E-3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2.1250000000000002E-2</v>
      </c>
      <c r="K97" s="4">
        <v>0</v>
      </c>
      <c r="L97" s="4">
        <v>0</v>
      </c>
      <c r="M97" s="4">
        <v>0</v>
      </c>
      <c r="N97" s="4">
        <v>0</v>
      </c>
      <c r="O97" s="4">
        <v>5.0000000000000001E-3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0">
        <f t="shared" si="1"/>
        <v>3.3750000000000002E-2</v>
      </c>
    </row>
    <row r="98" spans="1:2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9">
        <f>SUM(V2:V97)</f>
        <v>33.458750000000002</v>
      </c>
    </row>
    <row r="104" spans="1:22" x14ac:dyDescent="0.3">
      <c r="G104" t="s">
        <v>199</v>
      </c>
    </row>
    <row r="106" spans="1:22" x14ac:dyDescent="0.3">
      <c r="C106" s="28" t="s">
        <v>73</v>
      </c>
    </row>
    <row r="107" spans="1:22" x14ac:dyDescent="0.3">
      <c r="C107" s="27" t="s">
        <v>72</v>
      </c>
      <c r="D107" s="15" t="s">
        <v>71</v>
      </c>
      <c r="E107" s="25"/>
    </row>
    <row r="108" spans="1:22" x14ac:dyDescent="0.3">
      <c r="B108">
        <v>13</v>
      </c>
      <c r="C108" s="26" t="s">
        <v>70</v>
      </c>
      <c r="D108" s="15">
        <v>90</v>
      </c>
      <c r="E108" s="25" t="s">
        <v>69</v>
      </c>
      <c r="F108">
        <v>22.5</v>
      </c>
      <c r="G108">
        <v>2.5000000000000001E-2</v>
      </c>
      <c r="I108" t="s">
        <v>37</v>
      </c>
    </row>
    <row r="109" spans="1:22" x14ac:dyDescent="0.3">
      <c r="B109">
        <v>3</v>
      </c>
      <c r="C109" s="26" t="s">
        <v>68</v>
      </c>
      <c r="D109" s="15">
        <v>60</v>
      </c>
      <c r="E109" s="25" t="s">
        <v>67</v>
      </c>
      <c r="F109">
        <v>15</v>
      </c>
      <c r="G109">
        <v>1.4999999999999999E-2</v>
      </c>
      <c r="I109" t="s">
        <v>37</v>
      </c>
    </row>
    <row r="110" spans="1:22" x14ac:dyDescent="0.3">
      <c r="B110">
        <v>1</v>
      </c>
      <c r="C110" s="26" t="s">
        <v>66</v>
      </c>
      <c r="D110" s="15">
        <v>15</v>
      </c>
      <c r="E110" s="25" t="s">
        <v>65</v>
      </c>
      <c r="F110">
        <v>3.75</v>
      </c>
      <c r="G110">
        <v>3.7499999999999999E-3</v>
      </c>
      <c r="I110" t="s">
        <v>37</v>
      </c>
    </row>
    <row r="111" spans="1:22" x14ac:dyDescent="0.3">
      <c r="B111">
        <v>2</v>
      </c>
      <c r="C111" s="26" t="s">
        <v>64</v>
      </c>
      <c r="D111" s="15">
        <v>20</v>
      </c>
      <c r="E111" s="25" t="s">
        <v>63</v>
      </c>
      <c r="F111">
        <v>5</v>
      </c>
      <c r="G111">
        <v>5.0000000000000001E-3</v>
      </c>
      <c r="I111" t="s">
        <v>37</v>
      </c>
    </row>
    <row r="112" spans="1:22" x14ac:dyDescent="0.3">
      <c r="C112" s="26" t="s">
        <v>62</v>
      </c>
      <c r="D112" s="15">
        <v>200</v>
      </c>
      <c r="E112" s="25" t="s">
        <v>61</v>
      </c>
      <c r="F112">
        <v>50</v>
      </c>
      <c r="G112">
        <v>0.05</v>
      </c>
      <c r="I112" t="s">
        <v>37</v>
      </c>
    </row>
    <row r="113" spans="2:9" x14ac:dyDescent="0.3">
      <c r="B113">
        <v>1</v>
      </c>
      <c r="C113" s="26" t="s">
        <v>60</v>
      </c>
      <c r="D113" s="15">
        <v>85</v>
      </c>
      <c r="E113" s="25" t="s">
        <v>59</v>
      </c>
      <c r="F113" t="s">
        <v>58</v>
      </c>
      <c r="G113">
        <v>2.1250000000000002E-2</v>
      </c>
      <c r="I113" t="s">
        <v>37</v>
      </c>
    </row>
    <row r="114" spans="2:9" x14ac:dyDescent="0.3">
      <c r="B114">
        <v>1</v>
      </c>
      <c r="C114" s="26" t="s">
        <v>57</v>
      </c>
      <c r="D114" s="15">
        <v>250</v>
      </c>
      <c r="E114" s="25" t="s">
        <v>56</v>
      </c>
      <c r="F114">
        <v>62.5</v>
      </c>
      <c r="G114">
        <v>6.25E-2</v>
      </c>
      <c r="I114" t="s">
        <v>37</v>
      </c>
    </row>
    <row r="115" spans="2:9" x14ac:dyDescent="0.3">
      <c r="B115">
        <v>1</v>
      </c>
      <c r="C115" s="26" t="s">
        <v>55</v>
      </c>
      <c r="D115" s="15">
        <v>100</v>
      </c>
      <c r="E115" s="25" t="s">
        <v>54</v>
      </c>
      <c r="F115">
        <v>25</v>
      </c>
      <c r="G115">
        <v>2.5000000000000001E-2</v>
      </c>
      <c r="I115" t="s">
        <v>37</v>
      </c>
    </row>
    <row r="116" spans="2:9" x14ac:dyDescent="0.3">
      <c r="B116">
        <v>1</v>
      </c>
      <c r="C116" s="26" t="s">
        <v>53</v>
      </c>
      <c r="D116" s="15">
        <v>1300</v>
      </c>
      <c r="E116" s="25" t="s">
        <v>52</v>
      </c>
      <c r="F116">
        <v>325</v>
      </c>
      <c r="G116">
        <v>3.2500000000000001E-2</v>
      </c>
      <c r="I116" t="s">
        <v>37</v>
      </c>
    </row>
    <row r="117" spans="2:9" x14ac:dyDescent="0.3">
      <c r="B117">
        <v>1</v>
      </c>
      <c r="C117" s="26" t="s">
        <v>51</v>
      </c>
      <c r="D117" s="15">
        <v>800</v>
      </c>
      <c r="E117" s="25" t="s">
        <v>50</v>
      </c>
      <c r="F117">
        <v>160</v>
      </c>
      <c r="G117">
        <v>0.16</v>
      </c>
    </row>
    <row r="118" spans="2:9" x14ac:dyDescent="0.3">
      <c r="B118">
        <v>1</v>
      </c>
      <c r="C118" s="26" t="s">
        <v>49</v>
      </c>
      <c r="D118" s="15">
        <v>1500</v>
      </c>
      <c r="E118" s="25" t="s">
        <v>35</v>
      </c>
      <c r="F118">
        <v>375</v>
      </c>
      <c r="G118">
        <v>0.375</v>
      </c>
    </row>
    <row r="119" spans="2:9" x14ac:dyDescent="0.3">
      <c r="B119">
        <v>1</v>
      </c>
      <c r="C119" s="26" t="s">
        <v>48</v>
      </c>
      <c r="D119" s="15">
        <v>120</v>
      </c>
      <c r="E119" s="25" t="s">
        <v>47</v>
      </c>
      <c r="F119">
        <v>30</v>
      </c>
      <c r="G119">
        <v>0.03</v>
      </c>
    </row>
    <row r="120" spans="2:9" x14ac:dyDescent="0.3">
      <c r="B120">
        <v>1</v>
      </c>
      <c r="C120" s="26" t="s">
        <v>46</v>
      </c>
      <c r="D120" s="15">
        <v>3000</v>
      </c>
      <c r="E120" s="25" t="s">
        <v>45</v>
      </c>
      <c r="F120">
        <v>750</v>
      </c>
      <c r="G120">
        <v>0.75</v>
      </c>
    </row>
    <row r="121" spans="2:9" x14ac:dyDescent="0.3">
      <c r="B121">
        <v>1</v>
      </c>
      <c r="C121" s="26" t="s">
        <v>44</v>
      </c>
      <c r="D121" s="15">
        <v>6000</v>
      </c>
      <c r="E121" s="25" t="s">
        <v>43</v>
      </c>
      <c r="F121">
        <v>1500</v>
      </c>
      <c r="G121" t="s">
        <v>42</v>
      </c>
      <c r="H121">
        <v>1.5</v>
      </c>
    </row>
    <row r="122" spans="2:9" x14ac:dyDescent="0.3">
      <c r="B122">
        <v>1</v>
      </c>
      <c r="C122" s="26" t="s">
        <v>41</v>
      </c>
      <c r="D122" s="15">
        <v>2200</v>
      </c>
      <c r="E122" s="25" t="s">
        <v>40</v>
      </c>
      <c r="F122">
        <v>550</v>
      </c>
      <c r="H122">
        <v>0.55000000000000004</v>
      </c>
      <c r="I122" t="s">
        <v>37</v>
      </c>
    </row>
    <row r="123" spans="2:9" x14ac:dyDescent="0.3">
      <c r="B123">
        <v>1</v>
      </c>
      <c r="C123" s="26" t="s">
        <v>39</v>
      </c>
      <c r="D123" s="15">
        <v>2100</v>
      </c>
      <c r="E123" s="25" t="s">
        <v>38</v>
      </c>
      <c r="F123">
        <v>525</v>
      </c>
      <c r="H123">
        <v>0.52500000000000002</v>
      </c>
      <c r="I123" t="s">
        <v>37</v>
      </c>
    </row>
    <row r="124" spans="2:9" x14ac:dyDescent="0.3">
      <c r="B124">
        <v>1</v>
      </c>
      <c r="C124" s="26" t="s">
        <v>36</v>
      </c>
      <c r="D124" s="15">
        <v>1500</v>
      </c>
      <c r="E124" s="25" t="s">
        <v>35</v>
      </c>
      <c r="F124">
        <v>375</v>
      </c>
      <c r="H124">
        <v>0.375</v>
      </c>
    </row>
    <row r="125" spans="2:9" x14ac:dyDescent="0.3">
      <c r="B125">
        <v>1</v>
      </c>
      <c r="C125" s="26" t="s">
        <v>34</v>
      </c>
      <c r="D125" s="15">
        <v>30</v>
      </c>
      <c r="E125" s="25" t="s">
        <v>33</v>
      </c>
      <c r="F125">
        <v>7.5</v>
      </c>
      <c r="H125">
        <v>7.4999999999999997E-3</v>
      </c>
    </row>
    <row r="126" spans="2:9" x14ac:dyDescent="0.3">
      <c r="B126">
        <v>1</v>
      </c>
      <c r="C126" s="26" t="s">
        <v>32</v>
      </c>
      <c r="D126" s="15">
        <v>1000</v>
      </c>
      <c r="E126" s="25" t="s">
        <v>31</v>
      </c>
      <c r="F126">
        <v>250</v>
      </c>
      <c r="H126">
        <v>0.25</v>
      </c>
    </row>
    <row r="130" spans="3:6" x14ac:dyDescent="0.3">
      <c r="E130">
        <v>4</v>
      </c>
    </row>
    <row r="131" spans="3:6" x14ac:dyDescent="0.3">
      <c r="C131" t="s">
        <v>198</v>
      </c>
      <c r="D131" t="s">
        <v>197</v>
      </c>
      <c r="E131">
        <v>1.5</v>
      </c>
    </row>
    <row r="132" spans="3:6" x14ac:dyDescent="0.3">
      <c r="C132" t="s">
        <v>196</v>
      </c>
      <c r="D132" t="s">
        <v>195</v>
      </c>
      <c r="E132">
        <v>0.75</v>
      </c>
      <c r="F132">
        <v>0.375</v>
      </c>
    </row>
    <row r="133" spans="3:6" x14ac:dyDescent="0.3">
      <c r="C133" t="s">
        <v>194</v>
      </c>
      <c r="D133" t="s">
        <v>193</v>
      </c>
      <c r="E133" t="s">
        <v>192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D9DE-2FE8-4C30-8F3B-A40105FB8A2F}">
  <sheetPr>
    <tabColor rgb="FFFF0000"/>
  </sheetPr>
  <dimension ref="A1:P125"/>
  <sheetViews>
    <sheetView zoomScale="55" zoomScaleNormal="55" workbookViewId="0">
      <selection activeCell="J3" sqref="J3:J98"/>
    </sheetView>
  </sheetViews>
  <sheetFormatPr defaultRowHeight="14.4" x14ac:dyDescent="0.3"/>
  <cols>
    <col min="1" max="2" width="16.88671875" customWidth="1"/>
    <col min="3" max="3" width="12.44140625" customWidth="1"/>
    <col min="4" max="4" width="16.109375" customWidth="1"/>
    <col min="5" max="5" width="12.44140625" customWidth="1"/>
    <col min="6" max="6" width="12.6640625" customWidth="1"/>
    <col min="7" max="7" width="12.44140625" customWidth="1"/>
    <col min="8" max="8" width="14.5546875" customWidth="1"/>
    <col min="9" max="9" width="12.88671875" customWidth="1"/>
    <col min="10" max="10" width="14.5546875" customWidth="1"/>
    <col min="11" max="11" width="15" customWidth="1"/>
    <col min="12" max="12" width="15.33203125" customWidth="1"/>
    <col min="13" max="13" width="17" customWidth="1"/>
    <col min="14" max="14" width="15.109375" customWidth="1"/>
    <col min="15" max="15" width="19.33203125" customWidth="1"/>
    <col min="16" max="16" width="19.5546875" customWidth="1"/>
  </cols>
  <sheetData>
    <row r="1" spans="1:16" x14ac:dyDescent="0.3">
      <c r="A1" s="77" t="s">
        <v>184</v>
      </c>
      <c r="B1" s="75" t="s">
        <v>183</v>
      </c>
      <c r="C1" s="1" t="s">
        <v>0</v>
      </c>
      <c r="D1" s="22" t="s">
        <v>203</v>
      </c>
      <c r="E1" s="23" t="s">
        <v>1</v>
      </c>
      <c r="F1" s="52" t="s">
        <v>2</v>
      </c>
      <c r="G1" s="52" t="s">
        <v>3</v>
      </c>
      <c r="H1" s="52" t="s">
        <v>200</v>
      </c>
      <c r="I1" s="22" t="s">
        <v>6</v>
      </c>
      <c r="J1" s="22" t="s">
        <v>7</v>
      </c>
      <c r="K1" s="52" t="s">
        <v>201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191</v>
      </c>
    </row>
    <row r="2" spans="1:16" x14ac:dyDescent="0.3">
      <c r="A2" s="78"/>
      <c r="B2" s="76"/>
      <c r="C2" s="2" t="s">
        <v>4</v>
      </c>
      <c r="D2" s="2" t="s">
        <v>309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>
        <v>17</v>
      </c>
      <c r="K2" s="53" t="s">
        <v>202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</row>
    <row r="3" spans="1:16" x14ac:dyDescent="0.3">
      <c r="A3" s="47">
        <f>DATE(2026,7,20)</f>
        <v>46223</v>
      </c>
      <c r="B3" s="49">
        <f>TIME(0,0,0)</f>
        <v>0</v>
      </c>
      <c r="C3" s="42">
        <f>'Červenec vík data'!V2+P3</f>
        <v>7.3999999999999996E-2</v>
      </c>
      <c r="D3" s="42">
        <f>MIN(C3, E3)</f>
        <v>0</v>
      </c>
      <c r="E3">
        <f>ROUND(MAX(0, 15 * EXP(-((HOUR(B3)+MINUTE(B3)/60 - 12.75)^2) / 10) * 0.25 - 0.006), 3)</f>
        <v>0</v>
      </c>
      <c r="F3" s="42">
        <f>MAX(0, C3 - D3 - H3 )</f>
        <v>0</v>
      </c>
      <c r="G3" s="42">
        <f>MAX(0, E3 - D3 - M3)</f>
        <v>0</v>
      </c>
      <c r="H3" s="42">
        <f>MAX(0, MIN(C3 - D3, N3 ))</f>
        <v>7.3999999999999996E-2</v>
      </c>
      <c r="I3" s="42">
        <f t="shared" ref="I3:I66" si="0">E3-C3</f>
        <v>-7.3999999999999996E-2</v>
      </c>
      <c r="J3" s="43">
        <f>MIN('Výpočty '!$B$1*0.9, MAX('Výpočty '!$B$1*0.05, J2 + M3 - MIN(O3, MAX(0, J2 - ('Výpočty '!$B$1*0.1))) - P3))</f>
        <v>16.879250000000003</v>
      </c>
      <c r="K3" s="46">
        <f>J3/'Výpočty '!$B$1</f>
        <v>0.84396250000000017</v>
      </c>
      <c r="L3" s="42">
        <f t="shared" ref="L3:L66" si="1">M3 * Účinnost_cyklu</f>
        <v>0</v>
      </c>
      <c r="M3" s="42">
        <f t="shared" ref="M3:M66" si="2">MIN(MAX(0, I3), MAX(0, Kapacita_baterie * Soc_Max - J2) / Účinnost_cyklu, Stridac_limit)</f>
        <v>0</v>
      </c>
      <c r="N3" s="42">
        <f t="shared" ref="N3:N66" si="3">MAX(0, MIN(J2 - (Kapacita_baterie * Soc_Kriticke), C3 - D3 + P3))</f>
        <v>9.2249999999999999E-2</v>
      </c>
      <c r="O3" s="42">
        <f>N3 / Účinnost_cyklu</f>
        <v>0.10249999999999999</v>
      </c>
      <c r="P3" s="42">
        <f t="shared" ref="P3:P66" si="4">Vlastní_Spotřeba_kWh</f>
        <v>1.8249999999999999E-2</v>
      </c>
    </row>
    <row r="4" spans="1:16" x14ac:dyDescent="0.3">
      <c r="A4" s="47">
        <f>DATE(2026,7,20)</f>
        <v>46223</v>
      </c>
      <c r="B4" s="49">
        <f>B3+TIME(0,15,0)</f>
        <v>1.0416666666666666E-2</v>
      </c>
      <c r="C4" s="42">
        <f>'Červenec vík data'!V3+P4</f>
        <v>7.3999999999999996E-2</v>
      </c>
      <c r="D4" s="42">
        <f t="shared" ref="D4:D67" si="5">MIN(C4, E4)</f>
        <v>0</v>
      </c>
      <c r="E4">
        <f t="shared" ref="E4:E67" si="6">ROUND(MAX(0, 15 * EXP(-((HOUR(B4)+MINUTE(B4)/60 - 12.75)^2) / 10) * 0.25 - 0.006), 3)</f>
        <v>0</v>
      </c>
      <c r="F4" s="42">
        <f t="shared" ref="F4:F67" si="7">MAX(0, C4 - D4 - H4 )</f>
        <v>0</v>
      </c>
      <c r="G4" s="42">
        <f t="shared" ref="G4:G67" si="8">MAX(0, E4 - D4 - M4)</f>
        <v>0</v>
      </c>
      <c r="H4" s="42">
        <f t="shared" ref="H4:H67" si="9">MAX(0, MIN(C4 - D4, N4 ))</f>
        <v>7.3999999999999996E-2</v>
      </c>
      <c r="I4" s="42">
        <f t="shared" si="0"/>
        <v>-7.3999999999999996E-2</v>
      </c>
      <c r="J4" s="43">
        <f>MIN('Výpočty '!$B$1*0.9, MAX('Výpočty '!$B$1*0.05, J3 + M4 - MIN(O4, MAX(0, J3 - ('Výpočty '!$B$1*0.1))) - P4))</f>
        <v>16.758500000000005</v>
      </c>
      <c r="K4" s="46">
        <f>J4/'Výpočty '!$B$1</f>
        <v>0.83792500000000025</v>
      </c>
      <c r="L4" s="42">
        <f t="shared" si="1"/>
        <v>0</v>
      </c>
      <c r="M4" s="42">
        <f t="shared" si="2"/>
        <v>0</v>
      </c>
      <c r="N4" s="42">
        <f t="shared" si="3"/>
        <v>9.2249999999999999E-2</v>
      </c>
      <c r="O4" s="42">
        <f t="shared" ref="O4:O67" si="10">N4 / Účinnost_cyklu</f>
        <v>0.10249999999999999</v>
      </c>
      <c r="P4" s="42">
        <f t="shared" si="4"/>
        <v>1.8249999999999999E-2</v>
      </c>
    </row>
    <row r="5" spans="1:16" x14ac:dyDescent="0.3">
      <c r="A5" s="47">
        <f t="shared" ref="A5:A68" si="11">DATE(2026,7,20)</f>
        <v>46223</v>
      </c>
      <c r="B5" s="49">
        <f t="shared" ref="B5:B68" si="12">B4+TIME(0,15,0)</f>
        <v>2.0833333333333332E-2</v>
      </c>
      <c r="C5" s="42">
        <f>'Červenec vík data'!V4+P5</f>
        <v>7.0999999999999994E-2</v>
      </c>
      <c r="D5" s="42">
        <f t="shared" si="5"/>
        <v>0</v>
      </c>
      <c r="E5">
        <f t="shared" si="6"/>
        <v>0</v>
      </c>
      <c r="F5" s="42">
        <f t="shared" si="7"/>
        <v>0</v>
      </c>
      <c r="G5" s="42">
        <f t="shared" si="8"/>
        <v>0</v>
      </c>
      <c r="H5" s="42">
        <f t="shared" si="9"/>
        <v>7.0999999999999994E-2</v>
      </c>
      <c r="I5" s="42">
        <f t="shared" si="0"/>
        <v>-7.0999999999999994E-2</v>
      </c>
      <c r="J5" s="43">
        <f>MIN('Výpočty '!$B$1*0.9, MAX('Výpočty '!$B$1*0.05, J4 + M5 - MIN(O5, MAX(0, J4 - ('Výpočty '!$B$1*0.1))) - P5))</f>
        <v>16.641083333333341</v>
      </c>
      <c r="K5" s="46">
        <f>J5/'Výpočty '!$B$1</f>
        <v>0.83205416666666709</v>
      </c>
      <c r="L5" s="42">
        <f t="shared" si="1"/>
        <v>0</v>
      </c>
      <c r="M5" s="42">
        <f t="shared" si="2"/>
        <v>0</v>
      </c>
      <c r="N5" s="42">
        <f t="shared" si="3"/>
        <v>8.9249999999999996E-2</v>
      </c>
      <c r="O5" s="42">
        <f t="shared" si="10"/>
        <v>9.9166666666666653E-2</v>
      </c>
      <c r="P5" s="42">
        <f t="shared" si="4"/>
        <v>1.8249999999999999E-2</v>
      </c>
    </row>
    <row r="6" spans="1:16" x14ac:dyDescent="0.3">
      <c r="A6" s="47">
        <f t="shared" si="11"/>
        <v>46223</v>
      </c>
      <c r="B6" s="49">
        <f t="shared" si="12"/>
        <v>3.125E-2</v>
      </c>
      <c r="C6" s="42">
        <f>'Červenec vík data'!V5+P6</f>
        <v>6.699999999999999E-2</v>
      </c>
      <c r="D6" s="42">
        <f t="shared" si="5"/>
        <v>0</v>
      </c>
      <c r="E6">
        <f t="shared" si="6"/>
        <v>0</v>
      </c>
      <c r="F6" s="42">
        <f t="shared" si="7"/>
        <v>0</v>
      </c>
      <c r="G6" s="42">
        <f t="shared" si="8"/>
        <v>0</v>
      </c>
      <c r="H6" s="42">
        <f t="shared" si="9"/>
        <v>6.699999999999999E-2</v>
      </c>
      <c r="I6" s="42">
        <f t="shared" si="0"/>
        <v>-6.699999999999999E-2</v>
      </c>
      <c r="J6" s="43">
        <f>MIN('Výpočty '!$B$1*0.9, MAX('Výpočty '!$B$1*0.05, J5 + M6 - MIN(O6, MAX(0, J5 - ('Výpočty '!$B$1*0.1))) - P6))</f>
        <v>16.528111111111119</v>
      </c>
      <c r="K6" s="46">
        <f>J6/'Výpočty '!$B$1</f>
        <v>0.82640555555555595</v>
      </c>
      <c r="L6" s="42">
        <f t="shared" si="1"/>
        <v>0</v>
      </c>
      <c r="M6" s="42">
        <f t="shared" si="2"/>
        <v>0</v>
      </c>
      <c r="N6" s="42">
        <f t="shared" si="3"/>
        <v>8.5249999999999992E-2</v>
      </c>
      <c r="O6" s="42">
        <f t="shared" si="10"/>
        <v>9.4722222222222208E-2</v>
      </c>
      <c r="P6" s="42">
        <f t="shared" si="4"/>
        <v>1.8249999999999999E-2</v>
      </c>
    </row>
    <row r="7" spans="1:16" x14ac:dyDescent="0.3">
      <c r="A7" s="47">
        <f t="shared" si="11"/>
        <v>46223</v>
      </c>
      <c r="B7" s="49">
        <f t="shared" si="12"/>
        <v>4.1666666666666664E-2</v>
      </c>
      <c r="C7" s="42">
        <f>'Červenec vík data'!V6+P7</f>
        <v>6.699999999999999E-2</v>
      </c>
      <c r="D7" s="42">
        <f t="shared" si="5"/>
        <v>0</v>
      </c>
      <c r="E7">
        <f t="shared" si="6"/>
        <v>0</v>
      </c>
      <c r="F7" s="42">
        <f t="shared" si="7"/>
        <v>0</v>
      </c>
      <c r="G7" s="42">
        <f t="shared" si="8"/>
        <v>0</v>
      </c>
      <c r="H7" s="42">
        <f t="shared" si="9"/>
        <v>6.699999999999999E-2</v>
      </c>
      <c r="I7" s="42">
        <f t="shared" si="0"/>
        <v>-6.699999999999999E-2</v>
      </c>
      <c r="J7" s="43">
        <f>MIN('Výpočty '!$B$1*0.9, MAX('Výpočty '!$B$1*0.05, J6 + M7 - MIN(O7, MAX(0, J6 - ('Výpočty '!$B$1*0.1))) - P7))</f>
        <v>16.415138888888897</v>
      </c>
      <c r="K7" s="46">
        <f>J7/'Výpočty '!$B$1</f>
        <v>0.82075694444444491</v>
      </c>
      <c r="L7" s="42">
        <f t="shared" si="1"/>
        <v>0</v>
      </c>
      <c r="M7" s="42">
        <f t="shared" si="2"/>
        <v>0</v>
      </c>
      <c r="N7" s="42">
        <f t="shared" si="3"/>
        <v>8.5249999999999992E-2</v>
      </c>
      <c r="O7" s="42">
        <f t="shared" si="10"/>
        <v>9.4722222222222208E-2</v>
      </c>
      <c r="P7" s="42">
        <f t="shared" si="4"/>
        <v>1.8249999999999999E-2</v>
      </c>
    </row>
    <row r="8" spans="1:16" x14ac:dyDescent="0.3">
      <c r="A8" s="47">
        <f t="shared" si="11"/>
        <v>46223</v>
      </c>
      <c r="B8" s="49">
        <f t="shared" si="12"/>
        <v>5.2083333333333329E-2</v>
      </c>
      <c r="C8" s="42">
        <f>'Červenec vík data'!V7+P8</f>
        <v>6.2E-2</v>
      </c>
      <c r="D8" s="42">
        <f t="shared" si="5"/>
        <v>0</v>
      </c>
      <c r="E8">
        <f t="shared" si="6"/>
        <v>0</v>
      </c>
      <c r="F8" s="42">
        <f t="shared" si="7"/>
        <v>0</v>
      </c>
      <c r="G8" s="42">
        <f t="shared" si="8"/>
        <v>0</v>
      </c>
      <c r="H8" s="42">
        <f t="shared" si="9"/>
        <v>6.2E-2</v>
      </c>
      <c r="I8" s="42">
        <f t="shared" si="0"/>
        <v>-6.2E-2</v>
      </c>
      <c r="J8" s="43">
        <f>MIN('Výpočty '!$B$1*0.9, MAX('Výpočty '!$B$1*0.05, J7 + M8 - MIN(O8, MAX(0, J7 - ('Výpočty '!$B$1*0.1))) - P8))</f>
        <v>16.307722222222232</v>
      </c>
      <c r="K8" s="46">
        <f>J8/'Výpočty '!$B$1</f>
        <v>0.81538611111111159</v>
      </c>
      <c r="L8" s="42">
        <f t="shared" si="1"/>
        <v>0</v>
      </c>
      <c r="M8" s="42">
        <f t="shared" si="2"/>
        <v>0</v>
      </c>
      <c r="N8" s="42">
        <f t="shared" si="3"/>
        <v>8.0250000000000002E-2</v>
      </c>
      <c r="O8" s="42">
        <f t="shared" si="10"/>
        <v>8.9166666666666672E-2</v>
      </c>
      <c r="P8" s="42">
        <f t="shared" si="4"/>
        <v>1.8249999999999999E-2</v>
      </c>
    </row>
    <row r="9" spans="1:16" x14ac:dyDescent="0.3">
      <c r="A9" s="47">
        <f t="shared" si="11"/>
        <v>46223</v>
      </c>
      <c r="B9" s="49">
        <f t="shared" si="12"/>
        <v>6.2499999999999993E-2</v>
      </c>
      <c r="C9" s="42">
        <f>'Červenec vík data'!V8+P9</f>
        <v>6.2E-2</v>
      </c>
      <c r="D9" s="42">
        <f t="shared" si="5"/>
        <v>0</v>
      </c>
      <c r="E9">
        <f t="shared" si="6"/>
        <v>0</v>
      </c>
      <c r="F9" s="42">
        <f t="shared" si="7"/>
        <v>0</v>
      </c>
      <c r="G9" s="42">
        <f t="shared" si="8"/>
        <v>0</v>
      </c>
      <c r="H9" s="42">
        <f t="shared" si="9"/>
        <v>6.2E-2</v>
      </c>
      <c r="I9" s="42">
        <f t="shared" si="0"/>
        <v>-6.2E-2</v>
      </c>
      <c r="J9" s="43">
        <f>MIN('Výpočty '!$B$1*0.9, MAX('Výpočty '!$B$1*0.05, J8 + M9 - MIN(O9, MAX(0, J8 - ('Výpočty '!$B$1*0.1))) - P9))</f>
        <v>16.200305555555566</v>
      </c>
      <c r="K9" s="46">
        <f>J9/'Výpočty '!$B$1</f>
        <v>0.81001527777777826</v>
      </c>
      <c r="L9" s="42">
        <f t="shared" si="1"/>
        <v>0</v>
      </c>
      <c r="M9" s="42">
        <f t="shared" si="2"/>
        <v>0</v>
      </c>
      <c r="N9" s="42">
        <f t="shared" si="3"/>
        <v>8.0250000000000002E-2</v>
      </c>
      <c r="O9" s="42">
        <f t="shared" si="10"/>
        <v>8.9166666666666672E-2</v>
      </c>
      <c r="P9" s="42">
        <f t="shared" si="4"/>
        <v>1.8249999999999999E-2</v>
      </c>
    </row>
    <row r="10" spans="1:16" x14ac:dyDescent="0.3">
      <c r="A10" s="47">
        <f t="shared" si="11"/>
        <v>46223</v>
      </c>
      <c r="B10" s="49">
        <f t="shared" si="12"/>
        <v>7.2916666666666657E-2</v>
      </c>
      <c r="C10" s="42">
        <f>'Červenec vík data'!V9+P10</f>
        <v>4.0749999999999995E-2</v>
      </c>
      <c r="D10" s="42">
        <f t="shared" si="5"/>
        <v>0</v>
      </c>
      <c r="E10">
        <f t="shared" si="6"/>
        <v>0</v>
      </c>
      <c r="F10" s="42">
        <f t="shared" si="7"/>
        <v>0</v>
      </c>
      <c r="G10" s="42">
        <f t="shared" si="8"/>
        <v>0</v>
      </c>
      <c r="H10" s="42">
        <f t="shared" si="9"/>
        <v>4.0749999999999995E-2</v>
      </c>
      <c r="I10" s="42">
        <f t="shared" si="0"/>
        <v>-4.0749999999999995E-2</v>
      </c>
      <c r="J10" s="43">
        <f>MIN('Výpočty '!$B$1*0.9, MAX('Výpočty '!$B$1*0.05, J9 + M10 - MIN(O10, MAX(0, J9 - ('Výpočty '!$B$1*0.1))) - P10))</f>
        <v>16.116500000000013</v>
      </c>
      <c r="K10" s="46">
        <f>J10/'Výpočty '!$B$1</f>
        <v>0.80582500000000068</v>
      </c>
      <c r="L10" s="42">
        <f t="shared" si="1"/>
        <v>0</v>
      </c>
      <c r="M10" s="42">
        <f t="shared" si="2"/>
        <v>0</v>
      </c>
      <c r="N10" s="42">
        <f t="shared" si="3"/>
        <v>5.8999999999999997E-2</v>
      </c>
      <c r="O10" s="42">
        <f t="shared" si="10"/>
        <v>6.5555555555555547E-2</v>
      </c>
      <c r="P10" s="42">
        <f t="shared" si="4"/>
        <v>1.8249999999999999E-2</v>
      </c>
    </row>
    <row r="11" spans="1:16" x14ac:dyDescent="0.3">
      <c r="A11" s="47">
        <f t="shared" si="11"/>
        <v>46223</v>
      </c>
      <c r="B11" s="49">
        <f t="shared" si="12"/>
        <v>8.3333333333333329E-2</v>
      </c>
      <c r="C11" s="42">
        <f>'Červenec vík data'!V10+P11</f>
        <v>4.0749999999999995E-2</v>
      </c>
      <c r="D11" s="42">
        <f t="shared" si="5"/>
        <v>0</v>
      </c>
      <c r="E11">
        <f t="shared" si="6"/>
        <v>0</v>
      </c>
      <c r="F11" s="42">
        <f t="shared" si="7"/>
        <v>0</v>
      </c>
      <c r="G11" s="42">
        <f t="shared" si="8"/>
        <v>0</v>
      </c>
      <c r="H11" s="42">
        <f t="shared" si="9"/>
        <v>4.0749999999999995E-2</v>
      </c>
      <c r="I11" s="42">
        <f t="shared" si="0"/>
        <v>-4.0749999999999995E-2</v>
      </c>
      <c r="J11" s="43">
        <f>MIN('Výpočty '!$B$1*0.9, MAX('Výpočty '!$B$1*0.05, J10 + M11 - MIN(O11, MAX(0, J10 - ('Výpočty '!$B$1*0.1))) - P11))</f>
        <v>16.032694444444459</v>
      </c>
      <c r="K11" s="46">
        <f>J11/'Výpočty '!$B$1</f>
        <v>0.80163472222222298</v>
      </c>
      <c r="L11" s="42">
        <f t="shared" si="1"/>
        <v>0</v>
      </c>
      <c r="M11" s="42">
        <f t="shared" si="2"/>
        <v>0</v>
      </c>
      <c r="N11" s="42">
        <f t="shared" si="3"/>
        <v>5.8999999999999997E-2</v>
      </c>
      <c r="O11" s="42">
        <f t="shared" si="10"/>
        <v>6.5555555555555547E-2</v>
      </c>
      <c r="P11" s="42">
        <f t="shared" si="4"/>
        <v>1.8249999999999999E-2</v>
      </c>
    </row>
    <row r="12" spans="1:16" x14ac:dyDescent="0.3">
      <c r="A12" s="47">
        <f t="shared" si="11"/>
        <v>46223</v>
      </c>
      <c r="B12" s="49">
        <f t="shared" si="12"/>
        <v>9.375E-2</v>
      </c>
      <c r="C12" s="42">
        <f>'Červenec vík data'!V11+P12</f>
        <v>2.5749999999999999E-2</v>
      </c>
      <c r="D12" s="42">
        <f t="shared" si="5"/>
        <v>0</v>
      </c>
      <c r="E12">
        <f t="shared" si="6"/>
        <v>0</v>
      </c>
      <c r="F12" s="42">
        <f t="shared" si="7"/>
        <v>0</v>
      </c>
      <c r="G12" s="42">
        <f t="shared" si="8"/>
        <v>0</v>
      </c>
      <c r="H12" s="42">
        <f t="shared" si="9"/>
        <v>2.5749999999999999E-2</v>
      </c>
      <c r="I12" s="42">
        <f t="shared" si="0"/>
        <v>-2.5749999999999999E-2</v>
      </c>
      <c r="J12" s="43">
        <f>MIN('Výpočty '!$B$1*0.9, MAX('Výpočty '!$B$1*0.05, J11 + M12 - MIN(O12, MAX(0, J11 - ('Výpočty '!$B$1*0.1))) - P12))</f>
        <v>15.96555555555557</v>
      </c>
      <c r="K12" s="46">
        <f>J12/'Výpočty '!$B$1</f>
        <v>0.79827777777777853</v>
      </c>
      <c r="L12" s="42">
        <f t="shared" si="1"/>
        <v>0</v>
      </c>
      <c r="M12" s="42">
        <f t="shared" si="2"/>
        <v>0</v>
      </c>
      <c r="N12" s="42">
        <f t="shared" si="3"/>
        <v>4.3999999999999997E-2</v>
      </c>
      <c r="O12" s="42">
        <f t="shared" si="10"/>
        <v>4.8888888888888885E-2</v>
      </c>
      <c r="P12" s="42">
        <f t="shared" si="4"/>
        <v>1.8249999999999999E-2</v>
      </c>
    </row>
    <row r="13" spans="1:16" x14ac:dyDescent="0.3">
      <c r="A13" s="47">
        <f t="shared" si="11"/>
        <v>46223</v>
      </c>
      <c r="B13" s="49">
        <f t="shared" si="12"/>
        <v>0.10416666666666667</v>
      </c>
      <c r="C13" s="42">
        <f>'Červenec vík data'!V12+P13</f>
        <v>2.5749999999999999E-2</v>
      </c>
      <c r="D13" s="42">
        <f t="shared" si="5"/>
        <v>0</v>
      </c>
      <c r="E13">
        <f t="shared" si="6"/>
        <v>0</v>
      </c>
      <c r="F13" s="42">
        <f t="shared" si="7"/>
        <v>0</v>
      </c>
      <c r="G13" s="42">
        <f t="shared" si="8"/>
        <v>0</v>
      </c>
      <c r="H13" s="42">
        <f t="shared" si="9"/>
        <v>2.5749999999999999E-2</v>
      </c>
      <c r="I13" s="42">
        <f t="shared" si="0"/>
        <v>-2.5749999999999999E-2</v>
      </c>
      <c r="J13" s="43">
        <f>MIN('Výpočty '!$B$1*0.9, MAX('Výpočty '!$B$1*0.05, J12 + M13 - MIN(O13, MAX(0, J12 - ('Výpočty '!$B$1*0.1))) - P13))</f>
        <v>15.89841666666668</v>
      </c>
      <c r="K13" s="46">
        <f>J13/'Výpočty '!$B$1</f>
        <v>0.79492083333333396</v>
      </c>
      <c r="L13" s="42">
        <f t="shared" si="1"/>
        <v>0</v>
      </c>
      <c r="M13" s="42">
        <f t="shared" si="2"/>
        <v>0</v>
      </c>
      <c r="N13" s="42">
        <f t="shared" si="3"/>
        <v>4.3999999999999997E-2</v>
      </c>
      <c r="O13" s="42">
        <f t="shared" si="10"/>
        <v>4.8888888888888885E-2</v>
      </c>
      <c r="P13" s="42">
        <f t="shared" si="4"/>
        <v>1.8249999999999999E-2</v>
      </c>
    </row>
    <row r="14" spans="1:16" x14ac:dyDescent="0.3">
      <c r="A14" s="47">
        <f t="shared" si="11"/>
        <v>46223</v>
      </c>
      <c r="B14" s="49">
        <f t="shared" si="12"/>
        <v>0.11458333333333334</v>
      </c>
      <c r="C14" s="42">
        <f>'Červenec vík data'!V13+P14</f>
        <v>2.5749999999999999E-2</v>
      </c>
      <c r="D14" s="42">
        <f t="shared" si="5"/>
        <v>0</v>
      </c>
      <c r="E14">
        <f t="shared" si="6"/>
        <v>0</v>
      </c>
      <c r="F14" s="42">
        <f t="shared" si="7"/>
        <v>0</v>
      </c>
      <c r="G14" s="42">
        <f t="shared" si="8"/>
        <v>0</v>
      </c>
      <c r="H14" s="42">
        <f t="shared" si="9"/>
        <v>2.5749999999999999E-2</v>
      </c>
      <c r="I14" s="42">
        <f t="shared" si="0"/>
        <v>-2.5749999999999999E-2</v>
      </c>
      <c r="J14" s="43">
        <f>MIN('Výpočty '!$B$1*0.9, MAX('Výpočty '!$B$1*0.05, J13 + M14 - MIN(O14, MAX(0, J13 - ('Výpočty '!$B$1*0.1))) - P14))</f>
        <v>15.831277777777791</v>
      </c>
      <c r="K14" s="46">
        <f>J14/'Výpočty '!$B$1</f>
        <v>0.79156388888888951</v>
      </c>
      <c r="L14" s="42">
        <f t="shared" si="1"/>
        <v>0</v>
      </c>
      <c r="M14" s="42">
        <f t="shared" si="2"/>
        <v>0</v>
      </c>
      <c r="N14" s="42">
        <f t="shared" si="3"/>
        <v>4.3999999999999997E-2</v>
      </c>
      <c r="O14" s="42">
        <f t="shared" si="10"/>
        <v>4.8888888888888885E-2</v>
      </c>
      <c r="P14" s="42">
        <f t="shared" si="4"/>
        <v>1.8249999999999999E-2</v>
      </c>
    </row>
    <row r="15" spans="1:16" x14ac:dyDescent="0.3">
      <c r="A15" s="47">
        <f t="shared" si="11"/>
        <v>46223</v>
      </c>
      <c r="B15" s="49">
        <f t="shared" si="12"/>
        <v>0.125</v>
      </c>
      <c r="C15" s="42">
        <f>'Červenec vík data'!V14+P15</f>
        <v>2.5749999999999999E-2</v>
      </c>
      <c r="D15" s="42">
        <f t="shared" si="5"/>
        <v>0</v>
      </c>
      <c r="E15">
        <f t="shared" si="6"/>
        <v>0</v>
      </c>
      <c r="F15" s="42">
        <f t="shared" si="7"/>
        <v>0</v>
      </c>
      <c r="G15" s="42">
        <f t="shared" si="8"/>
        <v>0</v>
      </c>
      <c r="H15" s="42">
        <f t="shared" si="9"/>
        <v>2.5749999999999999E-2</v>
      </c>
      <c r="I15" s="42">
        <f t="shared" si="0"/>
        <v>-2.5749999999999999E-2</v>
      </c>
      <c r="J15" s="43">
        <f>MIN('Výpočty '!$B$1*0.9, MAX('Výpočty '!$B$1*0.05, J14 + M15 - MIN(O15, MAX(0, J14 - ('Výpočty '!$B$1*0.1))) - P15))</f>
        <v>15.764138888888901</v>
      </c>
      <c r="K15" s="46">
        <f>J15/'Výpočty '!$B$1</f>
        <v>0.78820694444444506</v>
      </c>
      <c r="L15" s="42">
        <f t="shared" si="1"/>
        <v>0</v>
      </c>
      <c r="M15" s="42">
        <f t="shared" si="2"/>
        <v>0</v>
      </c>
      <c r="N15" s="42">
        <f t="shared" si="3"/>
        <v>4.3999999999999997E-2</v>
      </c>
      <c r="O15" s="42">
        <f t="shared" si="10"/>
        <v>4.8888888888888885E-2</v>
      </c>
      <c r="P15" s="42">
        <f t="shared" si="4"/>
        <v>1.8249999999999999E-2</v>
      </c>
    </row>
    <row r="16" spans="1:16" x14ac:dyDescent="0.3">
      <c r="A16" s="47">
        <f t="shared" si="11"/>
        <v>46223</v>
      </c>
      <c r="B16" s="49">
        <f t="shared" si="12"/>
        <v>0.13541666666666666</v>
      </c>
      <c r="C16" s="42">
        <f>'Červenec vík data'!V15+P16</f>
        <v>2.5749999999999999E-2</v>
      </c>
      <c r="D16" s="42">
        <f t="shared" si="5"/>
        <v>0</v>
      </c>
      <c r="E16">
        <f t="shared" si="6"/>
        <v>0</v>
      </c>
      <c r="F16" s="42">
        <f t="shared" si="7"/>
        <v>0</v>
      </c>
      <c r="G16" s="42">
        <f t="shared" si="8"/>
        <v>0</v>
      </c>
      <c r="H16" s="42">
        <f t="shared" si="9"/>
        <v>2.5749999999999999E-2</v>
      </c>
      <c r="I16" s="42">
        <f t="shared" si="0"/>
        <v>-2.5749999999999999E-2</v>
      </c>
      <c r="J16" s="43">
        <f>MIN('Výpočty '!$B$1*0.9, MAX('Výpočty '!$B$1*0.05, J15 + M16 - MIN(O16, MAX(0, J15 - ('Výpočty '!$B$1*0.1))) - P16))</f>
        <v>15.697000000000012</v>
      </c>
      <c r="K16" s="46">
        <f>J16/'Výpočty '!$B$1</f>
        <v>0.7848500000000006</v>
      </c>
      <c r="L16" s="42">
        <f t="shared" si="1"/>
        <v>0</v>
      </c>
      <c r="M16" s="42">
        <f t="shared" si="2"/>
        <v>0</v>
      </c>
      <c r="N16" s="42">
        <f t="shared" si="3"/>
        <v>4.3999999999999997E-2</v>
      </c>
      <c r="O16" s="42">
        <f t="shared" si="10"/>
        <v>4.8888888888888885E-2</v>
      </c>
      <c r="P16" s="42">
        <f t="shared" si="4"/>
        <v>1.8249999999999999E-2</v>
      </c>
    </row>
    <row r="17" spans="1:16" x14ac:dyDescent="0.3">
      <c r="A17" s="47">
        <f t="shared" si="11"/>
        <v>46223</v>
      </c>
      <c r="B17" s="49">
        <f t="shared" si="12"/>
        <v>0.14583333333333331</v>
      </c>
      <c r="C17" s="42">
        <f>'Červenec vík data'!V16+P17</f>
        <v>2.5749999999999999E-2</v>
      </c>
      <c r="D17" s="42">
        <f t="shared" si="5"/>
        <v>0</v>
      </c>
      <c r="E17">
        <f t="shared" si="6"/>
        <v>0</v>
      </c>
      <c r="F17" s="42">
        <f t="shared" si="7"/>
        <v>0</v>
      </c>
      <c r="G17" s="42">
        <f t="shared" si="8"/>
        <v>0</v>
      </c>
      <c r="H17" s="42">
        <f t="shared" si="9"/>
        <v>2.5749999999999999E-2</v>
      </c>
      <c r="I17" s="42">
        <f t="shared" si="0"/>
        <v>-2.5749999999999999E-2</v>
      </c>
      <c r="J17" s="43">
        <f>MIN('Výpočty '!$B$1*0.9, MAX('Výpočty '!$B$1*0.05, J16 + M17 - MIN(O17, MAX(0, J16 - ('Výpočty '!$B$1*0.1))) - P17))</f>
        <v>15.629861111111122</v>
      </c>
      <c r="K17" s="46">
        <f>J17/'Výpočty '!$B$1</f>
        <v>0.78149305555555615</v>
      </c>
      <c r="L17" s="42">
        <f t="shared" si="1"/>
        <v>0</v>
      </c>
      <c r="M17" s="42">
        <f t="shared" si="2"/>
        <v>0</v>
      </c>
      <c r="N17" s="42">
        <f t="shared" si="3"/>
        <v>4.3999999999999997E-2</v>
      </c>
      <c r="O17" s="42">
        <f t="shared" si="10"/>
        <v>4.8888888888888885E-2</v>
      </c>
      <c r="P17" s="42">
        <f t="shared" si="4"/>
        <v>1.8249999999999999E-2</v>
      </c>
    </row>
    <row r="18" spans="1:16" x14ac:dyDescent="0.3">
      <c r="A18" s="47">
        <f t="shared" si="11"/>
        <v>46223</v>
      </c>
      <c r="B18" s="49">
        <f t="shared" si="12"/>
        <v>0.15624999999999997</v>
      </c>
      <c r="C18" s="42">
        <f>'Červenec vík data'!V17+P18</f>
        <v>2.5749999999999999E-2</v>
      </c>
      <c r="D18" s="42">
        <f t="shared" si="5"/>
        <v>0</v>
      </c>
      <c r="E18">
        <f t="shared" si="6"/>
        <v>0</v>
      </c>
      <c r="F18" s="42">
        <f t="shared" si="7"/>
        <v>0</v>
      </c>
      <c r="G18" s="42">
        <f t="shared" si="8"/>
        <v>0</v>
      </c>
      <c r="H18" s="42">
        <f t="shared" si="9"/>
        <v>2.5749999999999999E-2</v>
      </c>
      <c r="I18" s="42">
        <f t="shared" si="0"/>
        <v>-2.5749999999999999E-2</v>
      </c>
      <c r="J18" s="43">
        <f>MIN('Výpočty '!$B$1*0.9, MAX('Výpočty '!$B$1*0.05, J17 + M18 - MIN(O18, MAX(0, J17 - ('Výpočty '!$B$1*0.1))) - P18))</f>
        <v>15.562722222222233</v>
      </c>
      <c r="K18" s="46">
        <f>J18/'Výpočty '!$B$1</f>
        <v>0.77813611111111158</v>
      </c>
      <c r="L18" s="42">
        <f t="shared" si="1"/>
        <v>0</v>
      </c>
      <c r="M18" s="42">
        <f t="shared" si="2"/>
        <v>0</v>
      </c>
      <c r="N18" s="42">
        <f t="shared" si="3"/>
        <v>4.3999999999999997E-2</v>
      </c>
      <c r="O18" s="42">
        <f t="shared" si="10"/>
        <v>4.8888888888888885E-2</v>
      </c>
      <c r="P18" s="42">
        <f t="shared" si="4"/>
        <v>1.8249999999999999E-2</v>
      </c>
    </row>
    <row r="19" spans="1:16" x14ac:dyDescent="0.3">
      <c r="A19" s="47">
        <f t="shared" si="11"/>
        <v>46223</v>
      </c>
      <c r="B19" s="49">
        <f t="shared" si="12"/>
        <v>0.16666666666666663</v>
      </c>
      <c r="C19" s="42">
        <f>'Červenec vík data'!V18+P19</f>
        <v>2.5749999999999999E-2</v>
      </c>
      <c r="D19" s="42">
        <f t="shared" si="5"/>
        <v>0</v>
      </c>
      <c r="E19">
        <f t="shared" si="6"/>
        <v>0</v>
      </c>
      <c r="F19" s="42">
        <f t="shared" si="7"/>
        <v>0</v>
      </c>
      <c r="G19" s="42">
        <f t="shared" si="8"/>
        <v>0</v>
      </c>
      <c r="H19" s="42">
        <f t="shared" si="9"/>
        <v>2.5749999999999999E-2</v>
      </c>
      <c r="I19" s="42">
        <f t="shared" si="0"/>
        <v>-2.5749999999999999E-2</v>
      </c>
      <c r="J19" s="43">
        <f>MIN('Výpočty '!$B$1*0.9, MAX('Výpočty '!$B$1*0.05, J18 + M19 - MIN(O19, MAX(0, J18 - ('Výpočty '!$B$1*0.1))) - P19))</f>
        <v>15.495583333333343</v>
      </c>
      <c r="K19" s="46">
        <f>J19/'Výpočty '!$B$1</f>
        <v>0.77477916666666713</v>
      </c>
      <c r="L19" s="42">
        <f t="shared" si="1"/>
        <v>0</v>
      </c>
      <c r="M19" s="42">
        <f t="shared" si="2"/>
        <v>0</v>
      </c>
      <c r="N19" s="42">
        <f t="shared" si="3"/>
        <v>4.3999999999999997E-2</v>
      </c>
      <c r="O19" s="42">
        <f t="shared" si="10"/>
        <v>4.8888888888888885E-2</v>
      </c>
      <c r="P19" s="42">
        <f t="shared" si="4"/>
        <v>1.8249999999999999E-2</v>
      </c>
    </row>
    <row r="20" spans="1:16" x14ac:dyDescent="0.3">
      <c r="A20" s="47">
        <f t="shared" si="11"/>
        <v>46223</v>
      </c>
      <c r="B20" s="49">
        <f t="shared" si="12"/>
        <v>0.17708333333333329</v>
      </c>
      <c r="C20" s="42">
        <f>'Červenec vík data'!V19+P20</f>
        <v>2.5749999999999999E-2</v>
      </c>
      <c r="D20" s="42">
        <f t="shared" si="5"/>
        <v>0</v>
      </c>
      <c r="E20">
        <f t="shared" si="6"/>
        <v>0</v>
      </c>
      <c r="F20" s="42">
        <f t="shared" si="7"/>
        <v>0</v>
      </c>
      <c r="G20" s="42">
        <f t="shared" si="8"/>
        <v>0</v>
      </c>
      <c r="H20" s="42">
        <f t="shared" si="9"/>
        <v>2.5749999999999999E-2</v>
      </c>
      <c r="I20" s="42">
        <f t="shared" si="0"/>
        <v>-2.5749999999999999E-2</v>
      </c>
      <c r="J20" s="43">
        <f>MIN('Výpočty '!$B$1*0.9, MAX('Výpočty '!$B$1*0.05, J19 + M20 - MIN(O20, MAX(0, J19 - ('Výpočty '!$B$1*0.1))) - P20))</f>
        <v>15.428444444444454</v>
      </c>
      <c r="K20" s="46">
        <f>J20/'Výpočty '!$B$1</f>
        <v>0.77142222222222268</v>
      </c>
      <c r="L20" s="42">
        <f t="shared" si="1"/>
        <v>0</v>
      </c>
      <c r="M20" s="42">
        <f t="shared" si="2"/>
        <v>0</v>
      </c>
      <c r="N20" s="42">
        <f t="shared" si="3"/>
        <v>4.3999999999999997E-2</v>
      </c>
      <c r="O20" s="42">
        <f t="shared" si="10"/>
        <v>4.8888888888888885E-2</v>
      </c>
      <c r="P20" s="42">
        <f t="shared" si="4"/>
        <v>1.8249999999999999E-2</v>
      </c>
    </row>
    <row r="21" spans="1:16" x14ac:dyDescent="0.3">
      <c r="A21" s="47">
        <f t="shared" si="11"/>
        <v>46223</v>
      </c>
      <c r="B21" s="49">
        <f t="shared" si="12"/>
        <v>0.18749999999999994</v>
      </c>
      <c r="C21" s="42">
        <f>'Červenec vík data'!V20+P21</f>
        <v>2.5749999999999999E-2</v>
      </c>
      <c r="D21" s="42">
        <f t="shared" si="5"/>
        <v>0</v>
      </c>
      <c r="E21">
        <f t="shared" si="6"/>
        <v>0</v>
      </c>
      <c r="F21" s="42">
        <f t="shared" si="7"/>
        <v>0</v>
      </c>
      <c r="G21" s="42">
        <f t="shared" si="8"/>
        <v>0</v>
      </c>
      <c r="H21" s="42">
        <f t="shared" si="9"/>
        <v>2.5749999999999999E-2</v>
      </c>
      <c r="I21" s="42">
        <f t="shared" si="0"/>
        <v>-2.5749999999999999E-2</v>
      </c>
      <c r="J21" s="43">
        <f>MIN('Výpočty '!$B$1*0.9, MAX('Výpočty '!$B$1*0.05, J20 + M21 - MIN(O21, MAX(0, J20 - ('Výpočty '!$B$1*0.1))) - P21))</f>
        <v>15.361305555555564</v>
      </c>
      <c r="K21" s="46">
        <f>J21/'Výpočty '!$B$1</f>
        <v>0.76806527777777822</v>
      </c>
      <c r="L21" s="42">
        <f t="shared" si="1"/>
        <v>0</v>
      </c>
      <c r="M21" s="42">
        <f t="shared" si="2"/>
        <v>0</v>
      </c>
      <c r="N21" s="42">
        <f t="shared" si="3"/>
        <v>4.3999999999999997E-2</v>
      </c>
      <c r="O21" s="42">
        <f t="shared" si="10"/>
        <v>4.8888888888888885E-2</v>
      </c>
      <c r="P21" s="42">
        <f t="shared" si="4"/>
        <v>1.8249999999999999E-2</v>
      </c>
    </row>
    <row r="22" spans="1:16" x14ac:dyDescent="0.3">
      <c r="A22" s="47">
        <f t="shared" si="11"/>
        <v>46223</v>
      </c>
      <c r="B22" s="49">
        <f t="shared" si="12"/>
        <v>0.1979166666666666</v>
      </c>
      <c r="C22" s="42">
        <f>'Červenec vík data'!V21+P22</f>
        <v>2.5749999999999999E-2</v>
      </c>
      <c r="D22" s="42">
        <f t="shared" si="5"/>
        <v>0</v>
      </c>
      <c r="E22">
        <f t="shared" si="6"/>
        <v>0</v>
      </c>
      <c r="F22" s="42">
        <f t="shared" si="7"/>
        <v>0</v>
      </c>
      <c r="G22" s="42">
        <f t="shared" si="8"/>
        <v>0</v>
      </c>
      <c r="H22" s="42">
        <f t="shared" si="9"/>
        <v>2.5749999999999999E-2</v>
      </c>
      <c r="I22" s="42">
        <f t="shared" si="0"/>
        <v>-2.5749999999999999E-2</v>
      </c>
      <c r="J22" s="43">
        <f>MIN('Výpočty '!$B$1*0.9, MAX('Výpočty '!$B$1*0.05, J21 + M22 - MIN(O22, MAX(0, J21 - ('Výpočty '!$B$1*0.1))) - P22))</f>
        <v>15.294166666666674</v>
      </c>
      <c r="K22" s="46">
        <f>J22/'Výpočty '!$B$1</f>
        <v>0.76470833333333377</v>
      </c>
      <c r="L22" s="42">
        <f t="shared" si="1"/>
        <v>0</v>
      </c>
      <c r="M22" s="42">
        <f t="shared" si="2"/>
        <v>0</v>
      </c>
      <c r="N22" s="42">
        <f t="shared" si="3"/>
        <v>4.3999999999999997E-2</v>
      </c>
      <c r="O22" s="42">
        <f t="shared" si="10"/>
        <v>4.8888888888888885E-2</v>
      </c>
      <c r="P22" s="42">
        <f t="shared" si="4"/>
        <v>1.8249999999999999E-2</v>
      </c>
    </row>
    <row r="23" spans="1:16" x14ac:dyDescent="0.3">
      <c r="A23" s="47">
        <f t="shared" si="11"/>
        <v>46223</v>
      </c>
      <c r="B23" s="49">
        <f t="shared" si="12"/>
        <v>0.20833333333333326</v>
      </c>
      <c r="C23" s="42">
        <f>'Červenec vík data'!V22+P23</f>
        <v>2.5749999999999999E-2</v>
      </c>
      <c r="D23" s="42">
        <f t="shared" si="5"/>
        <v>3.0000000000000001E-3</v>
      </c>
      <c r="E23">
        <f t="shared" si="6"/>
        <v>3.0000000000000001E-3</v>
      </c>
      <c r="F23" s="42">
        <f t="shared" si="7"/>
        <v>0</v>
      </c>
      <c r="G23" s="42">
        <f t="shared" si="8"/>
        <v>0</v>
      </c>
      <c r="H23" s="42">
        <f t="shared" si="9"/>
        <v>2.2749999999999999E-2</v>
      </c>
      <c r="I23" s="42">
        <f t="shared" si="0"/>
        <v>-2.2749999999999999E-2</v>
      </c>
      <c r="J23" s="43">
        <f>MIN('Výpočty '!$B$1*0.9, MAX('Výpočty '!$B$1*0.05, J22 + M23 - MIN(O23, MAX(0, J22 - ('Výpočty '!$B$1*0.1))) - P23))</f>
        <v>15.230361111111119</v>
      </c>
      <c r="K23" s="46">
        <f>J23/'Výpočty '!$B$1</f>
        <v>0.76151805555555596</v>
      </c>
      <c r="L23" s="42">
        <f t="shared" si="1"/>
        <v>0</v>
      </c>
      <c r="M23" s="42">
        <f t="shared" si="2"/>
        <v>0</v>
      </c>
      <c r="N23" s="42">
        <f t="shared" si="3"/>
        <v>4.0999999999999995E-2</v>
      </c>
      <c r="O23" s="42">
        <f t="shared" si="10"/>
        <v>4.5555555555555551E-2</v>
      </c>
      <c r="P23" s="42">
        <f t="shared" si="4"/>
        <v>1.8249999999999999E-2</v>
      </c>
    </row>
    <row r="24" spans="1:16" x14ac:dyDescent="0.3">
      <c r="A24" s="47">
        <f t="shared" si="11"/>
        <v>46223</v>
      </c>
      <c r="B24" s="49">
        <f t="shared" si="12"/>
        <v>0.21874999999999992</v>
      </c>
      <c r="C24" s="42">
        <f>'Červenec vík data'!V23+P24</f>
        <v>2.5749999999999999E-2</v>
      </c>
      <c r="D24" s="42">
        <f t="shared" si="5"/>
        <v>8.0000000000000002E-3</v>
      </c>
      <c r="E24">
        <f t="shared" si="6"/>
        <v>8.0000000000000002E-3</v>
      </c>
      <c r="F24" s="42">
        <f t="shared" si="7"/>
        <v>0</v>
      </c>
      <c r="G24" s="42">
        <f t="shared" si="8"/>
        <v>0</v>
      </c>
      <c r="H24" s="42">
        <f t="shared" si="9"/>
        <v>1.7749999999999998E-2</v>
      </c>
      <c r="I24" s="42">
        <f t="shared" si="0"/>
        <v>-1.7749999999999998E-2</v>
      </c>
      <c r="J24" s="43">
        <f>MIN('Výpočty '!$B$1*0.9, MAX('Výpočty '!$B$1*0.05, J23 + M24 - MIN(O24, MAX(0, J23 - ('Výpočty '!$B$1*0.1))) - P24))</f>
        <v>15.17211111111112</v>
      </c>
      <c r="K24" s="46">
        <f>J24/'Výpočty '!$B$1</f>
        <v>0.75860555555555598</v>
      </c>
      <c r="L24" s="42">
        <f t="shared" si="1"/>
        <v>0</v>
      </c>
      <c r="M24" s="42">
        <f t="shared" si="2"/>
        <v>0</v>
      </c>
      <c r="N24" s="42">
        <f t="shared" si="3"/>
        <v>3.5999999999999997E-2</v>
      </c>
      <c r="O24" s="42">
        <f t="shared" si="10"/>
        <v>3.9999999999999994E-2</v>
      </c>
      <c r="P24" s="42">
        <f t="shared" si="4"/>
        <v>1.8249999999999999E-2</v>
      </c>
    </row>
    <row r="25" spans="1:16" x14ac:dyDescent="0.3">
      <c r="A25" s="47">
        <f t="shared" si="11"/>
        <v>46223</v>
      </c>
      <c r="B25" s="49">
        <f t="shared" si="12"/>
        <v>0.22916666666666657</v>
      </c>
      <c r="C25" s="42">
        <f>'Červenec vík data'!V24+P25</f>
        <v>2.5749999999999999E-2</v>
      </c>
      <c r="D25" s="42">
        <f t="shared" si="5"/>
        <v>1.4E-2</v>
      </c>
      <c r="E25">
        <f t="shared" si="6"/>
        <v>1.4E-2</v>
      </c>
      <c r="F25" s="42">
        <f t="shared" si="7"/>
        <v>0</v>
      </c>
      <c r="G25" s="42">
        <f t="shared" si="8"/>
        <v>0</v>
      </c>
      <c r="H25" s="42">
        <f t="shared" si="9"/>
        <v>1.1749999999999998E-2</v>
      </c>
      <c r="I25" s="42">
        <f t="shared" si="0"/>
        <v>-1.1749999999999998E-2</v>
      </c>
      <c r="J25" s="43">
        <f>MIN('Výpočty '!$B$1*0.9, MAX('Výpočty '!$B$1*0.05, J24 + M25 - MIN(O25, MAX(0, J24 - ('Výpočty '!$B$1*0.1))) - P25))</f>
        <v>15.120527777777786</v>
      </c>
      <c r="K25" s="46">
        <f>J25/'Výpočty '!$B$1</f>
        <v>0.75602638888888929</v>
      </c>
      <c r="L25" s="42">
        <f t="shared" si="1"/>
        <v>0</v>
      </c>
      <c r="M25" s="42">
        <f t="shared" si="2"/>
        <v>0</v>
      </c>
      <c r="N25" s="42">
        <f t="shared" si="3"/>
        <v>0.03</v>
      </c>
      <c r="O25" s="42">
        <f t="shared" si="10"/>
        <v>3.3333333333333333E-2</v>
      </c>
      <c r="P25" s="42">
        <f t="shared" si="4"/>
        <v>1.8249999999999999E-2</v>
      </c>
    </row>
    <row r="26" spans="1:16" x14ac:dyDescent="0.3">
      <c r="A26" s="47">
        <f t="shared" si="11"/>
        <v>46223</v>
      </c>
      <c r="B26" s="49">
        <f t="shared" si="12"/>
        <v>0.23958333333333323</v>
      </c>
      <c r="C26" s="42">
        <f>'Červenec vík data'!V25+P26</f>
        <v>2.5749999999999999E-2</v>
      </c>
      <c r="D26" s="42">
        <f t="shared" si="5"/>
        <v>2.1999999999999999E-2</v>
      </c>
      <c r="E26">
        <f t="shared" si="6"/>
        <v>2.1999999999999999E-2</v>
      </c>
      <c r="F26" s="42">
        <f t="shared" si="7"/>
        <v>0</v>
      </c>
      <c r="G26" s="42">
        <f t="shared" si="8"/>
        <v>0</v>
      </c>
      <c r="H26" s="42">
        <f t="shared" si="9"/>
        <v>3.7499999999999999E-3</v>
      </c>
      <c r="I26" s="42">
        <f t="shared" si="0"/>
        <v>-3.7499999999999999E-3</v>
      </c>
      <c r="J26" s="43">
        <f>MIN('Výpočty '!$B$1*0.9, MAX('Výpočty '!$B$1*0.05, J25 + M26 - MIN(O26, MAX(0, J25 - ('Výpočty '!$B$1*0.1))) - P26))</f>
        <v>15.077833333333341</v>
      </c>
      <c r="K26" s="46">
        <f>J26/'Výpočty '!$B$1</f>
        <v>0.75389166666666707</v>
      </c>
      <c r="L26" s="42">
        <f t="shared" si="1"/>
        <v>0</v>
      </c>
      <c r="M26" s="42">
        <f t="shared" si="2"/>
        <v>0</v>
      </c>
      <c r="N26" s="42">
        <f t="shared" si="3"/>
        <v>2.1999999999999999E-2</v>
      </c>
      <c r="O26" s="42">
        <f t="shared" si="10"/>
        <v>2.4444444444444442E-2</v>
      </c>
      <c r="P26" s="42">
        <f t="shared" si="4"/>
        <v>1.8249999999999999E-2</v>
      </c>
    </row>
    <row r="27" spans="1:16" x14ac:dyDescent="0.3">
      <c r="A27" s="47">
        <f t="shared" si="11"/>
        <v>46223</v>
      </c>
      <c r="B27" s="49">
        <f t="shared" si="12"/>
        <v>0.24999999999999989</v>
      </c>
      <c r="C27" s="42">
        <f>'Červenec vík data'!V26+P27</f>
        <v>2.5749999999999999E-2</v>
      </c>
      <c r="D27" s="42">
        <f t="shared" si="5"/>
        <v>2.5749999999999999E-2</v>
      </c>
      <c r="E27">
        <f t="shared" si="6"/>
        <v>3.3000000000000002E-2</v>
      </c>
      <c r="F27" s="42">
        <f t="shared" si="7"/>
        <v>0</v>
      </c>
      <c r="G27" s="42">
        <f t="shared" si="8"/>
        <v>0</v>
      </c>
      <c r="H27" s="42">
        <f t="shared" si="9"/>
        <v>0</v>
      </c>
      <c r="I27" s="42">
        <f t="shared" si="0"/>
        <v>7.250000000000003E-3</v>
      </c>
      <c r="J27" s="43">
        <f>MIN('Výpočty '!$B$1*0.9, MAX('Výpočty '!$B$1*0.05, J26 + M27 - MIN(O27, MAX(0, J26 - ('Výpočty '!$B$1*0.1))) - P27))</f>
        <v>15.046555555555564</v>
      </c>
      <c r="K27" s="46">
        <f>J27/'Výpočty '!$B$1</f>
        <v>0.75232777777777815</v>
      </c>
      <c r="L27" s="42">
        <f t="shared" si="1"/>
        <v>6.525000000000003E-3</v>
      </c>
      <c r="M27" s="42">
        <f t="shared" si="2"/>
        <v>7.250000000000003E-3</v>
      </c>
      <c r="N27" s="42">
        <f t="shared" si="3"/>
        <v>1.8249999999999999E-2</v>
      </c>
      <c r="O27" s="42">
        <f t="shared" si="10"/>
        <v>2.0277777777777777E-2</v>
      </c>
      <c r="P27" s="42">
        <f t="shared" si="4"/>
        <v>1.8249999999999999E-2</v>
      </c>
    </row>
    <row r="28" spans="1:16" x14ac:dyDescent="0.3">
      <c r="A28" s="47">
        <f t="shared" si="11"/>
        <v>46223</v>
      </c>
      <c r="B28" s="49">
        <f t="shared" si="12"/>
        <v>0.26041666666666657</v>
      </c>
      <c r="C28" s="42">
        <f>'Červenec vík data'!V27+P28</f>
        <v>2.5749999999999999E-2</v>
      </c>
      <c r="D28" s="42">
        <f t="shared" si="5"/>
        <v>2.5749999999999999E-2</v>
      </c>
      <c r="E28">
        <f t="shared" si="6"/>
        <v>4.9000000000000002E-2</v>
      </c>
      <c r="F28" s="42">
        <f t="shared" si="7"/>
        <v>0</v>
      </c>
      <c r="G28" s="42">
        <f t="shared" si="8"/>
        <v>0</v>
      </c>
      <c r="H28" s="42">
        <f t="shared" si="9"/>
        <v>0</v>
      </c>
      <c r="I28" s="42">
        <f t="shared" si="0"/>
        <v>2.3250000000000003E-2</v>
      </c>
      <c r="J28" s="43">
        <f>MIN('Výpočty '!$B$1*0.9, MAX('Výpočty '!$B$1*0.05, J27 + M28 - MIN(O28, MAX(0, J27 - ('Výpočty '!$B$1*0.1))) - P28))</f>
        <v>15.031277777777786</v>
      </c>
      <c r="K28" s="46">
        <f>J28/'Výpočty '!$B$1</f>
        <v>0.75156388888888936</v>
      </c>
      <c r="L28" s="42">
        <f t="shared" si="1"/>
        <v>2.0925000000000003E-2</v>
      </c>
      <c r="M28" s="42">
        <f t="shared" si="2"/>
        <v>2.3250000000000003E-2</v>
      </c>
      <c r="N28" s="42">
        <f t="shared" si="3"/>
        <v>1.8249999999999999E-2</v>
      </c>
      <c r="O28" s="42">
        <f t="shared" si="10"/>
        <v>2.0277777777777777E-2</v>
      </c>
      <c r="P28" s="42">
        <f t="shared" si="4"/>
        <v>1.8249999999999999E-2</v>
      </c>
    </row>
    <row r="29" spans="1:16" x14ac:dyDescent="0.3">
      <c r="A29" s="47">
        <f t="shared" si="11"/>
        <v>46223</v>
      </c>
      <c r="B29" s="49">
        <f t="shared" si="12"/>
        <v>0.27083333333333326</v>
      </c>
      <c r="C29" s="42">
        <f>'Červenec vík data'!V28+P29</f>
        <v>2.5749999999999999E-2</v>
      </c>
      <c r="D29" s="42">
        <f t="shared" si="5"/>
        <v>2.5749999999999999E-2</v>
      </c>
      <c r="E29">
        <f t="shared" si="6"/>
        <v>6.9000000000000006E-2</v>
      </c>
      <c r="F29" s="42">
        <f t="shared" si="7"/>
        <v>0</v>
      </c>
      <c r="G29" s="42">
        <f t="shared" si="8"/>
        <v>0</v>
      </c>
      <c r="H29" s="42">
        <f t="shared" si="9"/>
        <v>0</v>
      </c>
      <c r="I29" s="42">
        <f t="shared" si="0"/>
        <v>4.3250000000000011E-2</v>
      </c>
      <c r="J29" s="43">
        <f>MIN('Výpočty '!$B$1*0.9, MAX('Výpočty '!$B$1*0.05, J28 + M29 - MIN(O29, MAX(0, J28 - ('Výpočty '!$B$1*0.1))) - P29))</f>
        <v>15.036000000000008</v>
      </c>
      <c r="K29" s="46">
        <f>J29/'Výpočty '!$B$1</f>
        <v>0.75180000000000047</v>
      </c>
      <c r="L29" s="42">
        <f t="shared" si="1"/>
        <v>3.8925000000000008E-2</v>
      </c>
      <c r="M29" s="42">
        <f t="shared" si="2"/>
        <v>4.3250000000000011E-2</v>
      </c>
      <c r="N29" s="42">
        <f t="shared" si="3"/>
        <v>1.8249999999999999E-2</v>
      </c>
      <c r="O29" s="42">
        <f t="shared" si="10"/>
        <v>2.0277777777777777E-2</v>
      </c>
      <c r="P29" s="42">
        <f t="shared" si="4"/>
        <v>1.8249999999999999E-2</v>
      </c>
    </row>
    <row r="30" spans="1:16" x14ac:dyDescent="0.3">
      <c r="A30" s="47">
        <f t="shared" si="11"/>
        <v>46223</v>
      </c>
      <c r="B30" s="49">
        <f t="shared" si="12"/>
        <v>0.28124999999999994</v>
      </c>
      <c r="C30" s="42">
        <f>'Červenec vík data'!V29+P30</f>
        <v>2.5749999999999999E-2</v>
      </c>
      <c r="D30" s="42">
        <f t="shared" si="5"/>
        <v>2.5749999999999999E-2</v>
      </c>
      <c r="E30">
        <f t="shared" si="6"/>
        <v>9.6000000000000002E-2</v>
      </c>
      <c r="F30" s="42">
        <f t="shared" si="7"/>
        <v>0</v>
      </c>
      <c r="G30" s="42">
        <f t="shared" si="8"/>
        <v>0</v>
      </c>
      <c r="H30" s="42">
        <f t="shared" si="9"/>
        <v>0</v>
      </c>
      <c r="I30" s="42">
        <f t="shared" si="0"/>
        <v>7.0250000000000007E-2</v>
      </c>
      <c r="J30" s="43">
        <f>MIN('Výpočty '!$B$1*0.9, MAX('Výpočty '!$B$1*0.05, J29 + M30 - MIN(O30, MAX(0, J29 - ('Výpočty '!$B$1*0.1))) - P30))</f>
        <v>15.06772222222223</v>
      </c>
      <c r="K30" s="46">
        <f>J30/'Výpočty '!$B$1</f>
        <v>0.75338611111111153</v>
      </c>
      <c r="L30" s="42">
        <f t="shared" si="1"/>
        <v>6.3225000000000003E-2</v>
      </c>
      <c r="M30" s="42">
        <f t="shared" si="2"/>
        <v>7.0250000000000007E-2</v>
      </c>
      <c r="N30" s="42">
        <f t="shared" si="3"/>
        <v>1.8249999999999999E-2</v>
      </c>
      <c r="O30" s="42">
        <f t="shared" si="10"/>
        <v>2.0277777777777777E-2</v>
      </c>
      <c r="P30" s="42">
        <f t="shared" si="4"/>
        <v>1.8249999999999999E-2</v>
      </c>
    </row>
    <row r="31" spans="1:16" x14ac:dyDescent="0.3">
      <c r="A31" s="47">
        <f t="shared" si="11"/>
        <v>46223</v>
      </c>
      <c r="B31" s="49">
        <f t="shared" si="12"/>
        <v>0.29166666666666663</v>
      </c>
      <c r="C31" s="42">
        <f>'Červenec vík data'!V30+P31</f>
        <v>2.5749999999999999E-2</v>
      </c>
      <c r="D31" s="42">
        <f t="shared" si="5"/>
        <v>2.5749999999999999E-2</v>
      </c>
      <c r="E31">
        <f t="shared" si="6"/>
        <v>0.13100000000000001</v>
      </c>
      <c r="F31" s="42">
        <f t="shared" si="7"/>
        <v>0</v>
      </c>
      <c r="G31" s="42">
        <f t="shared" si="8"/>
        <v>0</v>
      </c>
      <c r="H31" s="42">
        <f t="shared" si="9"/>
        <v>0</v>
      </c>
      <c r="I31" s="42">
        <f t="shared" si="0"/>
        <v>0.10525000000000001</v>
      </c>
      <c r="J31" s="43">
        <f>MIN('Výpočty '!$B$1*0.9, MAX('Výpočty '!$B$1*0.05, J30 + M31 - MIN(O31, MAX(0, J30 - ('Výpočty '!$B$1*0.1))) - P31))</f>
        <v>15.134444444444451</v>
      </c>
      <c r="K31" s="46">
        <f>J31/'Výpočty '!$B$1</f>
        <v>0.75672222222222252</v>
      </c>
      <c r="L31" s="42">
        <f t="shared" si="1"/>
        <v>9.4725000000000018E-2</v>
      </c>
      <c r="M31" s="42">
        <f t="shared" si="2"/>
        <v>0.10525000000000001</v>
      </c>
      <c r="N31" s="42">
        <f t="shared" si="3"/>
        <v>1.8249999999999999E-2</v>
      </c>
      <c r="O31" s="42">
        <f t="shared" si="10"/>
        <v>2.0277777777777777E-2</v>
      </c>
      <c r="P31" s="42">
        <f t="shared" si="4"/>
        <v>1.8249999999999999E-2</v>
      </c>
    </row>
    <row r="32" spans="1:16" x14ac:dyDescent="0.3">
      <c r="A32" s="47">
        <f t="shared" si="11"/>
        <v>46223</v>
      </c>
      <c r="B32" s="49">
        <f t="shared" si="12"/>
        <v>0.30208333333333331</v>
      </c>
      <c r="C32" s="42">
        <f>'Červenec vík data'!V31+P32</f>
        <v>2.5749999999999999E-2</v>
      </c>
      <c r="D32" s="42">
        <f t="shared" si="5"/>
        <v>2.5749999999999999E-2</v>
      </c>
      <c r="E32">
        <f t="shared" si="6"/>
        <v>0.17599999999999999</v>
      </c>
      <c r="F32" s="42">
        <f t="shared" si="7"/>
        <v>0</v>
      </c>
      <c r="G32" s="42">
        <f t="shared" si="8"/>
        <v>0</v>
      </c>
      <c r="H32" s="42">
        <f t="shared" si="9"/>
        <v>0</v>
      </c>
      <c r="I32" s="42">
        <f t="shared" si="0"/>
        <v>0.15024999999999999</v>
      </c>
      <c r="J32" s="43">
        <f>MIN('Výpočty '!$B$1*0.9, MAX('Výpočty '!$B$1*0.05, J31 + M32 - MIN(O32, MAX(0, J31 - ('Výpočty '!$B$1*0.1))) - P32))</f>
        <v>15.246166666666673</v>
      </c>
      <c r="K32" s="46">
        <f>J32/'Výpočty '!$B$1</f>
        <v>0.76230833333333359</v>
      </c>
      <c r="L32" s="42">
        <f t="shared" si="1"/>
        <v>0.13522500000000001</v>
      </c>
      <c r="M32" s="42">
        <f t="shared" si="2"/>
        <v>0.15024999999999999</v>
      </c>
      <c r="N32" s="42">
        <f t="shared" si="3"/>
        <v>1.8249999999999999E-2</v>
      </c>
      <c r="O32" s="42">
        <f t="shared" si="10"/>
        <v>2.0277777777777777E-2</v>
      </c>
      <c r="P32" s="42">
        <f t="shared" si="4"/>
        <v>1.8249999999999999E-2</v>
      </c>
    </row>
    <row r="33" spans="1:16" x14ac:dyDescent="0.3">
      <c r="A33" s="47">
        <f t="shared" si="11"/>
        <v>46223</v>
      </c>
      <c r="B33" s="49">
        <f t="shared" si="12"/>
        <v>0.3125</v>
      </c>
      <c r="C33" s="42">
        <f>'Červenec vík data'!V32+P33</f>
        <v>2.5749999999999999E-2</v>
      </c>
      <c r="D33" s="42">
        <f t="shared" si="5"/>
        <v>2.5749999999999999E-2</v>
      </c>
      <c r="E33">
        <f t="shared" si="6"/>
        <v>0.23200000000000001</v>
      </c>
      <c r="F33" s="42">
        <f t="shared" si="7"/>
        <v>0</v>
      </c>
      <c r="G33" s="42">
        <f t="shared" si="8"/>
        <v>0</v>
      </c>
      <c r="H33" s="42">
        <f t="shared" si="9"/>
        <v>0</v>
      </c>
      <c r="I33" s="42">
        <f t="shared" si="0"/>
        <v>0.20625000000000002</v>
      </c>
      <c r="J33" s="43">
        <f>MIN('Výpočty '!$B$1*0.9, MAX('Výpočty '!$B$1*0.05, J32 + M33 - MIN(O33, MAX(0, J32 - ('Výpočty '!$B$1*0.1))) - P33))</f>
        <v>15.413888888888895</v>
      </c>
      <c r="K33" s="46">
        <f>J33/'Výpočty '!$B$1</f>
        <v>0.77069444444444479</v>
      </c>
      <c r="L33" s="42">
        <f t="shared" si="1"/>
        <v>0.18562500000000001</v>
      </c>
      <c r="M33" s="42">
        <f t="shared" si="2"/>
        <v>0.20625000000000002</v>
      </c>
      <c r="N33" s="42">
        <f t="shared" si="3"/>
        <v>1.8249999999999999E-2</v>
      </c>
      <c r="O33" s="42">
        <f t="shared" si="10"/>
        <v>2.0277777777777777E-2</v>
      </c>
      <c r="P33" s="42">
        <f t="shared" si="4"/>
        <v>1.8249999999999999E-2</v>
      </c>
    </row>
    <row r="34" spans="1:16" x14ac:dyDescent="0.3">
      <c r="A34" s="47">
        <f t="shared" si="11"/>
        <v>46223</v>
      </c>
      <c r="B34" s="49">
        <f t="shared" si="12"/>
        <v>0.32291666666666669</v>
      </c>
      <c r="C34" s="42">
        <f>'Červenec vík data'!V33+P34</f>
        <v>2.5749999999999999E-2</v>
      </c>
      <c r="D34" s="42">
        <f t="shared" si="5"/>
        <v>2.5749999999999999E-2</v>
      </c>
      <c r="E34">
        <f t="shared" si="6"/>
        <v>0.30199999999999999</v>
      </c>
      <c r="F34" s="42">
        <f t="shared" si="7"/>
        <v>0</v>
      </c>
      <c r="G34" s="42">
        <f t="shared" si="8"/>
        <v>0</v>
      </c>
      <c r="H34" s="42">
        <f t="shared" si="9"/>
        <v>0</v>
      </c>
      <c r="I34" s="42">
        <f t="shared" si="0"/>
        <v>0.27625</v>
      </c>
      <c r="J34" s="43">
        <f>MIN('Výpočty '!$B$1*0.9, MAX('Výpočty '!$B$1*0.05, J33 + M34 - MIN(O34, MAX(0, J33 - ('Výpočty '!$B$1*0.1))) - P34))</f>
        <v>15.651611111111116</v>
      </c>
      <c r="K34" s="46">
        <f>J34/'Výpočty '!$B$1</f>
        <v>0.78258055555555583</v>
      </c>
      <c r="L34" s="42">
        <f t="shared" si="1"/>
        <v>0.24862500000000001</v>
      </c>
      <c r="M34" s="42">
        <f t="shared" si="2"/>
        <v>0.27625</v>
      </c>
      <c r="N34" s="42">
        <f t="shared" si="3"/>
        <v>1.8249999999999999E-2</v>
      </c>
      <c r="O34" s="42">
        <f t="shared" si="10"/>
        <v>2.0277777777777777E-2</v>
      </c>
      <c r="P34" s="42">
        <f t="shared" si="4"/>
        <v>1.8249999999999999E-2</v>
      </c>
    </row>
    <row r="35" spans="1:16" x14ac:dyDescent="0.3">
      <c r="A35" s="47">
        <f t="shared" si="11"/>
        <v>46223</v>
      </c>
      <c r="B35" s="49">
        <f t="shared" si="12"/>
        <v>0.33333333333333337</v>
      </c>
      <c r="C35" s="42">
        <f>'Červenec vík data'!V34+P35</f>
        <v>8.0750000000000002E-2</v>
      </c>
      <c r="D35" s="42">
        <f t="shared" si="5"/>
        <v>8.0750000000000002E-2</v>
      </c>
      <c r="E35">
        <f t="shared" si="6"/>
        <v>0.38700000000000001</v>
      </c>
      <c r="F35" s="42">
        <f t="shared" si="7"/>
        <v>0</v>
      </c>
      <c r="G35" s="42">
        <f t="shared" si="8"/>
        <v>0</v>
      </c>
      <c r="H35" s="42">
        <f t="shared" si="9"/>
        <v>0</v>
      </c>
      <c r="I35" s="42">
        <f t="shared" si="0"/>
        <v>0.30625000000000002</v>
      </c>
      <c r="J35" s="43">
        <f>MIN('Výpočty '!$B$1*0.9, MAX('Výpočty '!$B$1*0.05, J34 + M35 - MIN(O35, MAX(0, J34 - ('Výpočty '!$B$1*0.1))) - P35))</f>
        <v>15.919333333333338</v>
      </c>
      <c r="K35" s="46">
        <f>J35/'Výpočty '!$B$1</f>
        <v>0.79596666666666693</v>
      </c>
      <c r="L35" s="42">
        <f t="shared" si="1"/>
        <v>0.27562500000000001</v>
      </c>
      <c r="M35" s="42">
        <f t="shared" si="2"/>
        <v>0.30625000000000002</v>
      </c>
      <c r="N35" s="42">
        <f t="shared" si="3"/>
        <v>1.8249999999999999E-2</v>
      </c>
      <c r="O35" s="42">
        <f t="shared" si="10"/>
        <v>2.0277777777777777E-2</v>
      </c>
      <c r="P35" s="42">
        <f t="shared" si="4"/>
        <v>1.8249999999999999E-2</v>
      </c>
    </row>
    <row r="36" spans="1:16" x14ac:dyDescent="0.3">
      <c r="A36" s="47">
        <f t="shared" si="11"/>
        <v>46223</v>
      </c>
      <c r="B36" s="49">
        <f t="shared" si="12"/>
        <v>0.34375000000000006</v>
      </c>
      <c r="C36" s="42">
        <f>'Červenec vík data'!V35+P36</f>
        <v>1.56325</v>
      </c>
      <c r="D36" s="42">
        <f t="shared" si="5"/>
        <v>0.48899999999999999</v>
      </c>
      <c r="E36">
        <f t="shared" si="6"/>
        <v>0.48899999999999999</v>
      </c>
      <c r="F36" s="42">
        <f t="shared" si="7"/>
        <v>0</v>
      </c>
      <c r="G36" s="42">
        <f t="shared" si="8"/>
        <v>0</v>
      </c>
      <c r="H36" s="42">
        <f t="shared" si="9"/>
        <v>1.0742500000000001</v>
      </c>
      <c r="I36" s="42">
        <f t="shared" si="0"/>
        <v>-1.0742500000000001</v>
      </c>
      <c r="J36" s="43">
        <f>MIN('Výpočty '!$B$1*0.9, MAX('Výpočty '!$B$1*0.05, J35 + M36 - MIN(O36, MAX(0, J35 - ('Výpočty '!$B$1*0.1))) - P36))</f>
        <v>14.687194444444449</v>
      </c>
      <c r="K36" s="46">
        <f>J36/'Výpočty '!$B$1</f>
        <v>0.73435972222222246</v>
      </c>
      <c r="L36" s="42">
        <f t="shared" si="1"/>
        <v>0</v>
      </c>
      <c r="M36" s="42">
        <f t="shared" si="2"/>
        <v>0</v>
      </c>
      <c r="N36" s="42">
        <f t="shared" si="3"/>
        <v>1.0925000000000002</v>
      </c>
      <c r="O36" s="42">
        <f t="shared" si="10"/>
        <v>1.2138888888888892</v>
      </c>
      <c r="P36" s="42">
        <f t="shared" si="4"/>
        <v>1.8249999999999999E-2</v>
      </c>
    </row>
    <row r="37" spans="1:16" x14ac:dyDescent="0.3">
      <c r="A37" s="47">
        <f t="shared" si="11"/>
        <v>46223</v>
      </c>
      <c r="B37" s="49">
        <f t="shared" si="12"/>
        <v>0.35416666666666674</v>
      </c>
      <c r="C37" s="42">
        <f>'Červenec vík data'!V36+P37</f>
        <v>1.69075</v>
      </c>
      <c r="D37" s="42">
        <f t="shared" si="5"/>
        <v>0.61</v>
      </c>
      <c r="E37">
        <f t="shared" si="6"/>
        <v>0.61</v>
      </c>
      <c r="F37" s="42">
        <f t="shared" si="7"/>
        <v>0</v>
      </c>
      <c r="G37" s="42">
        <f t="shared" si="8"/>
        <v>0</v>
      </c>
      <c r="H37" s="42">
        <f t="shared" si="9"/>
        <v>1.0807500000000001</v>
      </c>
      <c r="I37" s="42">
        <f t="shared" si="0"/>
        <v>-1.0807500000000001</v>
      </c>
      <c r="J37" s="43">
        <f>MIN('Výpočty '!$B$1*0.9, MAX('Výpočty '!$B$1*0.05, J36 + M37 - MIN(O37, MAX(0, J36 - ('Výpočty '!$B$1*0.1))) - P37))</f>
        <v>13.447833333333337</v>
      </c>
      <c r="K37" s="46">
        <f>J37/'Výpočty '!$B$1</f>
        <v>0.67239166666666683</v>
      </c>
      <c r="L37" s="42">
        <f t="shared" si="1"/>
        <v>0</v>
      </c>
      <c r="M37" s="42">
        <f t="shared" si="2"/>
        <v>0</v>
      </c>
      <c r="N37" s="42">
        <f t="shared" si="3"/>
        <v>1.0990000000000002</v>
      </c>
      <c r="O37" s="42">
        <f t="shared" si="10"/>
        <v>1.2211111111111113</v>
      </c>
      <c r="P37" s="42">
        <f t="shared" si="4"/>
        <v>1.8249999999999999E-2</v>
      </c>
    </row>
    <row r="38" spans="1:16" x14ac:dyDescent="0.3">
      <c r="A38" s="47">
        <f t="shared" si="11"/>
        <v>46223</v>
      </c>
      <c r="B38" s="49">
        <f t="shared" si="12"/>
        <v>0.36458333333333343</v>
      </c>
      <c r="C38" s="42">
        <f>'Červenec vík data'!V37+P38</f>
        <v>1.56325</v>
      </c>
      <c r="D38" s="42">
        <f t="shared" si="5"/>
        <v>0.751</v>
      </c>
      <c r="E38">
        <f t="shared" si="6"/>
        <v>0.751</v>
      </c>
      <c r="F38" s="42">
        <f t="shared" si="7"/>
        <v>0</v>
      </c>
      <c r="G38" s="42">
        <f t="shared" si="8"/>
        <v>0</v>
      </c>
      <c r="H38" s="42">
        <f t="shared" si="9"/>
        <v>0.81225000000000003</v>
      </c>
      <c r="I38" s="42">
        <f t="shared" si="0"/>
        <v>-0.81225000000000003</v>
      </c>
      <c r="J38" s="43">
        <f>MIN('Výpočty '!$B$1*0.9, MAX('Výpočty '!$B$1*0.05, J37 + M38 - MIN(O38, MAX(0, J37 - ('Výpočty '!$B$1*0.1))) - P38))</f>
        <v>12.506805555555559</v>
      </c>
      <c r="K38" s="46">
        <f>J38/'Výpočty '!$B$1</f>
        <v>0.6253402777777779</v>
      </c>
      <c r="L38" s="42">
        <f t="shared" si="1"/>
        <v>0</v>
      </c>
      <c r="M38" s="42">
        <f t="shared" si="2"/>
        <v>0</v>
      </c>
      <c r="N38" s="42">
        <f t="shared" si="3"/>
        <v>0.83050000000000002</v>
      </c>
      <c r="O38" s="42">
        <f t="shared" si="10"/>
        <v>0.92277777777777781</v>
      </c>
      <c r="P38" s="42">
        <f t="shared" si="4"/>
        <v>1.8249999999999999E-2</v>
      </c>
    </row>
    <row r="39" spans="1:16" x14ac:dyDescent="0.3">
      <c r="A39" s="47">
        <f t="shared" si="11"/>
        <v>46223</v>
      </c>
      <c r="B39" s="49">
        <f t="shared" si="12"/>
        <v>0.37500000000000011</v>
      </c>
      <c r="C39" s="42">
        <f>'Červenec vík data'!V38+P39</f>
        <v>1.5307500000000001</v>
      </c>
      <c r="D39" s="42">
        <f t="shared" si="5"/>
        <v>0.91300000000000003</v>
      </c>
      <c r="E39">
        <f t="shared" si="6"/>
        <v>0.91300000000000003</v>
      </c>
      <c r="F39" s="42">
        <f t="shared" si="7"/>
        <v>0</v>
      </c>
      <c r="G39" s="42">
        <f t="shared" si="8"/>
        <v>0</v>
      </c>
      <c r="H39" s="42">
        <f t="shared" si="9"/>
        <v>0.61775000000000002</v>
      </c>
      <c r="I39" s="42">
        <f t="shared" si="0"/>
        <v>-0.61775000000000002</v>
      </c>
      <c r="J39" s="43">
        <f>MIN('Výpočty '!$B$1*0.9, MAX('Výpočty '!$B$1*0.05, J38 + M39 - MIN(O39, MAX(0, J38 - ('Výpočty '!$B$1*0.1))) - P39))</f>
        <v>11.781888888888892</v>
      </c>
      <c r="K39" s="46">
        <f>J39/'Výpočty '!$B$1</f>
        <v>0.58909444444444459</v>
      </c>
      <c r="L39" s="42">
        <f t="shared" si="1"/>
        <v>0</v>
      </c>
      <c r="M39" s="42">
        <f t="shared" si="2"/>
        <v>0</v>
      </c>
      <c r="N39" s="42">
        <f t="shared" si="3"/>
        <v>0.63600000000000001</v>
      </c>
      <c r="O39" s="42">
        <f t="shared" si="10"/>
        <v>0.70666666666666667</v>
      </c>
      <c r="P39" s="42">
        <f t="shared" si="4"/>
        <v>1.8249999999999999E-2</v>
      </c>
    </row>
    <row r="40" spans="1:16" x14ac:dyDescent="0.3">
      <c r="A40" s="47">
        <f t="shared" si="11"/>
        <v>46223</v>
      </c>
      <c r="B40" s="49">
        <f t="shared" si="12"/>
        <v>0.3854166666666668</v>
      </c>
      <c r="C40" s="42">
        <f>'Červenec vík data'!V39+P40</f>
        <v>3.075E-2</v>
      </c>
      <c r="D40" s="42">
        <f t="shared" si="5"/>
        <v>3.075E-2</v>
      </c>
      <c r="E40">
        <f t="shared" si="6"/>
        <v>1.0960000000000001</v>
      </c>
      <c r="F40" s="42">
        <f t="shared" si="7"/>
        <v>0</v>
      </c>
      <c r="G40" s="42">
        <f t="shared" si="8"/>
        <v>0</v>
      </c>
      <c r="H40" s="42">
        <f t="shared" si="9"/>
        <v>0</v>
      </c>
      <c r="I40" s="42">
        <f t="shared" si="0"/>
        <v>1.06525</v>
      </c>
      <c r="J40" s="43">
        <f>MIN('Výpočty '!$B$1*0.9, MAX('Výpočty '!$B$1*0.05, J39 + M40 - MIN(O40, MAX(0, J39 - ('Výpočty '!$B$1*0.1))) - P40))</f>
        <v>12.808611111111114</v>
      </c>
      <c r="K40" s="46">
        <f>J40/'Výpočty '!$B$1</f>
        <v>0.64043055555555573</v>
      </c>
      <c r="L40" s="42">
        <f t="shared" si="1"/>
        <v>0.95872500000000005</v>
      </c>
      <c r="M40" s="42">
        <f t="shared" si="2"/>
        <v>1.06525</v>
      </c>
      <c r="N40" s="42">
        <f t="shared" si="3"/>
        <v>1.8249999999999999E-2</v>
      </c>
      <c r="O40" s="42">
        <f t="shared" si="10"/>
        <v>2.0277777777777777E-2</v>
      </c>
      <c r="P40" s="42">
        <f t="shared" si="4"/>
        <v>1.8249999999999999E-2</v>
      </c>
    </row>
    <row r="41" spans="1:16" x14ac:dyDescent="0.3">
      <c r="A41" s="47">
        <f t="shared" si="11"/>
        <v>46223</v>
      </c>
      <c r="B41" s="49">
        <f t="shared" si="12"/>
        <v>0.39583333333333348</v>
      </c>
      <c r="C41" s="42">
        <f>'Červenec vík data'!V40+P41</f>
        <v>0.55574999999999997</v>
      </c>
      <c r="D41" s="42">
        <f t="shared" si="5"/>
        <v>0.55574999999999997</v>
      </c>
      <c r="E41">
        <f t="shared" si="6"/>
        <v>1.298</v>
      </c>
      <c r="F41" s="42">
        <f t="shared" si="7"/>
        <v>0</v>
      </c>
      <c r="G41" s="42">
        <f t="shared" si="8"/>
        <v>0</v>
      </c>
      <c r="H41" s="42">
        <f t="shared" si="9"/>
        <v>0</v>
      </c>
      <c r="I41" s="42">
        <f t="shared" si="0"/>
        <v>0.74225000000000008</v>
      </c>
      <c r="J41" s="43">
        <f>MIN('Výpočty '!$B$1*0.9, MAX('Výpočty '!$B$1*0.05, J40 + M41 - MIN(O41, MAX(0, J40 - ('Výpočty '!$B$1*0.1))) - P41))</f>
        <v>13.512333333333336</v>
      </c>
      <c r="K41" s="46">
        <f>J41/'Výpočty '!$B$1</f>
        <v>0.67561666666666675</v>
      </c>
      <c r="L41" s="42">
        <f t="shared" si="1"/>
        <v>0.66802500000000009</v>
      </c>
      <c r="M41" s="42">
        <f t="shared" si="2"/>
        <v>0.74225000000000008</v>
      </c>
      <c r="N41" s="42">
        <f t="shared" si="3"/>
        <v>1.8249999999999999E-2</v>
      </c>
      <c r="O41" s="42">
        <f t="shared" si="10"/>
        <v>2.0277777777777777E-2</v>
      </c>
      <c r="P41" s="42">
        <f t="shared" si="4"/>
        <v>1.8249999999999999E-2</v>
      </c>
    </row>
    <row r="42" spans="1:16" x14ac:dyDescent="0.3">
      <c r="A42" s="47">
        <f t="shared" si="11"/>
        <v>46223</v>
      </c>
      <c r="B42" s="49">
        <f t="shared" si="12"/>
        <v>0.40625000000000017</v>
      </c>
      <c r="C42" s="42">
        <f>'Červenec vík data'!V41+P42</f>
        <v>0.55574999999999997</v>
      </c>
      <c r="D42" s="42">
        <f t="shared" si="5"/>
        <v>0.55574999999999997</v>
      </c>
      <c r="E42">
        <f t="shared" si="6"/>
        <v>1.5189999999999999</v>
      </c>
      <c r="F42" s="42">
        <f t="shared" si="7"/>
        <v>0</v>
      </c>
      <c r="G42" s="42">
        <f t="shared" si="8"/>
        <v>0</v>
      </c>
      <c r="H42" s="42">
        <f t="shared" si="9"/>
        <v>0</v>
      </c>
      <c r="I42" s="42">
        <f t="shared" si="0"/>
        <v>0.96324999999999994</v>
      </c>
      <c r="J42" s="43">
        <f>MIN('Výpočty '!$B$1*0.9, MAX('Výpočty '!$B$1*0.05, J41 + M42 - MIN(O42, MAX(0, J41 - ('Výpočty '!$B$1*0.1))) - P42))</f>
        <v>14.437055555555558</v>
      </c>
      <c r="K42" s="46">
        <f>J42/'Výpočty '!$B$1</f>
        <v>0.7218527777777779</v>
      </c>
      <c r="L42" s="42">
        <f t="shared" si="1"/>
        <v>0.86692499999999995</v>
      </c>
      <c r="M42" s="42">
        <f t="shared" si="2"/>
        <v>0.96324999999999994</v>
      </c>
      <c r="N42" s="42">
        <f t="shared" si="3"/>
        <v>1.8249999999999999E-2</v>
      </c>
      <c r="O42" s="42">
        <f t="shared" si="10"/>
        <v>2.0277777777777777E-2</v>
      </c>
      <c r="P42" s="42">
        <f t="shared" si="4"/>
        <v>1.8249999999999999E-2</v>
      </c>
    </row>
    <row r="43" spans="1:16" x14ac:dyDescent="0.3">
      <c r="A43" s="47">
        <f t="shared" si="11"/>
        <v>46223</v>
      </c>
      <c r="B43" s="49">
        <f t="shared" si="12"/>
        <v>0.41666666666666685</v>
      </c>
      <c r="C43" s="42">
        <f>'Červenec vík data'!V42+P43</f>
        <v>0.58074999999999999</v>
      </c>
      <c r="D43" s="42">
        <f t="shared" si="5"/>
        <v>0.58074999999999999</v>
      </c>
      <c r="E43">
        <f t="shared" si="6"/>
        <v>1.754</v>
      </c>
      <c r="F43" s="42">
        <f t="shared" si="7"/>
        <v>0</v>
      </c>
      <c r="G43" s="42">
        <f t="shared" si="8"/>
        <v>0</v>
      </c>
      <c r="H43" s="42">
        <f t="shared" si="9"/>
        <v>0</v>
      </c>
      <c r="I43" s="42">
        <f t="shared" si="0"/>
        <v>1.1732499999999999</v>
      </c>
      <c r="J43" s="43">
        <f>MIN('Výpočty '!$B$1*0.9, MAX('Výpočty '!$B$1*0.05, J42 + M43 - MIN(O43, MAX(0, J42 - ('Výpočty '!$B$1*0.1))) - P43))</f>
        <v>15.571777777777779</v>
      </c>
      <c r="K43" s="46">
        <f>J43/'Výpočty '!$B$1</f>
        <v>0.778588888888889</v>
      </c>
      <c r="L43" s="42">
        <f t="shared" si="1"/>
        <v>1.055925</v>
      </c>
      <c r="M43" s="42">
        <f t="shared" si="2"/>
        <v>1.1732499999999999</v>
      </c>
      <c r="N43" s="42">
        <f t="shared" si="3"/>
        <v>1.8249999999999999E-2</v>
      </c>
      <c r="O43" s="42">
        <f t="shared" si="10"/>
        <v>2.0277777777777777E-2</v>
      </c>
      <c r="P43" s="42">
        <f t="shared" si="4"/>
        <v>1.8249999999999999E-2</v>
      </c>
    </row>
    <row r="44" spans="1:16" x14ac:dyDescent="0.3">
      <c r="A44" s="47">
        <f t="shared" si="11"/>
        <v>46223</v>
      </c>
      <c r="B44" s="49">
        <f t="shared" si="12"/>
        <v>0.42708333333333354</v>
      </c>
      <c r="C44" s="42">
        <f>'Červenec vík data'!V43+P44</f>
        <v>0.58074999999999999</v>
      </c>
      <c r="D44" s="42">
        <f t="shared" si="5"/>
        <v>0.58074999999999999</v>
      </c>
      <c r="E44">
        <f t="shared" si="6"/>
        <v>2.0009999999999999</v>
      </c>
      <c r="F44" s="42">
        <f t="shared" si="7"/>
        <v>0</v>
      </c>
      <c r="G44" s="42">
        <f t="shared" si="8"/>
        <v>0</v>
      </c>
      <c r="H44" s="42">
        <f t="shared" si="9"/>
        <v>0</v>
      </c>
      <c r="I44" s="42">
        <f t="shared" si="0"/>
        <v>1.4202499999999998</v>
      </c>
      <c r="J44" s="43">
        <f>MIN('Výpočty '!$B$1*0.9, MAX('Výpočty '!$B$1*0.05, J43 + M44 - MIN(O44, MAX(0, J43 - ('Výpočty '!$B$1*0.1))) - P44))</f>
        <v>16.953500000000002</v>
      </c>
      <c r="K44" s="46">
        <f>J44/'Výpočty '!$B$1</f>
        <v>0.84767500000000007</v>
      </c>
      <c r="L44" s="42">
        <f t="shared" si="1"/>
        <v>1.2782249999999999</v>
      </c>
      <c r="M44" s="42">
        <f t="shared" si="2"/>
        <v>1.4202499999999998</v>
      </c>
      <c r="N44" s="42">
        <f t="shared" si="3"/>
        <v>1.8249999999999999E-2</v>
      </c>
      <c r="O44" s="42">
        <f t="shared" si="10"/>
        <v>2.0277777777777777E-2</v>
      </c>
      <c r="P44" s="42">
        <f t="shared" si="4"/>
        <v>1.8249999999999999E-2</v>
      </c>
    </row>
    <row r="45" spans="1:16" x14ac:dyDescent="0.3">
      <c r="A45" s="47">
        <f t="shared" si="11"/>
        <v>46223</v>
      </c>
      <c r="B45" s="49">
        <f t="shared" si="12"/>
        <v>0.43750000000000022</v>
      </c>
      <c r="C45" s="42">
        <f>'Červenec vík data'!V44+P45</f>
        <v>0.58450000000000002</v>
      </c>
      <c r="D45" s="42">
        <f t="shared" si="5"/>
        <v>0.58450000000000002</v>
      </c>
      <c r="E45">
        <f t="shared" si="6"/>
        <v>2.254</v>
      </c>
      <c r="F45" s="42">
        <f t="shared" si="7"/>
        <v>0</v>
      </c>
      <c r="G45" s="42">
        <f t="shared" si="8"/>
        <v>0.50672222222222429</v>
      </c>
      <c r="H45" s="42">
        <f t="shared" si="9"/>
        <v>0</v>
      </c>
      <c r="I45" s="42">
        <f t="shared" si="0"/>
        <v>1.6695</v>
      </c>
      <c r="J45" s="43">
        <f>MIN('Výpočty '!$B$1*0.9, MAX('Výpočty '!$B$1*0.05, J44 + M45 - MIN(O45, MAX(0, J44 - ('Výpočty '!$B$1*0.1))) - P45))</f>
        <v>18</v>
      </c>
      <c r="K45" s="46">
        <f>J45/'Výpočty '!$B$1</f>
        <v>0.9</v>
      </c>
      <c r="L45" s="42">
        <f t="shared" si="1"/>
        <v>1.0464999999999982</v>
      </c>
      <c r="M45" s="42">
        <f t="shared" si="2"/>
        <v>1.1627777777777757</v>
      </c>
      <c r="N45" s="42">
        <f t="shared" si="3"/>
        <v>1.8249999999999999E-2</v>
      </c>
      <c r="O45" s="42">
        <f t="shared" si="10"/>
        <v>2.0277777777777777E-2</v>
      </c>
      <c r="P45" s="42">
        <f t="shared" si="4"/>
        <v>1.8249999999999999E-2</v>
      </c>
    </row>
    <row r="46" spans="1:16" x14ac:dyDescent="0.3">
      <c r="A46" s="47">
        <f t="shared" si="11"/>
        <v>46223</v>
      </c>
      <c r="B46" s="49">
        <f t="shared" si="12"/>
        <v>0.44791666666666691</v>
      </c>
      <c r="C46" s="42">
        <f>'Červenec vík data'!V45+P46</f>
        <v>0.58450000000000002</v>
      </c>
      <c r="D46" s="42">
        <f t="shared" si="5"/>
        <v>0.58450000000000002</v>
      </c>
      <c r="E46">
        <f t="shared" si="6"/>
        <v>2.508</v>
      </c>
      <c r="F46" s="42">
        <f t="shared" si="7"/>
        <v>0</v>
      </c>
      <c r="G46" s="42">
        <f t="shared" si="8"/>
        <v>1.9235</v>
      </c>
      <c r="H46" s="42">
        <f t="shared" si="9"/>
        <v>0</v>
      </c>
      <c r="I46" s="42">
        <f t="shared" si="0"/>
        <v>1.9235</v>
      </c>
      <c r="J46" s="43">
        <f>MIN('Výpočty '!$B$1*0.9, MAX('Výpočty '!$B$1*0.05, J45 + M46 - MIN(O46, MAX(0, J45 - ('Výpočty '!$B$1*0.1))) - P46))</f>
        <v>17.961472222222223</v>
      </c>
      <c r="K46" s="46">
        <f>J46/'Výpočty '!$B$1</f>
        <v>0.89807361111111117</v>
      </c>
      <c r="L46" s="42">
        <f t="shared" si="1"/>
        <v>0</v>
      </c>
      <c r="M46" s="42">
        <f t="shared" si="2"/>
        <v>0</v>
      </c>
      <c r="N46" s="42">
        <f t="shared" si="3"/>
        <v>1.8249999999999999E-2</v>
      </c>
      <c r="O46" s="42">
        <f t="shared" si="10"/>
        <v>2.0277777777777777E-2</v>
      </c>
      <c r="P46" s="42">
        <f t="shared" si="4"/>
        <v>1.8249999999999999E-2</v>
      </c>
    </row>
    <row r="47" spans="1:16" x14ac:dyDescent="0.3">
      <c r="A47" s="47">
        <f t="shared" si="11"/>
        <v>46223</v>
      </c>
      <c r="B47" s="49">
        <f t="shared" si="12"/>
        <v>0.45833333333333359</v>
      </c>
      <c r="C47" s="42">
        <f>'Červenec vík data'!V46+P47</f>
        <v>5.9499999999999997E-2</v>
      </c>
      <c r="D47" s="42">
        <f t="shared" si="5"/>
        <v>5.9499999999999997E-2</v>
      </c>
      <c r="E47">
        <f t="shared" si="6"/>
        <v>2.7549999999999999</v>
      </c>
      <c r="F47" s="42">
        <f t="shared" si="7"/>
        <v>0</v>
      </c>
      <c r="G47" s="42">
        <f t="shared" si="8"/>
        <v>2.6526913580246925</v>
      </c>
      <c r="H47" s="42">
        <f t="shared" si="9"/>
        <v>0</v>
      </c>
      <c r="I47" s="42">
        <f t="shared" si="0"/>
        <v>2.6955</v>
      </c>
      <c r="J47" s="43">
        <f>MIN('Výpočty '!$B$1*0.9, MAX('Výpočty '!$B$1*0.05, J46 + M47 - MIN(O47, MAX(0, J46 - ('Výpočty '!$B$1*0.1))) - P47))</f>
        <v>17.965753086419753</v>
      </c>
      <c r="K47" s="46">
        <f>J47/'Výpočty '!$B$1</f>
        <v>0.89828765432098767</v>
      </c>
      <c r="L47" s="42">
        <f t="shared" si="1"/>
        <v>3.8527777777776606E-2</v>
      </c>
      <c r="M47" s="42">
        <f t="shared" si="2"/>
        <v>4.2808641975307336E-2</v>
      </c>
      <c r="N47" s="42">
        <f t="shared" si="3"/>
        <v>1.8249999999999999E-2</v>
      </c>
      <c r="O47" s="42">
        <f t="shared" si="10"/>
        <v>2.0277777777777777E-2</v>
      </c>
      <c r="P47" s="42">
        <f t="shared" si="4"/>
        <v>1.8249999999999999E-2</v>
      </c>
    </row>
    <row r="48" spans="1:16" x14ac:dyDescent="0.3">
      <c r="A48" s="47">
        <f t="shared" si="11"/>
        <v>46223</v>
      </c>
      <c r="B48" s="49">
        <f t="shared" si="12"/>
        <v>0.46875000000000028</v>
      </c>
      <c r="C48" s="42">
        <f>'Červenec vík data'!V47+P48</f>
        <v>5.9499999999999997E-2</v>
      </c>
      <c r="D48" s="42">
        <f t="shared" si="5"/>
        <v>5.9499999999999997E-2</v>
      </c>
      <c r="E48">
        <f t="shared" si="6"/>
        <v>2.988</v>
      </c>
      <c r="F48" s="42">
        <f t="shared" si="7"/>
        <v>0</v>
      </c>
      <c r="G48" s="42">
        <f t="shared" si="8"/>
        <v>2.890447873799725</v>
      </c>
      <c r="H48" s="42">
        <f t="shared" si="9"/>
        <v>0</v>
      </c>
      <c r="I48" s="42">
        <f t="shared" si="0"/>
        <v>2.9285000000000001</v>
      </c>
      <c r="J48" s="43">
        <f>MIN('Výpočty '!$B$1*0.9, MAX('Výpočty '!$B$1*0.05, J47 + M48 - MIN(O48, MAX(0, J47 - ('Výpočty '!$B$1*0.1))) - P48))</f>
        <v>17.96527743484225</v>
      </c>
      <c r="K48" s="46">
        <f>J48/'Výpočty '!$B$1</f>
        <v>0.89826387174211253</v>
      </c>
      <c r="L48" s="42">
        <f t="shared" si="1"/>
        <v>3.4246913580247451E-2</v>
      </c>
      <c r="M48" s="42">
        <f t="shared" si="2"/>
        <v>3.8052126200274948E-2</v>
      </c>
      <c r="N48" s="42">
        <f t="shared" si="3"/>
        <v>1.8249999999999999E-2</v>
      </c>
      <c r="O48" s="42">
        <f t="shared" si="10"/>
        <v>2.0277777777777777E-2</v>
      </c>
      <c r="P48" s="42">
        <f t="shared" si="4"/>
        <v>1.8249999999999999E-2</v>
      </c>
    </row>
    <row r="49" spans="1:16" x14ac:dyDescent="0.3">
      <c r="A49" s="47">
        <f t="shared" si="11"/>
        <v>46223</v>
      </c>
      <c r="B49" s="49">
        <f t="shared" si="12"/>
        <v>0.47916666666666696</v>
      </c>
      <c r="C49" s="42">
        <f>'Červenec vík data'!V48+P49</f>
        <v>5.9499999999999997E-2</v>
      </c>
      <c r="D49" s="42">
        <f t="shared" si="5"/>
        <v>5.9499999999999997E-2</v>
      </c>
      <c r="E49">
        <f t="shared" si="6"/>
        <v>3.202</v>
      </c>
      <c r="F49" s="42">
        <f t="shared" si="7"/>
        <v>0</v>
      </c>
      <c r="G49" s="42">
        <f t="shared" si="8"/>
        <v>3.1039193720469442</v>
      </c>
      <c r="H49" s="42">
        <f t="shared" si="9"/>
        <v>0</v>
      </c>
      <c r="I49" s="42">
        <f t="shared" si="0"/>
        <v>3.1425000000000001</v>
      </c>
      <c r="J49" s="43">
        <f>MIN('Výpočty '!$B$1*0.9, MAX('Výpočty '!$B$1*0.05, J48 + M49 - MIN(O49, MAX(0, J48 - ('Výpočty '!$B$1*0.1))) - P49))</f>
        <v>17.965330285017529</v>
      </c>
      <c r="K49" s="46">
        <f>J49/'Výpočty '!$B$1</f>
        <v>0.89826651425087645</v>
      </c>
      <c r="L49" s="42">
        <f t="shared" si="1"/>
        <v>3.4722565157750296E-2</v>
      </c>
      <c r="M49" s="42">
        <f t="shared" si="2"/>
        <v>3.8580627953055883E-2</v>
      </c>
      <c r="N49" s="42">
        <f t="shared" si="3"/>
        <v>1.8249999999999999E-2</v>
      </c>
      <c r="O49" s="42">
        <f t="shared" si="10"/>
        <v>2.0277777777777777E-2</v>
      </c>
      <c r="P49" s="42">
        <f t="shared" si="4"/>
        <v>1.8249999999999999E-2</v>
      </c>
    </row>
    <row r="50" spans="1:16" x14ac:dyDescent="0.3">
      <c r="A50" s="47">
        <f t="shared" si="11"/>
        <v>46223</v>
      </c>
      <c r="B50" s="49">
        <f t="shared" si="12"/>
        <v>0.48958333333333365</v>
      </c>
      <c r="C50" s="42">
        <f>'Červenec vík data'!V49+P50</f>
        <v>1.5594999999999999</v>
      </c>
      <c r="D50" s="42">
        <f t="shared" si="5"/>
        <v>1.5594999999999999</v>
      </c>
      <c r="E50">
        <f t="shared" si="6"/>
        <v>3.387</v>
      </c>
      <c r="F50" s="42">
        <f t="shared" si="7"/>
        <v>0</v>
      </c>
      <c r="G50" s="42">
        <f t="shared" si="8"/>
        <v>1.7889780944639218</v>
      </c>
      <c r="H50" s="42">
        <f t="shared" si="9"/>
        <v>0</v>
      </c>
      <c r="I50" s="42">
        <f t="shared" si="0"/>
        <v>1.8275000000000001</v>
      </c>
      <c r="J50" s="43">
        <f>MIN('Výpočty '!$B$1*0.9, MAX('Výpočty '!$B$1*0.05, J49 + M50 - MIN(O50, MAX(0, J49 - ('Výpočty '!$B$1*0.1))) - P50))</f>
        <v>17.965324412775832</v>
      </c>
      <c r="K50" s="46">
        <f>J50/'Výpočty '!$B$1</f>
        <v>0.89826622063879158</v>
      </c>
      <c r="L50" s="42">
        <f t="shared" si="1"/>
        <v>3.4669714982470623E-2</v>
      </c>
      <c r="M50" s="42">
        <f t="shared" si="2"/>
        <v>3.8521905536078468E-2</v>
      </c>
      <c r="N50" s="42">
        <f t="shared" si="3"/>
        <v>1.8249999999999999E-2</v>
      </c>
      <c r="O50" s="42">
        <f t="shared" si="10"/>
        <v>2.0277777777777777E-2</v>
      </c>
      <c r="P50" s="42">
        <f t="shared" si="4"/>
        <v>1.8249999999999999E-2</v>
      </c>
    </row>
    <row r="51" spans="1:16" x14ac:dyDescent="0.3">
      <c r="A51" s="47">
        <f t="shared" si="11"/>
        <v>46223</v>
      </c>
      <c r="B51" s="49">
        <f t="shared" si="12"/>
        <v>0.50000000000000033</v>
      </c>
      <c r="C51" s="42">
        <f>'Červenec vík data'!V50+P51</f>
        <v>2.3094999999999999</v>
      </c>
      <c r="D51" s="42">
        <f t="shared" si="5"/>
        <v>2.3094999999999999</v>
      </c>
      <c r="E51">
        <f t="shared" si="6"/>
        <v>3.5390000000000001</v>
      </c>
      <c r="F51" s="42">
        <f t="shared" si="7"/>
        <v>0</v>
      </c>
      <c r="G51" s="42">
        <f t="shared" si="8"/>
        <v>1.1909715697509247</v>
      </c>
      <c r="H51" s="42">
        <f t="shared" si="9"/>
        <v>0</v>
      </c>
      <c r="I51" s="42">
        <f t="shared" si="0"/>
        <v>1.2295000000000003</v>
      </c>
      <c r="J51" s="43">
        <f>MIN('Výpočty '!$B$1*0.9, MAX('Výpočty '!$B$1*0.05, J50 + M51 - MIN(O51, MAX(0, J50 - ('Výpočty '!$B$1*0.1))) - P51))</f>
        <v>17.965325065247132</v>
      </c>
      <c r="K51" s="46">
        <f>J51/'Výpočty '!$B$1</f>
        <v>0.89826625326235665</v>
      </c>
      <c r="L51" s="42">
        <f t="shared" si="1"/>
        <v>3.467558722416797E-2</v>
      </c>
      <c r="M51" s="42">
        <f t="shared" si="2"/>
        <v>3.852843024907552E-2</v>
      </c>
      <c r="N51" s="42">
        <f t="shared" si="3"/>
        <v>1.8249999999999999E-2</v>
      </c>
      <c r="O51" s="42">
        <f t="shared" si="10"/>
        <v>2.0277777777777777E-2</v>
      </c>
      <c r="P51" s="42">
        <f t="shared" si="4"/>
        <v>1.8249999999999999E-2</v>
      </c>
    </row>
    <row r="52" spans="1:16" x14ac:dyDescent="0.3">
      <c r="A52" s="47">
        <f t="shared" si="11"/>
        <v>46223</v>
      </c>
      <c r="B52" s="49">
        <f t="shared" si="12"/>
        <v>0.51041666666666696</v>
      </c>
      <c r="C52" s="42">
        <f>'Červenec vík data'!V51+P52</f>
        <v>2.2807500000000003</v>
      </c>
      <c r="D52" s="42">
        <f t="shared" si="5"/>
        <v>2.2807500000000003</v>
      </c>
      <c r="E52">
        <f t="shared" si="6"/>
        <v>3.6509999999999998</v>
      </c>
      <c r="F52" s="42">
        <f t="shared" si="7"/>
        <v>0</v>
      </c>
      <c r="G52" s="42">
        <f t="shared" si="8"/>
        <v>1.3317222947190352</v>
      </c>
      <c r="H52" s="42">
        <f t="shared" si="9"/>
        <v>0</v>
      </c>
      <c r="I52" s="42">
        <f t="shared" si="0"/>
        <v>1.3702499999999995</v>
      </c>
      <c r="J52" s="43">
        <f>MIN('Výpočty '!$B$1*0.9, MAX('Výpočty '!$B$1*0.05, J51 + M52 - MIN(O52, MAX(0, J51 - ('Výpočty '!$B$1*0.1))) - P52))</f>
        <v>17.965324992750318</v>
      </c>
      <c r="K52" s="46">
        <f>J52/'Výpočty '!$B$1</f>
        <v>0.89826624963751589</v>
      </c>
      <c r="L52" s="42">
        <f t="shared" si="1"/>
        <v>3.467493475286787E-2</v>
      </c>
      <c r="M52" s="42">
        <f t="shared" si="2"/>
        <v>3.8527705280964296E-2</v>
      </c>
      <c r="N52" s="42">
        <f t="shared" si="3"/>
        <v>1.8249999999999999E-2</v>
      </c>
      <c r="O52" s="42">
        <f t="shared" si="10"/>
        <v>2.0277777777777777E-2</v>
      </c>
      <c r="P52" s="42">
        <f t="shared" si="4"/>
        <v>1.8249999999999999E-2</v>
      </c>
    </row>
    <row r="53" spans="1:16" x14ac:dyDescent="0.3">
      <c r="A53" s="47">
        <f t="shared" si="11"/>
        <v>46223</v>
      </c>
      <c r="B53" s="49">
        <f t="shared" si="12"/>
        <v>0.52083333333333359</v>
      </c>
      <c r="C53" s="42">
        <f>'Červenec vík data'!V52+P53</f>
        <v>2.2807500000000003</v>
      </c>
      <c r="D53" s="42">
        <f t="shared" si="5"/>
        <v>2.2807500000000003</v>
      </c>
      <c r="E53">
        <f t="shared" si="6"/>
        <v>3.7210000000000001</v>
      </c>
      <c r="F53" s="42">
        <f t="shared" si="7"/>
        <v>0</v>
      </c>
      <c r="G53" s="42">
        <f t="shared" si="8"/>
        <v>1.40172221416702</v>
      </c>
      <c r="H53" s="42">
        <f t="shared" si="9"/>
        <v>0</v>
      </c>
      <c r="I53" s="42">
        <f t="shared" si="0"/>
        <v>1.4402499999999998</v>
      </c>
      <c r="J53" s="43">
        <f>MIN('Výpočty '!$B$1*0.9, MAX('Výpočty '!$B$1*0.05, J52 + M53 - MIN(O53, MAX(0, J52 - ('Výpočty '!$B$1*0.1))) - P53))</f>
        <v>17.965325000805521</v>
      </c>
      <c r="K53" s="46">
        <f>J53/'Výpočty '!$B$1</f>
        <v>0.89826625004027605</v>
      </c>
      <c r="L53" s="42">
        <f t="shared" si="1"/>
        <v>3.4675007249681755E-2</v>
      </c>
      <c r="M53" s="42">
        <f t="shared" si="2"/>
        <v>3.8527785832979729E-2</v>
      </c>
      <c r="N53" s="42">
        <f t="shared" si="3"/>
        <v>1.8249999999999999E-2</v>
      </c>
      <c r="O53" s="42">
        <f t="shared" si="10"/>
        <v>2.0277777777777777E-2</v>
      </c>
      <c r="P53" s="42">
        <f t="shared" si="4"/>
        <v>1.8249999999999999E-2</v>
      </c>
    </row>
    <row r="54" spans="1:16" x14ac:dyDescent="0.3">
      <c r="A54" s="47">
        <f t="shared" si="11"/>
        <v>46223</v>
      </c>
      <c r="B54" s="49">
        <f t="shared" si="12"/>
        <v>0.53125000000000022</v>
      </c>
      <c r="C54" s="42">
        <f>'Červenec vík data'!V53+P54</f>
        <v>0.78074999999999994</v>
      </c>
      <c r="D54" s="42">
        <f t="shared" si="5"/>
        <v>0.78074999999999994</v>
      </c>
      <c r="E54">
        <f t="shared" si="6"/>
        <v>3.7440000000000002</v>
      </c>
      <c r="F54" s="42">
        <f t="shared" si="7"/>
        <v>0</v>
      </c>
      <c r="G54" s="42">
        <f t="shared" si="8"/>
        <v>2.9247222231172461</v>
      </c>
      <c r="H54" s="42">
        <f t="shared" si="9"/>
        <v>0</v>
      </c>
      <c r="I54" s="42">
        <f t="shared" si="0"/>
        <v>2.9632500000000004</v>
      </c>
      <c r="J54" s="43">
        <f>MIN('Výpočty '!$B$1*0.9, MAX('Výpočty '!$B$1*0.05, J53 + M54 - MIN(O54, MAX(0, J53 - ('Výpočty '!$B$1*0.1))) - P54))</f>
        <v>17.9653249999105</v>
      </c>
      <c r="K54" s="46">
        <f>J54/'Výpočty '!$B$1</f>
        <v>0.89826624999552496</v>
      </c>
      <c r="L54" s="42">
        <f t="shared" si="1"/>
        <v>3.4674999194479028E-2</v>
      </c>
      <c r="M54" s="42">
        <f t="shared" si="2"/>
        <v>3.8527776882754473E-2</v>
      </c>
      <c r="N54" s="42">
        <f t="shared" si="3"/>
        <v>1.8249999999999999E-2</v>
      </c>
      <c r="O54" s="42">
        <f t="shared" si="10"/>
        <v>2.0277777777777777E-2</v>
      </c>
      <c r="P54" s="42">
        <f t="shared" si="4"/>
        <v>1.8249999999999999E-2</v>
      </c>
    </row>
    <row r="55" spans="1:16" x14ac:dyDescent="0.3">
      <c r="A55" s="47">
        <f t="shared" si="11"/>
        <v>46223</v>
      </c>
      <c r="B55" s="49">
        <f t="shared" si="12"/>
        <v>0.54166666666666685</v>
      </c>
      <c r="C55" s="42">
        <f>'Červenec vík data'!V54+P55</f>
        <v>0.78074999999999994</v>
      </c>
      <c r="D55" s="42">
        <f t="shared" si="5"/>
        <v>0.78074999999999994</v>
      </c>
      <c r="E55">
        <f t="shared" si="6"/>
        <v>3.7210000000000001</v>
      </c>
      <c r="F55" s="42">
        <f t="shared" si="7"/>
        <v>0</v>
      </c>
      <c r="G55" s="42">
        <f t="shared" si="8"/>
        <v>2.9017222221227779</v>
      </c>
      <c r="H55" s="42">
        <f t="shared" si="9"/>
        <v>0</v>
      </c>
      <c r="I55" s="42">
        <f t="shared" si="0"/>
        <v>2.9402500000000003</v>
      </c>
      <c r="J55" s="43">
        <f>MIN('Výpočty '!$B$1*0.9, MAX('Výpočty '!$B$1*0.05, J54 + M55 - MIN(O55, MAX(0, J54 - ('Výpočty '!$B$1*0.1))) - P55))</f>
        <v>17.965325000009944</v>
      </c>
      <c r="K55" s="46">
        <f>J55/'Výpočty '!$B$1</f>
        <v>0.8982662500004972</v>
      </c>
      <c r="L55" s="42">
        <f t="shared" si="1"/>
        <v>3.4675000089499974E-2</v>
      </c>
      <c r="M55" s="42">
        <f t="shared" si="2"/>
        <v>3.852777787722219E-2</v>
      </c>
      <c r="N55" s="42">
        <f t="shared" si="3"/>
        <v>1.8249999999999999E-2</v>
      </c>
      <c r="O55" s="42">
        <f t="shared" si="10"/>
        <v>2.0277777777777777E-2</v>
      </c>
      <c r="P55" s="42">
        <f t="shared" si="4"/>
        <v>1.8249999999999999E-2</v>
      </c>
    </row>
    <row r="56" spans="1:16" x14ac:dyDescent="0.3">
      <c r="A56" s="47">
        <f t="shared" si="11"/>
        <v>46223</v>
      </c>
      <c r="B56" s="49">
        <f t="shared" si="12"/>
        <v>0.55208333333333348</v>
      </c>
      <c r="C56" s="42">
        <f>'Červenec vík data'!V55+P56</f>
        <v>0.58074999999999999</v>
      </c>
      <c r="D56" s="42">
        <f t="shared" si="5"/>
        <v>0.58074999999999999</v>
      </c>
      <c r="E56">
        <f t="shared" si="6"/>
        <v>3.6509999999999998</v>
      </c>
      <c r="F56" s="42">
        <f t="shared" si="7"/>
        <v>0</v>
      </c>
      <c r="G56" s="42">
        <f t="shared" si="8"/>
        <v>3.0317222222332707</v>
      </c>
      <c r="H56" s="42">
        <f t="shared" si="9"/>
        <v>0</v>
      </c>
      <c r="I56" s="42">
        <f t="shared" si="0"/>
        <v>3.0702499999999997</v>
      </c>
      <c r="J56" s="43">
        <f>MIN('Výpočty '!$B$1*0.9, MAX('Výpočty '!$B$1*0.05, J55 + M56 - MIN(O56, MAX(0, J55 - ('Výpočty '!$B$1*0.1))) - P56))</f>
        <v>17.965324999998895</v>
      </c>
      <c r="K56" s="46">
        <f>J56/'Výpočty '!$B$1</f>
        <v>0.89826624999994475</v>
      </c>
      <c r="L56" s="42">
        <f t="shared" si="1"/>
        <v>3.4674999990055966E-2</v>
      </c>
      <c r="M56" s="42">
        <f t="shared" si="2"/>
        <v>3.8527777766728853E-2</v>
      </c>
      <c r="N56" s="42">
        <f t="shared" si="3"/>
        <v>1.8249999999999999E-2</v>
      </c>
      <c r="O56" s="42">
        <f t="shared" si="10"/>
        <v>2.0277777777777777E-2</v>
      </c>
      <c r="P56" s="42">
        <f t="shared" si="4"/>
        <v>1.8249999999999999E-2</v>
      </c>
    </row>
    <row r="57" spans="1:16" x14ac:dyDescent="0.3">
      <c r="A57" s="47">
        <f t="shared" si="11"/>
        <v>46223</v>
      </c>
      <c r="B57" s="49">
        <f t="shared" si="12"/>
        <v>0.56250000000000011</v>
      </c>
      <c r="C57" s="42">
        <f>'Červenec vík data'!V56+P57</f>
        <v>0.61324999999999996</v>
      </c>
      <c r="D57" s="42">
        <f t="shared" si="5"/>
        <v>0.61324999999999996</v>
      </c>
      <c r="E57">
        <f t="shared" si="6"/>
        <v>3.5390000000000001</v>
      </c>
      <c r="F57" s="42">
        <f t="shared" si="7"/>
        <v>0</v>
      </c>
      <c r="G57" s="42">
        <f t="shared" si="8"/>
        <v>2.8872222222209949</v>
      </c>
      <c r="H57" s="42">
        <f t="shared" si="9"/>
        <v>0</v>
      </c>
      <c r="I57" s="42">
        <f t="shared" si="0"/>
        <v>2.9257500000000003</v>
      </c>
      <c r="J57" s="43">
        <f>MIN('Výpočty '!$B$1*0.9, MAX('Výpočty '!$B$1*0.05, J56 + M57 - MIN(O57, MAX(0, J56 - ('Výpočty '!$B$1*0.1))) - P57))</f>
        <v>17.965325000000124</v>
      </c>
      <c r="K57" s="46">
        <f>J57/'Výpočty '!$B$1</f>
        <v>0.89826625000000626</v>
      </c>
      <c r="L57" s="42">
        <f t="shared" si="1"/>
        <v>3.4675000001104905E-2</v>
      </c>
      <c r="M57" s="42">
        <f t="shared" si="2"/>
        <v>3.852777777900545E-2</v>
      </c>
      <c r="N57" s="42">
        <f t="shared" si="3"/>
        <v>1.8249999999999999E-2</v>
      </c>
      <c r="O57" s="42">
        <f t="shared" si="10"/>
        <v>2.0277777777777777E-2</v>
      </c>
      <c r="P57" s="42">
        <f t="shared" si="4"/>
        <v>1.8249999999999999E-2</v>
      </c>
    </row>
    <row r="58" spans="1:16" x14ac:dyDescent="0.3">
      <c r="A58" s="47">
        <f t="shared" si="11"/>
        <v>46223</v>
      </c>
      <c r="B58" s="49">
        <f t="shared" si="12"/>
        <v>0.57291666666666674</v>
      </c>
      <c r="C58" s="42">
        <f>'Červenec vík data'!V57+P58</f>
        <v>0.58074999999999999</v>
      </c>
      <c r="D58" s="42">
        <f t="shared" si="5"/>
        <v>0.58074999999999999</v>
      </c>
      <c r="E58">
        <f t="shared" si="6"/>
        <v>3.387</v>
      </c>
      <c r="F58" s="42">
        <f t="shared" si="7"/>
        <v>0</v>
      </c>
      <c r="G58" s="42">
        <f t="shared" si="8"/>
        <v>2.7677222222223601</v>
      </c>
      <c r="H58" s="42">
        <f t="shared" si="9"/>
        <v>0</v>
      </c>
      <c r="I58" s="42">
        <f t="shared" si="0"/>
        <v>2.8062499999999999</v>
      </c>
      <c r="J58" s="43">
        <f>MIN('Výpočty '!$B$1*0.9, MAX('Výpočty '!$B$1*0.05, J57 + M58 - MIN(O58, MAX(0, J57 - ('Výpočty '!$B$1*0.1))) - P58))</f>
        <v>17.965324999999986</v>
      </c>
      <c r="K58" s="46">
        <f>J58/'Výpočty '!$B$1</f>
        <v>0.89826624999999927</v>
      </c>
      <c r="L58" s="42">
        <f t="shared" si="1"/>
        <v>3.4674999999875666E-2</v>
      </c>
      <c r="M58" s="42">
        <f t="shared" si="2"/>
        <v>3.8527777777639625E-2</v>
      </c>
      <c r="N58" s="42">
        <f t="shared" si="3"/>
        <v>1.8249999999999999E-2</v>
      </c>
      <c r="O58" s="42">
        <f t="shared" si="10"/>
        <v>2.0277777777777777E-2</v>
      </c>
      <c r="P58" s="42">
        <f t="shared" si="4"/>
        <v>1.8249999999999999E-2</v>
      </c>
    </row>
    <row r="59" spans="1:16" x14ac:dyDescent="0.3">
      <c r="A59" s="47">
        <f t="shared" si="11"/>
        <v>46223</v>
      </c>
      <c r="B59" s="49">
        <f t="shared" si="12"/>
        <v>0.58333333333333337</v>
      </c>
      <c r="C59" s="42">
        <f>'Červenec vík data'!V58+P59</f>
        <v>0.6432500000000001</v>
      </c>
      <c r="D59" s="42">
        <f t="shared" si="5"/>
        <v>0.6432500000000001</v>
      </c>
      <c r="E59">
        <f t="shared" si="6"/>
        <v>3.202</v>
      </c>
      <c r="F59" s="42">
        <f t="shared" si="7"/>
        <v>0</v>
      </c>
      <c r="G59" s="42">
        <f t="shared" si="8"/>
        <v>2.5202222222222064</v>
      </c>
      <c r="H59" s="42">
        <f t="shared" si="9"/>
        <v>0</v>
      </c>
      <c r="I59" s="42">
        <f t="shared" si="0"/>
        <v>2.5587499999999999</v>
      </c>
      <c r="J59" s="43">
        <f>MIN('Výpočty '!$B$1*0.9, MAX('Výpočty '!$B$1*0.05, J58 + M59 - MIN(O59, MAX(0, J58 - ('Výpočty '!$B$1*0.1))) - P59))</f>
        <v>17.965325000000004</v>
      </c>
      <c r="K59" s="46">
        <f>J59/'Výpočty '!$B$1</f>
        <v>0.89826625000000015</v>
      </c>
      <c r="L59" s="42">
        <f t="shared" si="1"/>
        <v>3.4675000000014222E-2</v>
      </c>
      <c r="M59" s="42">
        <f t="shared" si="2"/>
        <v>3.8527777777793579E-2</v>
      </c>
      <c r="N59" s="42">
        <f t="shared" si="3"/>
        <v>1.8249999999999999E-2</v>
      </c>
      <c r="O59" s="42">
        <f t="shared" si="10"/>
        <v>2.0277777777777777E-2</v>
      </c>
      <c r="P59" s="42">
        <f t="shared" si="4"/>
        <v>1.8249999999999999E-2</v>
      </c>
    </row>
    <row r="60" spans="1:16" x14ac:dyDescent="0.3">
      <c r="A60" s="47">
        <f t="shared" si="11"/>
        <v>46223</v>
      </c>
      <c r="B60" s="49">
        <f t="shared" si="12"/>
        <v>0.59375</v>
      </c>
      <c r="C60" s="42">
        <f>'Červenec vík data'!V59+P60</f>
        <v>0.6432500000000001</v>
      </c>
      <c r="D60" s="42">
        <f t="shared" si="5"/>
        <v>0.6432500000000001</v>
      </c>
      <c r="E60">
        <f t="shared" si="6"/>
        <v>2.988</v>
      </c>
      <c r="F60" s="42">
        <f t="shared" si="7"/>
        <v>0</v>
      </c>
      <c r="G60" s="42">
        <f t="shared" si="8"/>
        <v>2.3062222222222259</v>
      </c>
      <c r="H60" s="42">
        <f t="shared" si="9"/>
        <v>0</v>
      </c>
      <c r="I60" s="42">
        <f t="shared" si="0"/>
        <v>2.3447499999999999</v>
      </c>
      <c r="J60" s="43">
        <f>MIN('Výpočty '!$B$1*0.9, MAX('Výpočty '!$B$1*0.05, J59 + M60 - MIN(O60, MAX(0, J59 - ('Výpočty '!$B$1*0.1))) - P60))</f>
        <v>17.965325</v>
      </c>
      <c r="K60" s="46">
        <f>J60/'Výpočty '!$B$1</f>
        <v>0.89826625000000004</v>
      </c>
      <c r="L60" s="42">
        <f t="shared" si="1"/>
        <v>3.4674999999996459E-2</v>
      </c>
      <c r="M60" s="42">
        <f t="shared" si="2"/>
        <v>3.8527777777773844E-2</v>
      </c>
      <c r="N60" s="42">
        <f t="shared" si="3"/>
        <v>1.8249999999999999E-2</v>
      </c>
      <c r="O60" s="42">
        <f t="shared" si="10"/>
        <v>2.0277777777777777E-2</v>
      </c>
      <c r="P60" s="42">
        <f t="shared" si="4"/>
        <v>1.8249999999999999E-2</v>
      </c>
    </row>
    <row r="61" spans="1:16" x14ac:dyDescent="0.3">
      <c r="A61" s="47">
        <f t="shared" si="11"/>
        <v>46223</v>
      </c>
      <c r="B61" s="49">
        <f t="shared" si="12"/>
        <v>0.60416666666666663</v>
      </c>
      <c r="C61" s="42">
        <f>'Červenec vík data'!V60+P61</f>
        <v>9.3250000000000013E-2</v>
      </c>
      <c r="D61" s="42">
        <f t="shared" si="5"/>
        <v>9.3250000000000013E-2</v>
      </c>
      <c r="E61">
        <f t="shared" si="6"/>
        <v>2.7549999999999999</v>
      </c>
      <c r="F61" s="42">
        <f t="shared" si="7"/>
        <v>0</v>
      </c>
      <c r="G61" s="42">
        <f t="shared" si="8"/>
        <v>2.6232222222222221</v>
      </c>
      <c r="H61" s="42">
        <f t="shared" si="9"/>
        <v>0</v>
      </c>
      <c r="I61" s="42">
        <f t="shared" si="0"/>
        <v>2.6617500000000001</v>
      </c>
      <c r="J61" s="43">
        <f>MIN('Výpočty '!$B$1*0.9, MAX('Výpočty '!$B$1*0.05, J60 + M61 - MIN(O61, MAX(0, J60 - ('Výpočty '!$B$1*0.1))) - P61))</f>
        <v>17.965325</v>
      </c>
      <c r="K61" s="46">
        <f>J61/'Výpočty '!$B$1</f>
        <v>0.89826625000000004</v>
      </c>
      <c r="L61" s="42">
        <f t="shared" si="1"/>
        <v>3.4675000000000011E-2</v>
      </c>
      <c r="M61" s="42">
        <f t="shared" si="2"/>
        <v>3.8527777777777793E-2</v>
      </c>
      <c r="N61" s="42">
        <f t="shared" si="3"/>
        <v>1.8249999999999999E-2</v>
      </c>
      <c r="O61" s="42">
        <f t="shared" si="10"/>
        <v>2.0277777777777777E-2</v>
      </c>
      <c r="P61" s="42">
        <f t="shared" si="4"/>
        <v>1.8249999999999999E-2</v>
      </c>
    </row>
    <row r="62" spans="1:16" x14ac:dyDescent="0.3">
      <c r="A62" s="47">
        <f t="shared" si="11"/>
        <v>46223</v>
      </c>
      <c r="B62" s="49">
        <f t="shared" si="12"/>
        <v>0.61458333333333326</v>
      </c>
      <c r="C62" s="42">
        <f>'Červenec vík data'!V61+P62</f>
        <v>9.3250000000000013E-2</v>
      </c>
      <c r="D62" s="42">
        <f t="shared" si="5"/>
        <v>9.3250000000000013E-2</v>
      </c>
      <c r="E62">
        <f t="shared" si="6"/>
        <v>2.508</v>
      </c>
      <c r="F62" s="42">
        <f t="shared" si="7"/>
        <v>0</v>
      </c>
      <c r="G62" s="42">
        <f t="shared" si="8"/>
        <v>2.3762222222222222</v>
      </c>
      <c r="H62" s="42">
        <f t="shared" si="9"/>
        <v>0</v>
      </c>
      <c r="I62" s="42">
        <f t="shared" si="0"/>
        <v>2.4147500000000002</v>
      </c>
      <c r="J62" s="43">
        <f>MIN('Výpočty '!$B$1*0.9, MAX('Výpočty '!$B$1*0.05, J61 + M62 - MIN(O62, MAX(0, J61 - ('Výpočty '!$B$1*0.1))) - P62))</f>
        <v>17.965325</v>
      </c>
      <c r="K62" s="46">
        <f>J62/'Výpočty '!$B$1</f>
        <v>0.89826625000000004</v>
      </c>
      <c r="L62" s="42">
        <f t="shared" si="1"/>
        <v>3.4675000000000011E-2</v>
      </c>
      <c r="M62" s="42">
        <f t="shared" si="2"/>
        <v>3.8527777777777793E-2</v>
      </c>
      <c r="N62" s="42">
        <f t="shared" si="3"/>
        <v>1.8249999999999999E-2</v>
      </c>
      <c r="O62" s="42">
        <f t="shared" si="10"/>
        <v>2.0277777777777777E-2</v>
      </c>
      <c r="P62" s="42">
        <f t="shared" si="4"/>
        <v>1.8249999999999999E-2</v>
      </c>
    </row>
    <row r="63" spans="1:16" x14ac:dyDescent="0.3">
      <c r="A63" s="47">
        <f t="shared" si="11"/>
        <v>46223</v>
      </c>
      <c r="B63" s="49">
        <f t="shared" si="12"/>
        <v>0.62499999999999989</v>
      </c>
      <c r="C63" s="42">
        <f>'Červenec vík data'!V62+P63</f>
        <v>0.1145</v>
      </c>
      <c r="D63" s="42">
        <f t="shared" si="5"/>
        <v>0.1145</v>
      </c>
      <c r="E63">
        <f t="shared" si="6"/>
        <v>2.254</v>
      </c>
      <c r="F63" s="42">
        <f t="shared" si="7"/>
        <v>0</v>
      </c>
      <c r="G63" s="42">
        <f t="shared" si="8"/>
        <v>2.100972222222222</v>
      </c>
      <c r="H63" s="42">
        <f t="shared" si="9"/>
        <v>0</v>
      </c>
      <c r="I63" s="42">
        <f t="shared" si="0"/>
        <v>2.1395</v>
      </c>
      <c r="J63" s="43">
        <f>MIN('Výpočty '!$B$1*0.9, MAX('Výpočty '!$B$1*0.05, J62 + M63 - MIN(O63, MAX(0, J62 - ('Výpočty '!$B$1*0.1))) - P63))</f>
        <v>17.965325</v>
      </c>
      <c r="K63" s="46">
        <f>J63/'Výpočty '!$B$1</f>
        <v>0.89826625000000004</v>
      </c>
      <c r="L63" s="42">
        <f t="shared" si="1"/>
        <v>3.4675000000000011E-2</v>
      </c>
      <c r="M63" s="42">
        <f t="shared" si="2"/>
        <v>3.8527777777777793E-2</v>
      </c>
      <c r="N63" s="42">
        <f t="shared" si="3"/>
        <v>1.8249999999999999E-2</v>
      </c>
      <c r="O63" s="42">
        <f t="shared" si="10"/>
        <v>2.0277777777777777E-2</v>
      </c>
      <c r="P63" s="42">
        <f t="shared" si="4"/>
        <v>1.8249999999999999E-2</v>
      </c>
    </row>
    <row r="64" spans="1:16" x14ac:dyDescent="0.3">
      <c r="A64" s="47">
        <f t="shared" si="11"/>
        <v>46223</v>
      </c>
      <c r="B64" s="49">
        <f t="shared" si="12"/>
        <v>0.63541666666666652</v>
      </c>
      <c r="C64" s="42">
        <f>'Červenec vík data'!V63+P64</f>
        <v>0.1145</v>
      </c>
      <c r="D64" s="42">
        <f t="shared" si="5"/>
        <v>0.1145</v>
      </c>
      <c r="E64">
        <f t="shared" si="6"/>
        <v>2.0009999999999999</v>
      </c>
      <c r="F64" s="42">
        <f t="shared" si="7"/>
        <v>0</v>
      </c>
      <c r="G64" s="42">
        <f t="shared" si="8"/>
        <v>1.8479722222222221</v>
      </c>
      <c r="H64" s="42">
        <f t="shared" si="9"/>
        <v>0</v>
      </c>
      <c r="I64" s="42">
        <f t="shared" si="0"/>
        <v>1.8864999999999998</v>
      </c>
      <c r="J64" s="43">
        <f>MIN('Výpočty '!$B$1*0.9, MAX('Výpočty '!$B$1*0.05, J63 + M64 - MIN(O64, MAX(0, J63 - ('Výpočty '!$B$1*0.1))) - P64))</f>
        <v>17.965325</v>
      </c>
      <c r="K64" s="46">
        <f>J64/'Výpočty '!$B$1</f>
        <v>0.89826625000000004</v>
      </c>
      <c r="L64" s="42">
        <f t="shared" si="1"/>
        <v>3.4675000000000011E-2</v>
      </c>
      <c r="M64" s="42">
        <f t="shared" si="2"/>
        <v>3.8527777777777793E-2</v>
      </c>
      <c r="N64" s="42">
        <f t="shared" si="3"/>
        <v>1.8249999999999999E-2</v>
      </c>
      <c r="O64" s="42">
        <f t="shared" si="10"/>
        <v>2.0277777777777777E-2</v>
      </c>
      <c r="P64" s="42">
        <f t="shared" si="4"/>
        <v>1.8249999999999999E-2</v>
      </c>
    </row>
    <row r="65" spans="1:16" x14ac:dyDescent="0.3">
      <c r="A65" s="47">
        <f t="shared" si="11"/>
        <v>46223</v>
      </c>
      <c r="B65" s="49">
        <f t="shared" si="12"/>
        <v>0.64583333333333315</v>
      </c>
      <c r="C65" s="42">
        <f>'Červenec vík data'!V64+P65</f>
        <v>0.1145</v>
      </c>
      <c r="D65" s="42">
        <f t="shared" si="5"/>
        <v>0.1145</v>
      </c>
      <c r="E65">
        <f t="shared" si="6"/>
        <v>1.754</v>
      </c>
      <c r="F65" s="42">
        <f t="shared" si="7"/>
        <v>0</v>
      </c>
      <c r="G65" s="42">
        <f t="shared" si="8"/>
        <v>1.6009722222222222</v>
      </c>
      <c r="H65" s="42">
        <f t="shared" si="9"/>
        <v>0</v>
      </c>
      <c r="I65" s="42">
        <f t="shared" si="0"/>
        <v>1.6395</v>
      </c>
      <c r="J65" s="43">
        <f>MIN('Výpočty '!$B$1*0.9, MAX('Výpočty '!$B$1*0.05, J64 + M65 - MIN(O65, MAX(0, J64 - ('Výpočty '!$B$1*0.1))) - P65))</f>
        <v>17.965325</v>
      </c>
      <c r="K65" s="46">
        <f>J65/'Výpočty '!$B$1</f>
        <v>0.89826625000000004</v>
      </c>
      <c r="L65" s="42">
        <f t="shared" si="1"/>
        <v>3.4675000000000011E-2</v>
      </c>
      <c r="M65" s="42">
        <f t="shared" si="2"/>
        <v>3.8527777777777793E-2</v>
      </c>
      <c r="N65" s="42">
        <f t="shared" si="3"/>
        <v>1.8249999999999999E-2</v>
      </c>
      <c r="O65" s="42">
        <f t="shared" si="10"/>
        <v>2.0277777777777777E-2</v>
      </c>
      <c r="P65" s="42">
        <f t="shared" si="4"/>
        <v>1.8249999999999999E-2</v>
      </c>
    </row>
    <row r="66" spans="1:16" x14ac:dyDescent="0.3">
      <c r="A66" s="47">
        <f t="shared" si="11"/>
        <v>46223</v>
      </c>
      <c r="B66" s="49">
        <f t="shared" si="12"/>
        <v>0.65624999999999978</v>
      </c>
      <c r="C66" s="42">
        <f>'Červenec vík data'!V65+P66</f>
        <v>0.1145</v>
      </c>
      <c r="D66" s="42">
        <f t="shared" si="5"/>
        <v>0.1145</v>
      </c>
      <c r="E66">
        <f t="shared" si="6"/>
        <v>1.5189999999999999</v>
      </c>
      <c r="F66" s="42">
        <f t="shared" si="7"/>
        <v>0</v>
      </c>
      <c r="G66" s="42">
        <f t="shared" si="8"/>
        <v>1.3659722222222221</v>
      </c>
      <c r="H66" s="42">
        <f t="shared" si="9"/>
        <v>0</v>
      </c>
      <c r="I66" s="42">
        <f t="shared" si="0"/>
        <v>1.4044999999999999</v>
      </c>
      <c r="J66" s="43">
        <f>MIN('Výpočty '!$B$1*0.9, MAX('Výpočty '!$B$1*0.05, J65 + M66 - MIN(O66, MAX(0, J65 - ('Výpočty '!$B$1*0.1))) - P66))</f>
        <v>17.965325</v>
      </c>
      <c r="K66" s="46">
        <f>J66/'Výpočty '!$B$1</f>
        <v>0.89826625000000004</v>
      </c>
      <c r="L66" s="42">
        <f t="shared" si="1"/>
        <v>3.4675000000000011E-2</v>
      </c>
      <c r="M66" s="42">
        <f t="shared" si="2"/>
        <v>3.8527777777777793E-2</v>
      </c>
      <c r="N66" s="42">
        <f t="shared" si="3"/>
        <v>1.8249999999999999E-2</v>
      </c>
      <c r="O66" s="42">
        <f t="shared" si="10"/>
        <v>2.0277777777777777E-2</v>
      </c>
      <c r="P66" s="42">
        <f t="shared" si="4"/>
        <v>1.8249999999999999E-2</v>
      </c>
    </row>
    <row r="67" spans="1:16" x14ac:dyDescent="0.3">
      <c r="A67" s="47">
        <f t="shared" si="11"/>
        <v>46223</v>
      </c>
      <c r="B67" s="49">
        <f t="shared" si="12"/>
        <v>0.66666666666666641</v>
      </c>
      <c r="C67" s="42">
        <f>'Červenec vík data'!V66+P67</f>
        <v>0.1145</v>
      </c>
      <c r="D67" s="42">
        <f t="shared" si="5"/>
        <v>0.1145</v>
      </c>
      <c r="E67">
        <f t="shared" si="6"/>
        <v>1.298</v>
      </c>
      <c r="F67" s="42">
        <f t="shared" si="7"/>
        <v>0</v>
      </c>
      <c r="G67" s="42">
        <f t="shared" si="8"/>
        <v>1.1449722222222223</v>
      </c>
      <c r="H67" s="42">
        <f t="shared" si="9"/>
        <v>0</v>
      </c>
      <c r="I67" s="42">
        <f t="shared" ref="I67:I98" si="13">E67-C67</f>
        <v>1.1835</v>
      </c>
      <c r="J67" s="43">
        <f>MIN('Výpočty '!$B$1*0.9, MAX('Výpočty '!$B$1*0.05, J66 + M67 - MIN(O67, MAX(0, J66 - ('Výpočty '!$B$1*0.1))) - P67))</f>
        <v>17.965325</v>
      </c>
      <c r="K67" s="46">
        <f>J67/'Výpočty '!$B$1</f>
        <v>0.89826625000000004</v>
      </c>
      <c r="L67" s="42">
        <f t="shared" ref="L67:L98" si="14">M67 * Účinnost_cyklu</f>
        <v>3.4675000000000011E-2</v>
      </c>
      <c r="M67" s="42">
        <f t="shared" ref="M67:M98" si="15">MIN(MAX(0, I67), MAX(0, Kapacita_baterie * Soc_Max - J66) / Účinnost_cyklu, Stridac_limit)</f>
        <v>3.8527777777777793E-2</v>
      </c>
      <c r="N67" s="42">
        <f t="shared" ref="N67:N98" si="16">MAX(0, MIN(J66 - (Kapacita_baterie * Soc_Kriticke), C67 - D67 + P67))</f>
        <v>1.8249999999999999E-2</v>
      </c>
      <c r="O67" s="42">
        <f t="shared" si="10"/>
        <v>2.0277777777777777E-2</v>
      </c>
      <c r="P67" s="42">
        <f t="shared" ref="P67:P98" si="17">Vlastní_Spotřeba_kWh</f>
        <v>1.8249999999999999E-2</v>
      </c>
    </row>
    <row r="68" spans="1:16" x14ac:dyDescent="0.3">
      <c r="A68" s="47">
        <f t="shared" si="11"/>
        <v>46223</v>
      </c>
      <c r="B68" s="49">
        <f t="shared" si="12"/>
        <v>0.67708333333333304</v>
      </c>
      <c r="C68" s="42">
        <f>'Červenec vík data'!V67+P68</f>
        <v>0.1145</v>
      </c>
      <c r="D68" s="42">
        <f t="shared" ref="D68:D98" si="18">MIN(C68, E68)</f>
        <v>0.1145</v>
      </c>
      <c r="E68">
        <f t="shared" ref="E68:E98" si="19">ROUND(MAX(0, 15 * EXP(-((HOUR(B68)+MINUTE(B68)/60 - 12.75)^2) / 10) * 0.25 - 0.006), 3)</f>
        <v>1.0960000000000001</v>
      </c>
      <c r="F68" s="42">
        <f t="shared" ref="F68:F98" si="20">MAX(0, C68 - D68 - H68 )</f>
        <v>0</v>
      </c>
      <c r="G68" s="42">
        <f t="shared" ref="G68:G98" si="21">MAX(0, E68 - D68 - M68)</f>
        <v>0.94297222222222221</v>
      </c>
      <c r="H68" s="42">
        <f t="shared" ref="H68:H97" si="22">MAX(0, MIN(C68 - D68, N68 ))</f>
        <v>0</v>
      </c>
      <c r="I68" s="42">
        <f t="shared" si="13"/>
        <v>0.98150000000000004</v>
      </c>
      <c r="J68" s="43">
        <f>MIN('Výpočty '!$B$1*0.9, MAX('Výpočty '!$B$1*0.05, J67 + M68 - MIN(O68, MAX(0, J67 - ('Výpočty '!$B$1*0.1))) - P68))</f>
        <v>17.965325</v>
      </c>
      <c r="K68" s="46">
        <f>J68/'Výpočty '!$B$1</f>
        <v>0.89826625000000004</v>
      </c>
      <c r="L68" s="42">
        <f t="shared" si="14"/>
        <v>3.4675000000000011E-2</v>
      </c>
      <c r="M68" s="42">
        <f t="shared" si="15"/>
        <v>3.8527777777777793E-2</v>
      </c>
      <c r="N68" s="42">
        <f t="shared" si="16"/>
        <v>1.8249999999999999E-2</v>
      </c>
      <c r="O68" s="42">
        <f t="shared" ref="O68:O98" si="23">N68 / Účinnost_cyklu</f>
        <v>2.0277777777777777E-2</v>
      </c>
      <c r="P68" s="42">
        <f t="shared" si="17"/>
        <v>1.8249999999999999E-2</v>
      </c>
    </row>
    <row r="69" spans="1:16" x14ac:dyDescent="0.3">
      <c r="A69" s="47">
        <f t="shared" ref="A69:A98" si="24">DATE(2026,7,20)</f>
        <v>46223</v>
      </c>
      <c r="B69" s="49">
        <f t="shared" ref="B69:B98" si="25">B68+TIME(0,15,0)</f>
        <v>0.68749999999999967</v>
      </c>
      <c r="C69" s="42">
        <f>'Červenec vík data'!V68+P69</f>
        <v>0.1145</v>
      </c>
      <c r="D69" s="42">
        <f t="shared" si="18"/>
        <v>0.1145</v>
      </c>
      <c r="E69">
        <f t="shared" si="19"/>
        <v>0.91300000000000003</v>
      </c>
      <c r="F69" s="42">
        <f t="shared" si="20"/>
        <v>0</v>
      </c>
      <c r="G69" s="42">
        <f t="shared" si="21"/>
        <v>0.75997222222222216</v>
      </c>
      <c r="H69" s="42">
        <f t="shared" si="22"/>
        <v>0</v>
      </c>
      <c r="I69" s="42">
        <f t="shared" si="13"/>
        <v>0.79849999999999999</v>
      </c>
      <c r="J69" s="43">
        <f>MIN('Výpočty '!$B$1*0.9, MAX('Výpočty '!$B$1*0.05, J68 + M69 - MIN(O69, MAX(0, J68 - ('Výpočty '!$B$1*0.1))) - P69))</f>
        <v>17.965325</v>
      </c>
      <c r="K69" s="46">
        <f>J69/'Výpočty '!$B$1</f>
        <v>0.89826625000000004</v>
      </c>
      <c r="L69" s="42">
        <f t="shared" si="14"/>
        <v>3.4675000000000011E-2</v>
      </c>
      <c r="M69" s="42">
        <f t="shared" si="15"/>
        <v>3.8527777777777793E-2</v>
      </c>
      <c r="N69" s="42">
        <f t="shared" si="16"/>
        <v>1.8249999999999999E-2</v>
      </c>
      <c r="O69" s="42">
        <f t="shared" si="23"/>
        <v>2.0277777777777777E-2</v>
      </c>
      <c r="P69" s="42">
        <f t="shared" si="17"/>
        <v>1.8249999999999999E-2</v>
      </c>
    </row>
    <row r="70" spans="1:16" x14ac:dyDescent="0.3">
      <c r="A70" s="47">
        <f t="shared" si="24"/>
        <v>46223</v>
      </c>
      <c r="B70" s="49">
        <f t="shared" si="25"/>
        <v>0.6979166666666663</v>
      </c>
      <c r="C70" s="42">
        <f>'Červenec vík data'!V69+P70</f>
        <v>0.1145</v>
      </c>
      <c r="D70" s="42">
        <f t="shared" si="18"/>
        <v>0.1145</v>
      </c>
      <c r="E70">
        <f t="shared" si="19"/>
        <v>0.751</v>
      </c>
      <c r="F70" s="42">
        <f t="shared" si="20"/>
        <v>0</v>
      </c>
      <c r="G70" s="42">
        <f t="shared" si="21"/>
        <v>0.59797222222222213</v>
      </c>
      <c r="H70" s="42">
        <f t="shared" si="22"/>
        <v>0</v>
      </c>
      <c r="I70" s="42">
        <f t="shared" si="13"/>
        <v>0.63649999999999995</v>
      </c>
      <c r="J70" s="43">
        <f>MIN('Výpočty '!$B$1*0.9, MAX('Výpočty '!$B$1*0.05, J69 + M70 - MIN(O70, MAX(0, J69 - ('Výpočty '!$B$1*0.1))) - P70))</f>
        <v>17.965325</v>
      </c>
      <c r="K70" s="46">
        <f>J70/'Výpočty '!$B$1</f>
        <v>0.89826625000000004</v>
      </c>
      <c r="L70" s="42">
        <f t="shared" si="14"/>
        <v>3.4675000000000011E-2</v>
      </c>
      <c r="M70" s="42">
        <f t="shared" si="15"/>
        <v>3.8527777777777793E-2</v>
      </c>
      <c r="N70" s="42">
        <f t="shared" si="16"/>
        <v>1.8249999999999999E-2</v>
      </c>
      <c r="O70" s="42">
        <f t="shared" si="23"/>
        <v>2.0277777777777777E-2</v>
      </c>
      <c r="P70" s="42">
        <f t="shared" si="17"/>
        <v>1.8249999999999999E-2</v>
      </c>
    </row>
    <row r="71" spans="1:16" x14ac:dyDescent="0.3">
      <c r="A71" s="47">
        <f t="shared" si="24"/>
        <v>46223</v>
      </c>
      <c r="B71" s="49">
        <f t="shared" si="25"/>
        <v>0.70833333333333293</v>
      </c>
      <c r="C71" s="42">
        <f>'Červenec vík data'!V70+P71</f>
        <v>0.1145</v>
      </c>
      <c r="D71" s="42">
        <f t="shared" si="18"/>
        <v>0.1145</v>
      </c>
      <c r="E71">
        <f t="shared" si="19"/>
        <v>0.61</v>
      </c>
      <c r="F71" s="42">
        <f t="shared" si="20"/>
        <v>0</v>
      </c>
      <c r="G71" s="42">
        <f t="shared" si="21"/>
        <v>0.45697222222222222</v>
      </c>
      <c r="H71" s="42">
        <f t="shared" si="22"/>
        <v>0</v>
      </c>
      <c r="I71" s="42">
        <f t="shared" si="13"/>
        <v>0.4955</v>
      </c>
      <c r="J71" s="43">
        <f>MIN('Výpočty '!$B$1*0.9, MAX('Výpočty '!$B$1*0.05, J70 + M71 - MIN(O71, MAX(0, J70 - ('Výpočty '!$B$1*0.1))) - P71))</f>
        <v>17.965325</v>
      </c>
      <c r="K71" s="46">
        <f>J71/'Výpočty '!$B$1</f>
        <v>0.89826625000000004</v>
      </c>
      <c r="L71" s="42">
        <f t="shared" si="14"/>
        <v>3.4675000000000011E-2</v>
      </c>
      <c r="M71" s="42">
        <f t="shared" si="15"/>
        <v>3.8527777777777793E-2</v>
      </c>
      <c r="N71" s="42">
        <f t="shared" si="16"/>
        <v>1.8249999999999999E-2</v>
      </c>
      <c r="O71" s="42">
        <f t="shared" si="23"/>
        <v>2.0277777777777777E-2</v>
      </c>
      <c r="P71" s="42">
        <f t="shared" si="17"/>
        <v>1.8249999999999999E-2</v>
      </c>
    </row>
    <row r="72" spans="1:16" x14ac:dyDescent="0.3">
      <c r="A72" s="47">
        <f t="shared" si="24"/>
        <v>46223</v>
      </c>
      <c r="B72" s="49">
        <f t="shared" si="25"/>
        <v>0.71874999999999956</v>
      </c>
      <c r="C72" s="42">
        <f>'Červenec vík data'!V71+P72</f>
        <v>0.1145</v>
      </c>
      <c r="D72" s="42">
        <f t="shared" si="18"/>
        <v>0.1145</v>
      </c>
      <c r="E72">
        <f t="shared" si="19"/>
        <v>0.48899999999999999</v>
      </c>
      <c r="F72" s="42">
        <f t="shared" si="20"/>
        <v>0</v>
      </c>
      <c r="G72" s="42">
        <f t="shared" si="21"/>
        <v>0.33597222222222223</v>
      </c>
      <c r="H72" s="42">
        <f t="shared" si="22"/>
        <v>0</v>
      </c>
      <c r="I72" s="42">
        <f t="shared" si="13"/>
        <v>0.3745</v>
      </c>
      <c r="J72" s="43">
        <f>MIN('Výpočty '!$B$1*0.9, MAX('Výpočty '!$B$1*0.05, J71 + M72 - MIN(O72, MAX(0, J71 - ('Výpočty '!$B$1*0.1))) - P72))</f>
        <v>17.965325</v>
      </c>
      <c r="K72" s="46">
        <f>J72/'Výpočty '!$B$1</f>
        <v>0.89826625000000004</v>
      </c>
      <c r="L72" s="42">
        <f t="shared" si="14"/>
        <v>3.4675000000000011E-2</v>
      </c>
      <c r="M72" s="42">
        <f t="shared" si="15"/>
        <v>3.8527777777777793E-2</v>
      </c>
      <c r="N72" s="42">
        <f t="shared" si="16"/>
        <v>1.8249999999999999E-2</v>
      </c>
      <c r="O72" s="42">
        <f t="shared" si="23"/>
        <v>2.0277777777777777E-2</v>
      </c>
      <c r="P72" s="42">
        <f t="shared" si="17"/>
        <v>1.8249999999999999E-2</v>
      </c>
    </row>
    <row r="73" spans="1:16" x14ac:dyDescent="0.3">
      <c r="A73" s="47">
        <f t="shared" si="24"/>
        <v>46223</v>
      </c>
      <c r="B73" s="49">
        <f t="shared" si="25"/>
        <v>0.72916666666666619</v>
      </c>
      <c r="C73" s="42">
        <f>'Červenec vík data'!V72+P73</f>
        <v>0.12200000000000001</v>
      </c>
      <c r="D73" s="42">
        <f t="shared" si="18"/>
        <v>0.12200000000000001</v>
      </c>
      <c r="E73">
        <f t="shared" si="19"/>
        <v>0.38700000000000001</v>
      </c>
      <c r="F73" s="42">
        <f t="shared" si="20"/>
        <v>0</v>
      </c>
      <c r="G73" s="42">
        <f t="shared" si="21"/>
        <v>0.22647222222222221</v>
      </c>
      <c r="H73" s="42">
        <f t="shared" si="22"/>
        <v>0</v>
      </c>
      <c r="I73" s="42">
        <f t="shared" si="13"/>
        <v>0.26500000000000001</v>
      </c>
      <c r="J73" s="43">
        <f>MIN('Výpočty '!$B$1*0.9, MAX('Výpočty '!$B$1*0.05, J72 + M73 - MIN(O73, MAX(0, J72 - ('Výpočty '!$B$1*0.1))) - P73))</f>
        <v>17.965325</v>
      </c>
      <c r="K73" s="46">
        <f>J73/'Výpočty '!$B$1</f>
        <v>0.89826625000000004</v>
      </c>
      <c r="L73" s="42">
        <f t="shared" si="14"/>
        <v>3.4675000000000011E-2</v>
      </c>
      <c r="M73" s="42">
        <f t="shared" si="15"/>
        <v>3.8527777777777793E-2</v>
      </c>
      <c r="N73" s="42">
        <f t="shared" si="16"/>
        <v>1.8249999999999999E-2</v>
      </c>
      <c r="O73" s="42">
        <f t="shared" si="23"/>
        <v>2.0277777777777777E-2</v>
      </c>
      <c r="P73" s="42">
        <f t="shared" si="17"/>
        <v>1.8249999999999999E-2</v>
      </c>
    </row>
    <row r="74" spans="1:16" x14ac:dyDescent="0.3">
      <c r="A74" s="47">
        <f t="shared" si="24"/>
        <v>46223</v>
      </c>
      <c r="B74" s="49">
        <f t="shared" si="25"/>
        <v>0.73958333333333282</v>
      </c>
      <c r="C74" s="42">
        <f>'Červenec vík data'!V73+P74</f>
        <v>5.9499999999999997E-2</v>
      </c>
      <c r="D74" s="42">
        <f t="shared" si="18"/>
        <v>5.9499999999999997E-2</v>
      </c>
      <c r="E74">
        <f t="shared" si="19"/>
        <v>0.30199999999999999</v>
      </c>
      <c r="F74" s="42">
        <f t="shared" si="20"/>
        <v>0</v>
      </c>
      <c r="G74" s="42">
        <f t="shared" si="21"/>
        <v>0.20397222222222219</v>
      </c>
      <c r="H74" s="42">
        <f t="shared" si="22"/>
        <v>0</v>
      </c>
      <c r="I74" s="42">
        <f t="shared" si="13"/>
        <v>0.24249999999999999</v>
      </c>
      <c r="J74" s="43">
        <f>MIN('Výpočty '!$B$1*0.9, MAX('Výpočty '!$B$1*0.05, J73 + M74 - MIN(O74, MAX(0, J73 - ('Výpočty '!$B$1*0.1))) - P74))</f>
        <v>17.965325</v>
      </c>
      <c r="K74" s="46">
        <f>J74/'Výpočty '!$B$1</f>
        <v>0.89826625000000004</v>
      </c>
      <c r="L74" s="42">
        <f t="shared" si="14"/>
        <v>3.4675000000000011E-2</v>
      </c>
      <c r="M74" s="42">
        <f t="shared" si="15"/>
        <v>3.8527777777777793E-2</v>
      </c>
      <c r="N74" s="42">
        <f t="shared" si="16"/>
        <v>1.8249999999999999E-2</v>
      </c>
      <c r="O74" s="42">
        <f t="shared" si="23"/>
        <v>2.0277777777777777E-2</v>
      </c>
      <c r="P74" s="42">
        <f t="shared" si="17"/>
        <v>1.8249999999999999E-2</v>
      </c>
    </row>
    <row r="75" spans="1:16" x14ac:dyDescent="0.3">
      <c r="A75" s="47">
        <f t="shared" si="24"/>
        <v>46223</v>
      </c>
      <c r="B75" s="49">
        <f t="shared" si="25"/>
        <v>0.74999999999999944</v>
      </c>
      <c r="C75" s="42">
        <f>'Červenec vík data'!V74+P75</f>
        <v>5.9499999999999997E-2</v>
      </c>
      <c r="D75" s="42">
        <f t="shared" si="18"/>
        <v>5.9499999999999997E-2</v>
      </c>
      <c r="E75">
        <f t="shared" si="19"/>
        <v>0.23200000000000001</v>
      </c>
      <c r="F75" s="42">
        <f t="shared" si="20"/>
        <v>0</v>
      </c>
      <c r="G75" s="42">
        <f t="shared" si="21"/>
        <v>0.13397222222222221</v>
      </c>
      <c r="H75" s="42">
        <f t="shared" si="22"/>
        <v>0</v>
      </c>
      <c r="I75" s="42">
        <f t="shared" si="13"/>
        <v>0.17250000000000001</v>
      </c>
      <c r="J75" s="43">
        <f>MIN('Výpočty '!$B$1*0.9, MAX('Výpočty '!$B$1*0.05, J74 + M75 - MIN(O75, MAX(0, J74 - ('Výpočty '!$B$1*0.1))) - P75))</f>
        <v>17.965325</v>
      </c>
      <c r="K75" s="46">
        <f>J75/'Výpočty '!$B$1</f>
        <v>0.89826625000000004</v>
      </c>
      <c r="L75" s="42">
        <f t="shared" si="14"/>
        <v>3.4675000000000011E-2</v>
      </c>
      <c r="M75" s="42">
        <f t="shared" si="15"/>
        <v>3.8527777777777793E-2</v>
      </c>
      <c r="N75" s="42">
        <f t="shared" si="16"/>
        <v>1.8249999999999999E-2</v>
      </c>
      <c r="O75" s="42">
        <f t="shared" si="23"/>
        <v>2.0277777777777777E-2</v>
      </c>
      <c r="P75" s="42">
        <f t="shared" si="17"/>
        <v>1.8249999999999999E-2</v>
      </c>
    </row>
    <row r="76" spans="1:16" x14ac:dyDescent="0.3">
      <c r="A76" s="47">
        <f t="shared" si="24"/>
        <v>46223</v>
      </c>
      <c r="B76" s="49">
        <f t="shared" si="25"/>
        <v>0.76041666666666607</v>
      </c>
      <c r="C76" s="42">
        <f>'Červenec vík data'!V75+P76</f>
        <v>3.8249999999999999E-2</v>
      </c>
      <c r="D76" s="42">
        <f t="shared" si="18"/>
        <v>3.8249999999999999E-2</v>
      </c>
      <c r="E76">
        <f t="shared" si="19"/>
        <v>0.17599999999999999</v>
      </c>
      <c r="F76" s="42">
        <f t="shared" si="20"/>
        <v>0</v>
      </c>
      <c r="G76" s="42">
        <f t="shared" si="21"/>
        <v>9.9222222222222184E-2</v>
      </c>
      <c r="H76" s="42">
        <f t="shared" si="22"/>
        <v>0</v>
      </c>
      <c r="I76" s="42">
        <f t="shared" si="13"/>
        <v>0.13774999999999998</v>
      </c>
      <c r="J76" s="43">
        <f>MIN('Výpočty '!$B$1*0.9, MAX('Výpočty '!$B$1*0.05, J75 + M76 - MIN(O76, MAX(0, J75 - ('Výpočty '!$B$1*0.1))) - P76))</f>
        <v>17.965325</v>
      </c>
      <c r="K76" s="46">
        <f>J76/'Výpočty '!$B$1</f>
        <v>0.89826625000000004</v>
      </c>
      <c r="L76" s="42">
        <f t="shared" si="14"/>
        <v>3.4675000000000011E-2</v>
      </c>
      <c r="M76" s="42">
        <f t="shared" si="15"/>
        <v>3.8527777777777793E-2</v>
      </c>
      <c r="N76" s="42">
        <f t="shared" si="16"/>
        <v>1.8249999999999999E-2</v>
      </c>
      <c r="O76" s="42">
        <f t="shared" si="23"/>
        <v>2.0277777777777777E-2</v>
      </c>
      <c r="P76" s="42">
        <f t="shared" si="17"/>
        <v>1.8249999999999999E-2</v>
      </c>
    </row>
    <row r="77" spans="1:16" x14ac:dyDescent="0.3">
      <c r="A77" s="47">
        <f t="shared" si="24"/>
        <v>46223</v>
      </c>
      <c r="B77" s="49">
        <f t="shared" si="25"/>
        <v>0.7708333333333327</v>
      </c>
      <c r="C77" s="42">
        <f>'Červenec vík data'!V76+P77</f>
        <v>7.0749999999999993E-2</v>
      </c>
      <c r="D77" s="42">
        <f t="shared" si="18"/>
        <v>7.0749999999999993E-2</v>
      </c>
      <c r="E77">
        <f t="shared" si="19"/>
        <v>0.13100000000000001</v>
      </c>
      <c r="F77" s="42">
        <f t="shared" si="20"/>
        <v>0</v>
      </c>
      <c r="G77" s="42">
        <f t="shared" si="21"/>
        <v>2.1722222222222219E-2</v>
      </c>
      <c r="H77" s="42">
        <f t="shared" si="22"/>
        <v>0</v>
      </c>
      <c r="I77" s="42">
        <f t="shared" si="13"/>
        <v>6.0250000000000012E-2</v>
      </c>
      <c r="J77" s="43">
        <f>MIN('Výpočty '!$B$1*0.9, MAX('Výpočty '!$B$1*0.05, J76 + M77 - MIN(O77, MAX(0, J76 - ('Výpočty '!$B$1*0.1))) - P77))</f>
        <v>17.965325</v>
      </c>
      <c r="K77" s="46">
        <f>J77/'Výpočty '!$B$1</f>
        <v>0.89826625000000004</v>
      </c>
      <c r="L77" s="42">
        <f t="shared" si="14"/>
        <v>3.4675000000000011E-2</v>
      </c>
      <c r="M77" s="42">
        <f t="shared" si="15"/>
        <v>3.8527777777777793E-2</v>
      </c>
      <c r="N77" s="42">
        <f t="shared" si="16"/>
        <v>1.8249999999999999E-2</v>
      </c>
      <c r="O77" s="42">
        <f t="shared" si="23"/>
        <v>2.0277777777777777E-2</v>
      </c>
      <c r="P77" s="42">
        <f t="shared" si="17"/>
        <v>1.8249999999999999E-2</v>
      </c>
    </row>
    <row r="78" spans="1:16" x14ac:dyDescent="0.3">
      <c r="A78" s="47">
        <f t="shared" si="24"/>
        <v>46223</v>
      </c>
      <c r="B78" s="49">
        <f t="shared" si="25"/>
        <v>0.78124999999999933</v>
      </c>
      <c r="C78" s="42">
        <f>'Červenec vík data'!V77+P78</f>
        <v>1.5307500000000001</v>
      </c>
      <c r="D78" s="42">
        <f t="shared" si="18"/>
        <v>9.6000000000000002E-2</v>
      </c>
      <c r="E78">
        <f t="shared" si="19"/>
        <v>9.6000000000000002E-2</v>
      </c>
      <c r="F78" s="42">
        <f t="shared" si="20"/>
        <v>0</v>
      </c>
      <c r="G78" s="42">
        <f t="shared" si="21"/>
        <v>0</v>
      </c>
      <c r="H78" s="42">
        <f t="shared" si="22"/>
        <v>1.43475</v>
      </c>
      <c r="I78" s="42">
        <f t="shared" si="13"/>
        <v>-1.43475</v>
      </c>
      <c r="J78" s="43">
        <f>MIN('Výpočty '!$B$1*0.9, MAX('Výpočty '!$B$1*0.05, J77 + M78 - MIN(O78, MAX(0, J77 - ('Výpočty '!$B$1*0.1))) - P78))</f>
        <v>16.332630555555557</v>
      </c>
      <c r="K78" s="46">
        <f>J78/'Výpočty '!$B$1</f>
        <v>0.81663152777777781</v>
      </c>
      <c r="L78" s="42">
        <f t="shared" si="14"/>
        <v>0</v>
      </c>
      <c r="M78" s="42">
        <f t="shared" si="15"/>
        <v>0</v>
      </c>
      <c r="N78" s="42">
        <f t="shared" si="16"/>
        <v>1.4530000000000001</v>
      </c>
      <c r="O78" s="42">
        <f t="shared" si="23"/>
        <v>1.6144444444444446</v>
      </c>
      <c r="P78" s="42">
        <f t="shared" si="17"/>
        <v>1.8249999999999999E-2</v>
      </c>
    </row>
    <row r="79" spans="1:16" x14ac:dyDescent="0.3">
      <c r="A79" s="47">
        <f t="shared" si="24"/>
        <v>46223</v>
      </c>
      <c r="B79" s="49">
        <f t="shared" si="25"/>
        <v>0.79166666666666596</v>
      </c>
      <c r="C79" s="42">
        <f>'Červenec vík data'!V78+P79</f>
        <v>1.9057500000000001</v>
      </c>
      <c r="D79" s="42">
        <f t="shared" si="18"/>
        <v>6.9000000000000006E-2</v>
      </c>
      <c r="E79">
        <f t="shared" si="19"/>
        <v>6.9000000000000006E-2</v>
      </c>
      <c r="F79" s="42">
        <f t="shared" si="20"/>
        <v>0</v>
      </c>
      <c r="G79" s="42">
        <f t="shared" si="21"/>
        <v>0</v>
      </c>
      <c r="H79" s="42">
        <f t="shared" si="22"/>
        <v>1.8367500000000001</v>
      </c>
      <c r="I79" s="42">
        <f t="shared" si="13"/>
        <v>-1.8367500000000001</v>
      </c>
      <c r="J79" s="43">
        <f>MIN('Výpočty '!$B$1*0.9, MAX('Výpočty '!$B$1*0.05, J78 + M79 - MIN(O79, MAX(0, J78 - ('Výpočty '!$B$1*0.1))) - P79))</f>
        <v>14.253269444444445</v>
      </c>
      <c r="K79" s="46">
        <f>J79/'Výpočty '!$B$1</f>
        <v>0.71266347222222226</v>
      </c>
      <c r="L79" s="42">
        <f t="shared" si="14"/>
        <v>0</v>
      </c>
      <c r="M79" s="42">
        <f t="shared" si="15"/>
        <v>0</v>
      </c>
      <c r="N79" s="42">
        <f t="shared" si="16"/>
        <v>1.8550000000000002</v>
      </c>
      <c r="O79" s="42">
        <f t="shared" si="23"/>
        <v>2.0611111111111113</v>
      </c>
      <c r="P79" s="42">
        <f t="shared" si="17"/>
        <v>1.8249999999999999E-2</v>
      </c>
    </row>
    <row r="80" spans="1:16" x14ac:dyDescent="0.3">
      <c r="A80" s="47">
        <f t="shared" si="24"/>
        <v>46223</v>
      </c>
      <c r="B80" s="49">
        <f t="shared" si="25"/>
        <v>0.80208333333333259</v>
      </c>
      <c r="C80" s="42">
        <f>'Červenec vík data'!V79+P80</f>
        <v>1.5307500000000001</v>
      </c>
      <c r="D80" s="42">
        <f t="shared" si="18"/>
        <v>4.9000000000000002E-2</v>
      </c>
      <c r="E80">
        <f t="shared" si="19"/>
        <v>4.9000000000000002E-2</v>
      </c>
      <c r="F80" s="42">
        <f t="shared" si="20"/>
        <v>0</v>
      </c>
      <c r="G80" s="42">
        <f t="shared" si="21"/>
        <v>0</v>
      </c>
      <c r="H80" s="42">
        <f t="shared" si="22"/>
        <v>1.4817500000000001</v>
      </c>
      <c r="I80" s="42">
        <f t="shared" si="13"/>
        <v>-1.4817500000000001</v>
      </c>
      <c r="J80" s="43">
        <f>MIN('Výpočty '!$B$1*0.9, MAX('Výpočty '!$B$1*0.05, J79 + M80 - MIN(O80, MAX(0, J79 - ('Výpočty '!$B$1*0.1))) - P80))</f>
        <v>12.568352777777777</v>
      </c>
      <c r="K80" s="46">
        <f>J80/'Výpočty '!$B$1</f>
        <v>0.62841763888888891</v>
      </c>
      <c r="L80" s="42">
        <f t="shared" si="14"/>
        <v>0</v>
      </c>
      <c r="M80" s="42">
        <f t="shared" si="15"/>
        <v>0</v>
      </c>
      <c r="N80" s="42">
        <f t="shared" si="16"/>
        <v>1.5000000000000002</v>
      </c>
      <c r="O80" s="42">
        <f t="shared" si="23"/>
        <v>1.666666666666667</v>
      </c>
      <c r="P80" s="42">
        <f t="shared" si="17"/>
        <v>1.8249999999999999E-2</v>
      </c>
    </row>
    <row r="81" spans="1:16" x14ac:dyDescent="0.3">
      <c r="A81" s="47">
        <f t="shared" si="24"/>
        <v>46223</v>
      </c>
      <c r="B81" s="49">
        <f t="shared" si="25"/>
        <v>0.81249999999999922</v>
      </c>
      <c r="C81" s="42">
        <f>'Červenec vík data'!V80+P81</f>
        <v>3.075E-2</v>
      </c>
      <c r="D81" s="42">
        <f t="shared" si="18"/>
        <v>3.075E-2</v>
      </c>
      <c r="E81">
        <f t="shared" si="19"/>
        <v>3.3000000000000002E-2</v>
      </c>
      <c r="F81" s="42">
        <f t="shared" si="20"/>
        <v>0</v>
      </c>
      <c r="G81" s="42">
        <f t="shared" si="21"/>
        <v>0</v>
      </c>
      <c r="H81" s="42">
        <f t="shared" si="22"/>
        <v>0</v>
      </c>
      <c r="I81" s="42">
        <f t="shared" si="13"/>
        <v>2.250000000000002E-3</v>
      </c>
      <c r="J81" s="43">
        <f>MIN('Výpočty '!$B$1*0.9, MAX('Výpočty '!$B$1*0.05, J80 + M81 - MIN(O81, MAX(0, J80 - ('Výpočty '!$B$1*0.1))) - P81))</f>
        <v>12.532074999999999</v>
      </c>
      <c r="K81" s="46">
        <f>J81/'Výpočty '!$B$1</f>
        <v>0.6266037499999999</v>
      </c>
      <c r="L81" s="42">
        <f t="shared" si="14"/>
        <v>2.0250000000000021E-3</v>
      </c>
      <c r="M81" s="42">
        <f t="shared" si="15"/>
        <v>2.250000000000002E-3</v>
      </c>
      <c r="N81" s="42">
        <f t="shared" si="16"/>
        <v>1.8249999999999999E-2</v>
      </c>
      <c r="O81" s="42">
        <f t="shared" si="23"/>
        <v>2.0277777777777777E-2</v>
      </c>
      <c r="P81" s="42">
        <f t="shared" si="17"/>
        <v>1.8249999999999999E-2</v>
      </c>
    </row>
    <row r="82" spans="1:16" x14ac:dyDescent="0.3">
      <c r="A82" s="47">
        <f t="shared" si="24"/>
        <v>46223</v>
      </c>
      <c r="B82" s="49">
        <f t="shared" si="25"/>
        <v>0.82291666666666585</v>
      </c>
      <c r="C82" s="42">
        <f>'Červenec vík data'!V81+P82</f>
        <v>3.075E-2</v>
      </c>
      <c r="D82" s="42">
        <f t="shared" si="18"/>
        <v>2.1999999999999999E-2</v>
      </c>
      <c r="E82">
        <f t="shared" si="19"/>
        <v>2.1999999999999999E-2</v>
      </c>
      <c r="F82" s="42">
        <f t="shared" si="20"/>
        <v>0</v>
      </c>
      <c r="G82" s="42">
        <f t="shared" si="21"/>
        <v>0</v>
      </c>
      <c r="H82" s="42">
        <f t="shared" si="22"/>
        <v>8.7500000000000008E-3</v>
      </c>
      <c r="I82" s="42">
        <f t="shared" si="13"/>
        <v>-8.7500000000000008E-3</v>
      </c>
      <c r="J82" s="43">
        <f>MIN('Výpočty '!$B$1*0.9, MAX('Výpočty '!$B$1*0.05, J81 + M82 - MIN(O82, MAX(0, J81 - ('Výpočty '!$B$1*0.1))) - P82))</f>
        <v>12.483825</v>
      </c>
      <c r="K82" s="46">
        <f>J82/'Výpočty '!$B$1</f>
        <v>0.62419124999999998</v>
      </c>
      <c r="L82" s="42">
        <f t="shared" si="14"/>
        <v>0</v>
      </c>
      <c r="M82" s="42">
        <f t="shared" si="15"/>
        <v>0</v>
      </c>
      <c r="N82" s="42">
        <f t="shared" si="16"/>
        <v>2.7E-2</v>
      </c>
      <c r="O82" s="42">
        <f t="shared" si="23"/>
        <v>0.03</v>
      </c>
      <c r="P82" s="42">
        <f t="shared" si="17"/>
        <v>1.8249999999999999E-2</v>
      </c>
    </row>
    <row r="83" spans="1:16" x14ac:dyDescent="0.3">
      <c r="A83" s="47">
        <f t="shared" si="24"/>
        <v>46223</v>
      </c>
      <c r="B83" s="49">
        <f t="shared" si="25"/>
        <v>0.83333333333333248</v>
      </c>
      <c r="C83" s="42">
        <f>'Červenec vík data'!V82+P83</f>
        <v>5.2000000000000005E-2</v>
      </c>
      <c r="D83" s="42">
        <f t="shared" si="18"/>
        <v>1.4E-2</v>
      </c>
      <c r="E83">
        <f t="shared" si="19"/>
        <v>1.4E-2</v>
      </c>
      <c r="F83" s="42">
        <f t="shared" si="20"/>
        <v>0</v>
      </c>
      <c r="G83" s="42">
        <f t="shared" si="21"/>
        <v>0</v>
      </c>
      <c r="H83" s="42">
        <f t="shared" si="22"/>
        <v>3.8000000000000006E-2</v>
      </c>
      <c r="I83" s="42">
        <f t="shared" si="13"/>
        <v>-3.8000000000000006E-2</v>
      </c>
      <c r="J83" s="43">
        <f>MIN('Výpočty '!$B$1*0.9, MAX('Výpočty '!$B$1*0.05, J82 + M83 - MIN(O83, MAX(0, J82 - ('Výpočty '!$B$1*0.1))) - P83))</f>
        <v>12.403074999999999</v>
      </c>
      <c r="K83" s="46">
        <f>J83/'Výpočty '!$B$1</f>
        <v>0.62015374999999995</v>
      </c>
      <c r="L83" s="42">
        <f t="shared" si="14"/>
        <v>0</v>
      </c>
      <c r="M83" s="42">
        <f t="shared" si="15"/>
        <v>0</v>
      </c>
      <c r="N83" s="42">
        <f t="shared" si="16"/>
        <v>5.6250000000000008E-2</v>
      </c>
      <c r="O83" s="42">
        <f t="shared" si="23"/>
        <v>6.2500000000000014E-2</v>
      </c>
      <c r="P83" s="42">
        <f t="shared" si="17"/>
        <v>1.8249999999999999E-2</v>
      </c>
    </row>
    <row r="84" spans="1:16" x14ac:dyDescent="0.3">
      <c r="A84" s="47">
        <f t="shared" si="24"/>
        <v>46223</v>
      </c>
      <c r="B84" s="49">
        <f t="shared" si="25"/>
        <v>0.84374999999999911</v>
      </c>
      <c r="C84" s="42">
        <f>'Červenec vík data'!V83+P84</f>
        <v>5.2000000000000005E-2</v>
      </c>
      <c r="D84" s="42">
        <f t="shared" si="18"/>
        <v>8.0000000000000002E-3</v>
      </c>
      <c r="E84">
        <f t="shared" si="19"/>
        <v>8.0000000000000002E-3</v>
      </c>
      <c r="F84" s="42">
        <f t="shared" si="20"/>
        <v>0</v>
      </c>
      <c r="G84" s="42">
        <f t="shared" si="21"/>
        <v>0</v>
      </c>
      <c r="H84" s="42">
        <f t="shared" si="22"/>
        <v>4.4000000000000004E-2</v>
      </c>
      <c r="I84" s="42">
        <f t="shared" si="13"/>
        <v>-4.4000000000000004E-2</v>
      </c>
      <c r="J84" s="43">
        <f>MIN('Výpočty '!$B$1*0.9, MAX('Výpočty '!$B$1*0.05, J83 + M84 - MIN(O84, MAX(0, J83 - ('Výpočty '!$B$1*0.1))) - P84))</f>
        <v>12.315658333333333</v>
      </c>
      <c r="K84" s="46">
        <f>J84/'Výpočty '!$B$1</f>
        <v>0.61578291666666662</v>
      </c>
      <c r="L84" s="42">
        <f t="shared" si="14"/>
        <v>0</v>
      </c>
      <c r="M84" s="42">
        <f t="shared" si="15"/>
        <v>0</v>
      </c>
      <c r="N84" s="42">
        <f t="shared" si="16"/>
        <v>6.225E-2</v>
      </c>
      <c r="O84" s="42">
        <f t="shared" si="23"/>
        <v>6.9166666666666668E-2</v>
      </c>
      <c r="P84" s="42">
        <f t="shared" si="17"/>
        <v>1.8249999999999999E-2</v>
      </c>
    </row>
    <row r="85" spans="1:16" x14ac:dyDescent="0.3">
      <c r="A85" s="47">
        <f t="shared" si="24"/>
        <v>46223</v>
      </c>
      <c r="B85" s="49">
        <f t="shared" si="25"/>
        <v>0.85416666666666574</v>
      </c>
      <c r="C85" s="42">
        <f>'Červenec vík data'!V84+P85</f>
        <v>5.2000000000000005E-2</v>
      </c>
      <c r="D85" s="42">
        <f t="shared" si="18"/>
        <v>3.0000000000000001E-3</v>
      </c>
      <c r="E85">
        <f t="shared" si="19"/>
        <v>3.0000000000000001E-3</v>
      </c>
      <c r="F85" s="42">
        <f t="shared" si="20"/>
        <v>0</v>
      </c>
      <c r="G85" s="42">
        <f t="shared" si="21"/>
        <v>0</v>
      </c>
      <c r="H85" s="42">
        <f t="shared" si="22"/>
        <v>4.9000000000000002E-2</v>
      </c>
      <c r="I85" s="42">
        <f t="shared" si="13"/>
        <v>-4.9000000000000002E-2</v>
      </c>
      <c r="J85" s="43">
        <f>MIN('Výpočty '!$B$1*0.9, MAX('Výpočty '!$B$1*0.05, J84 + M85 - MIN(O85, MAX(0, J84 - ('Výpočty '!$B$1*0.1))) - P85))</f>
        <v>12.222686111111111</v>
      </c>
      <c r="K85" s="46">
        <f>J85/'Výpočty '!$B$1</f>
        <v>0.61113430555555559</v>
      </c>
      <c r="L85" s="42">
        <f t="shared" si="14"/>
        <v>0</v>
      </c>
      <c r="M85" s="42">
        <f t="shared" si="15"/>
        <v>0</v>
      </c>
      <c r="N85" s="42">
        <f t="shared" si="16"/>
        <v>6.7250000000000004E-2</v>
      </c>
      <c r="O85" s="42">
        <f t="shared" si="23"/>
        <v>7.4722222222222232E-2</v>
      </c>
      <c r="P85" s="42">
        <f t="shared" si="17"/>
        <v>1.8249999999999999E-2</v>
      </c>
    </row>
    <row r="86" spans="1:16" x14ac:dyDescent="0.3">
      <c r="A86" s="47">
        <f t="shared" si="24"/>
        <v>46223</v>
      </c>
      <c r="B86" s="49">
        <f t="shared" si="25"/>
        <v>0.86458333333333237</v>
      </c>
      <c r="C86" s="42">
        <f>'Červenec vík data'!V85+P86</f>
        <v>1.552</v>
      </c>
      <c r="D86" s="42">
        <f t="shared" si="18"/>
        <v>0</v>
      </c>
      <c r="E86">
        <f t="shared" si="19"/>
        <v>0</v>
      </c>
      <c r="F86" s="42">
        <f t="shared" si="20"/>
        <v>0</v>
      </c>
      <c r="G86" s="42">
        <f t="shared" si="21"/>
        <v>0</v>
      </c>
      <c r="H86" s="42">
        <f t="shared" si="22"/>
        <v>1.552</v>
      </c>
      <c r="I86" s="42">
        <f t="shared" si="13"/>
        <v>-1.552</v>
      </c>
      <c r="J86" s="43">
        <f>MIN('Výpočty '!$B$1*0.9, MAX('Výpočty '!$B$1*0.05, J85 + M86 - MIN(O86, MAX(0, J85 - ('Výpočty '!$B$1*0.1))) - P86))</f>
        <v>10.459713888888889</v>
      </c>
      <c r="K86" s="46">
        <f>J86/'Výpočty '!$B$1</f>
        <v>0.52298569444444443</v>
      </c>
      <c r="L86" s="42">
        <f t="shared" si="14"/>
        <v>0</v>
      </c>
      <c r="M86" s="42">
        <f t="shared" si="15"/>
        <v>0</v>
      </c>
      <c r="N86" s="42">
        <f t="shared" si="16"/>
        <v>1.5702500000000001</v>
      </c>
      <c r="O86" s="42">
        <f t="shared" si="23"/>
        <v>1.7447222222222223</v>
      </c>
      <c r="P86" s="42">
        <f t="shared" si="17"/>
        <v>1.8249999999999999E-2</v>
      </c>
    </row>
    <row r="87" spans="1:16" x14ac:dyDescent="0.3">
      <c r="A87" s="47">
        <f t="shared" si="24"/>
        <v>46223</v>
      </c>
      <c r="B87" s="49">
        <f t="shared" si="25"/>
        <v>0.874999999999999</v>
      </c>
      <c r="C87" s="42">
        <f>'Červenec vík data'!V86+P87</f>
        <v>5.7999999999999996E-2</v>
      </c>
      <c r="D87" s="42">
        <f t="shared" si="18"/>
        <v>0</v>
      </c>
      <c r="E87">
        <f t="shared" si="19"/>
        <v>0</v>
      </c>
      <c r="F87" s="42">
        <f t="shared" si="20"/>
        <v>0</v>
      </c>
      <c r="G87" s="42">
        <f t="shared" si="21"/>
        <v>0</v>
      </c>
      <c r="H87" s="42">
        <f t="shared" si="22"/>
        <v>5.7999999999999996E-2</v>
      </c>
      <c r="I87" s="42">
        <f t="shared" si="13"/>
        <v>-5.7999999999999996E-2</v>
      </c>
      <c r="J87" s="43">
        <f>MIN('Výpočty '!$B$1*0.9, MAX('Výpočty '!$B$1*0.05, J86 + M87 - MIN(O87, MAX(0, J86 - ('Výpočty '!$B$1*0.1))) - P87))</f>
        <v>10.356741666666666</v>
      </c>
      <c r="K87" s="46">
        <f>J87/'Výpočty '!$B$1</f>
        <v>0.51783708333333334</v>
      </c>
      <c r="L87" s="42">
        <f t="shared" si="14"/>
        <v>0</v>
      </c>
      <c r="M87" s="42">
        <f t="shared" si="15"/>
        <v>0</v>
      </c>
      <c r="N87" s="42">
        <f t="shared" si="16"/>
        <v>7.6249999999999998E-2</v>
      </c>
      <c r="O87" s="42">
        <f t="shared" si="23"/>
        <v>8.4722222222222213E-2</v>
      </c>
      <c r="P87" s="42">
        <f t="shared" si="17"/>
        <v>1.8249999999999999E-2</v>
      </c>
    </row>
    <row r="88" spans="1:16" x14ac:dyDescent="0.3">
      <c r="A88" s="47">
        <f t="shared" si="24"/>
        <v>46223</v>
      </c>
      <c r="B88" s="49">
        <f t="shared" si="25"/>
        <v>0.88541666666666563</v>
      </c>
      <c r="C88" s="42">
        <f>'Červenec vík data'!V87+P88</f>
        <v>5.7999999999999996E-2</v>
      </c>
      <c r="D88" s="42">
        <f t="shared" si="18"/>
        <v>0</v>
      </c>
      <c r="E88">
        <f t="shared" si="19"/>
        <v>0</v>
      </c>
      <c r="F88" s="42">
        <f t="shared" si="20"/>
        <v>0</v>
      </c>
      <c r="G88" s="42">
        <f t="shared" si="21"/>
        <v>0</v>
      </c>
      <c r="H88" s="42">
        <f t="shared" si="22"/>
        <v>5.7999999999999996E-2</v>
      </c>
      <c r="I88" s="42">
        <f t="shared" si="13"/>
        <v>-5.7999999999999996E-2</v>
      </c>
      <c r="J88" s="43">
        <f>MIN('Výpočty '!$B$1*0.9, MAX('Výpočty '!$B$1*0.05, J87 + M88 - MIN(O88, MAX(0, J87 - ('Výpočty '!$B$1*0.1))) - P88))</f>
        <v>10.253769444444444</v>
      </c>
      <c r="K88" s="46">
        <f>J88/'Výpočty '!$B$1</f>
        <v>0.51268847222222225</v>
      </c>
      <c r="L88" s="42">
        <f t="shared" si="14"/>
        <v>0</v>
      </c>
      <c r="M88" s="42">
        <f t="shared" si="15"/>
        <v>0</v>
      </c>
      <c r="N88" s="42">
        <f t="shared" si="16"/>
        <v>7.6249999999999998E-2</v>
      </c>
      <c r="O88" s="42">
        <f t="shared" si="23"/>
        <v>8.4722222222222213E-2</v>
      </c>
      <c r="P88" s="42">
        <f t="shared" si="17"/>
        <v>1.8249999999999999E-2</v>
      </c>
    </row>
    <row r="89" spans="1:16" x14ac:dyDescent="0.3">
      <c r="A89" s="47">
        <f t="shared" si="24"/>
        <v>46223</v>
      </c>
      <c r="B89" s="49">
        <f t="shared" si="25"/>
        <v>0.89583333333333226</v>
      </c>
      <c r="C89" s="42">
        <f>'Červenec vík data'!V88+P89</f>
        <v>1.6120000000000001</v>
      </c>
      <c r="D89" s="42">
        <f t="shared" si="18"/>
        <v>0</v>
      </c>
      <c r="E89">
        <f t="shared" si="19"/>
        <v>0</v>
      </c>
      <c r="F89" s="42">
        <f t="shared" si="20"/>
        <v>0</v>
      </c>
      <c r="G89" s="42">
        <f t="shared" si="21"/>
        <v>0</v>
      </c>
      <c r="H89" s="42">
        <f t="shared" si="22"/>
        <v>1.6120000000000001</v>
      </c>
      <c r="I89" s="42">
        <f t="shared" si="13"/>
        <v>-1.6120000000000001</v>
      </c>
      <c r="J89" s="43">
        <f>MIN('Výpočty '!$B$1*0.9, MAX('Výpočty '!$B$1*0.05, J88 + M89 - MIN(O89, MAX(0, J88 - ('Výpočty '!$B$1*0.1))) - P89))</f>
        <v>8.4241305555555552</v>
      </c>
      <c r="K89" s="46">
        <f>J89/'Výpočty '!$B$1</f>
        <v>0.42120652777777778</v>
      </c>
      <c r="L89" s="42">
        <f t="shared" si="14"/>
        <v>0</v>
      </c>
      <c r="M89" s="42">
        <f t="shared" si="15"/>
        <v>0</v>
      </c>
      <c r="N89" s="42">
        <f t="shared" si="16"/>
        <v>1.6302500000000002</v>
      </c>
      <c r="O89" s="42">
        <f t="shared" si="23"/>
        <v>1.8113888888888892</v>
      </c>
      <c r="P89" s="42">
        <f t="shared" si="17"/>
        <v>1.8249999999999999E-2</v>
      </c>
    </row>
    <row r="90" spans="1:16" x14ac:dyDescent="0.3">
      <c r="A90" s="47">
        <f t="shared" si="24"/>
        <v>46223</v>
      </c>
      <c r="B90" s="49">
        <f t="shared" si="25"/>
        <v>0.90624999999999889</v>
      </c>
      <c r="C90" s="42">
        <f>'Červenec vík data'!V89+P90</f>
        <v>6.2E-2</v>
      </c>
      <c r="D90" s="42">
        <f t="shared" si="18"/>
        <v>0</v>
      </c>
      <c r="E90">
        <f t="shared" si="19"/>
        <v>0</v>
      </c>
      <c r="F90" s="42">
        <f t="shared" si="20"/>
        <v>0</v>
      </c>
      <c r="G90" s="42">
        <f t="shared" si="21"/>
        <v>0</v>
      </c>
      <c r="H90" s="42">
        <f t="shared" si="22"/>
        <v>6.2E-2</v>
      </c>
      <c r="I90" s="42">
        <f t="shared" si="13"/>
        <v>-6.2E-2</v>
      </c>
      <c r="J90" s="43">
        <f>MIN('Výpočty '!$B$1*0.9, MAX('Výpočty '!$B$1*0.05, J89 + M90 - MIN(O90, MAX(0, J89 - ('Výpočty '!$B$1*0.1))) - P90))</f>
        <v>8.3167138888888879</v>
      </c>
      <c r="K90" s="46">
        <f>J90/'Výpočty '!$B$1</f>
        <v>0.4158356944444444</v>
      </c>
      <c r="L90" s="42">
        <f t="shared" si="14"/>
        <v>0</v>
      </c>
      <c r="M90" s="42">
        <f t="shared" si="15"/>
        <v>0</v>
      </c>
      <c r="N90" s="42">
        <f t="shared" si="16"/>
        <v>8.0250000000000002E-2</v>
      </c>
      <c r="O90" s="42">
        <f t="shared" si="23"/>
        <v>8.9166666666666672E-2</v>
      </c>
      <c r="P90" s="42">
        <f t="shared" si="17"/>
        <v>1.8249999999999999E-2</v>
      </c>
    </row>
    <row r="91" spans="1:16" x14ac:dyDescent="0.3">
      <c r="A91" s="47">
        <f t="shared" si="24"/>
        <v>46223</v>
      </c>
      <c r="B91" s="49">
        <f t="shared" si="25"/>
        <v>0.91666666666666552</v>
      </c>
      <c r="C91" s="42">
        <f>'Červenec vík data'!V90+P91</f>
        <v>7.6999999999999999E-2</v>
      </c>
      <c r="D91" s="42">
        <f t="shared" si="18"/>
        <v>0</v>
      </c>
      <c r="E91">
        <f t="shared" si="19"/>
        <v>0</v>
      </c>
      <c r="F91" s="42">
        <f t="shared" si="20"/>
        <v>0</v>
      </c>
      <c r="G91" s="42">
        <f t="shared" si="21"/>
        <v>0</v>
      </c>
      <c r="H91" s="42">
        <f t="shared" si="22"/>
        <v>7.6999999999999999E-2</v>
      </c>
      <c r="I91" s="42">
        <f t="shared" si="13"/>
        <v>-7.6999999999999999E-2</v>
      </c>
      <c r="J91" s="43">
        <f>MIN('Výpočty '!$B$1*0.9, MAX('Výpočty '!$B$1*0.05, J90 + M91 - MIN(O91, MAX(0, J90 - ('Výpočty '!$B$1*0.1))) - P91))</f>
        <v>8.1926305555555547</v>
      </c>
      <c r="K91" s="46">
        <f>J91/'Výpočty '!$B$1</f>
        <v>0.40963152777777773</v>
      </c>
      <c r="L91" s="42">
        <f t="shared" si="14"/>
        <v>0</v>
      </c>
      <c r="M91" s="42">
        <f t="shared" si="15"/>
        <v>0</v>
      </c>
      <c r="N91" s="42">
        <f t="shared" si="16"/>
        <v>9.5250000000000001E-2</v>
      </c>
      <c r="O91" s="42">
        <f t="shared" si="23"/>
        <v>0.10583333333333333</v>
      </c>
      <c r="P91" s="42">
        <f t="shared" si="17"/>
        <v>1.8249999999999999E-2</v>
      </c>
    </row>
    <row r="92" spans="1:16" x14ac:dyDescent="0.3">
      <c r="A92" s="47">
        <f t="shared" si="24"/>
        <v>46223</v>
      </c>
      <c r="B92" s="49">
        <f t="shared" si="25"/>
        <v>0.92708333333333215</v>
      </c>
      <c r="C92" s="42">
        <f>'Červenec vík data'!V91+P92</f>
        <v>7.6999999999999999E-2</v>
      </c>
      <c r="D92" s="42">
        <f t="shared" si="18"/>
        <v>0</v>
      </c>
      <c r="E92">
        <f t="shared" si="19"/>
        <v>0</v>
      </c>
      <c r="F92" s="42">
        <f t="shared" si="20"/>
        <v>0</v>
      </c>
      <c r="G92" s="42">
        <f t="shared" si="21"/>
        <v>0</v>
      </c>
      <c r="H92" s="42">
        <f t="shared" si="22"/>
        <v>7.6999999999999999E-2</v>
      </c>
      <c r="I92" s="42">
        <f t="shared" si="13"/>
        <v>-7.6999999999999999E-2</v>
      </c>
      <c r="J92" s="43">
        <f>MIN('Výpočty '!$B$1*0.9, MAX('Výpočty '!$B$1*0.05, J91 + M92 - MIN(O92, MAX(0, J91 - ('Výpočty '!$B$1*0.1))) - P92))</f>
        <v>8.0685472222222216</v>
      </c>
      <c r="K92" s="46">
        <f>J92/'Výpočty '!$B$1</f>
        <v>0.4034273611111111</v>
      </c>
      <c r="L92" s="42">
        <f t="shared" si="14"/>
        <v>0</v>
      </c>
      <c r="M92" s="42">
        <f t="shared" si="15"/>
        <v>0</v>
      </c>
      <c r="N92" s="42">
        <f t="shared" si="16"/>
        <v>9.5250000000000001E-2</v>
      </c>
      <c r="O92" s="42">
        <f t="shared" si="23"/>
        <v>0.10583333333333333</v>
      </c>
      <c r="P92" s="42">
        <f t="shared" si="17"/>
        <v>1.8249999999999999E-2</v>
      </c>
    </row>
    <row r="93" spans="1:16" x14ac:dyDescent="0.3">
      <c r="A93" s="47">
        <f t="shared" si="24"/>
        <v>46223</v>
      </c>
      <c r="B93" s="49">
        <f t="shared" si="25"/>
        <v>0.93749999999999878</v>
      </c>
      <c r="C93" s="42">
        <f>'Červenec vík data'!V92+P93</f>
        <v>1.577</v>
      </c>
      <c r="D93" s="42">
        <f t="shared" si="18"/>
        <v>0</v>
      </c>
      <c r="E93">
        <f t="shared" si="19"/>
        <v>0</v>
      </c>
      <c r="F93" s="42">
        <f t="shared" si="20"/>
        <v>0</v>
      </c>
      <c r="G93" s="42">
        <f t="shared" si="21"/>
        <v>0</v>
      </c>
      <c r="H93" s="42">
        <f t="shared" si="22"/>
        <v>1.577</v>
      </c>
      <c r="I93" s="42">
        <f t="shared" si="13"/>
        <v>-1.577</v>
      </c>
      <c r="J93" s="43">
        <f>MIN('Výpočty '!$B$1*0.9, MAX('Výpočty '!$B$1*0.05, J92 + M93 - MIN(O93, MAX(0, J92 - ('Výpočty '!$B$1*0.1))) - P93))</f>
        <v>6.2777972222222216</v>
      </c>
      <c r="K93" s="46">
        <f>J93/'Výpočty '!$B$1</f>
        <v>0.31388986111111106</v>
      </c>
      <c r="L93" s="42">
        <f t="shared" si="14"/>
        <v>0</v>
      </c>
      <c r="M93" s="42">
        <f t="shared" si="15"/>
        <v>0</v>
      </c>
      <c r="N93" s="42">
        <f t="shared" si="16"/>
        <v>1.5952500000000001</v>
      </c>
      <c r="O93" s="42">
        <f t="shared" si="23"/>
        <v>1.7725</v>
      </c>
      <c r="P93" s="42">
        <f t="shared" si="17"/>
        <v>1.8249999999999999E-2</v>
      </c>
    </row>
    <row r="94" spans="1:16" x14ac:dyDescent="0.3">
      <c r="A94" s="47">
        <f t="shared" si="24"/>
        <v>46223</v>
      </c>
      <c r="B94" s="49">
        <f t="shared" si="25"/>
        <v>0.94791666666666541</v>
      </c>
      <c r="C94" s="42">
        <f>'Červenec vík data'!V93+P94</f>
        <v>7.6999999999999999E-2</v>
      </c>
      <c r="D94" s="42">
        <f t="shared" si="18"/>
        <v>0</v>
      </c>
      <c r="E94">
        <f t="shared" si="19"/>
        <v>0</v>
      </c>
      <c r="F94" s="42">
        <f t="shared" si="20"/>
        <v>0</v>
      </c>
      <c r="G94" s="42">
        <f t="shared" si="21"/>
        <v>0</v>
      </c>
      <c r="H94" s="42">
        <f t="shared" si="22"/>
        <v>7.6999999999999999E-2</v>
      </c>
      <c r="I94" s="42">
        <f t="shared" si="13"/>
        <v>-7.6999999999999999E-2</v>
      </c>
      <c r="J94" s="43">
        <f>MIN('Výpočty '!$B$1*0.9, MAX('Výpočty '!$B$1*0.05, J93 + M94 - MIN(O94, MAX(0, J93 - ('Výpočty '!$B$1*0.1))) - P94))</f>
        <v>6.1537138888888885</v>
      </c>
      <c r="K94" s="46">
        <f>J94/'Výpočty '!$B$1</f>
        <v>0.30768569444444444</v>
      </c>
      <c r="L94" s="42">
        <f t="shared" si="14"/>
        <v>0</v>
      </c>
      <c r="M94" s="42">
        <f t="shared" si="15"/>
        <v>0</v>
      </c>
      <c r="N94" s="42">
        <f t="shared" si="16"/>
        <v>9.5250000000000001E-2</v>
      </c>
      <c r="O94" s="42">
        <f t="shared" si="23"/>
        <v>0.10583333333333333</v>
      </c>
      <c r="P94" s="42">
        <f t="shared" si="17"/>
        <v>1.8249999999999999E-2</v>
      </c>
    </row>
    <row r="95" spans="1:16" x14ac:dyDescent="0.3">
      <c r="A95" s="47">
        <f t="shared" si="24"/>
        <v>46223</v>
      </c>
      <c r="B95" s="49">
        <f t="shared" si="25"/>
        <v>0.95833333333333204</v>
      </c>
      <c r="C95" s="42">
        <f>'Červenec vík data'!V94+P95</f>
        <v>8.5000000000000006E-2</v>
      </c>
      <c r="D95" s="42">
        <f t="shared" si="18"/>
        <v>0</v>
      </c>
      <c r="E95">
        <f t="shared" si="19"/>
        <v>0</v>
      </c>
      <c r="F95" s="42">
        <f t="shared" si="20"/>
        <v>0</v>
      </c>
      <c r="G95" s="42">
        <f t="shared" si="21"/>
        <v>0</v>
      </c>
      <c r="H95" s="42">
        <f t="shared" si="22"/>
        <v>8.5000000000000006E-2</v>
      </c>
      <c r="I95" s="42">
        <f t="shared" si="13"/>
        <v>-8.5000000000000006E-2</v>
      </c>
      <c r="J95" s="43">
        <f>MIN('Výpočty '!$B$1*0.9, MAX('Výpočty '!$B$1*0.05, J94 + M95 - MIN(O95, MAX(0, J94 - ('Výpočty '!$B$1*0.1))) - P95))</f>
        <v>6.020741666666666</v>
      </c>
      <c r="K95" s="46">
        <f>J95/'Výpočty '!$B$1</f>
        <v>0.30103708333333329</v>
      </c>
      <c r="L95" s="42">
        <f t="shared" si="14"/>
        <v>0</v>
      </c>
      <c r="M95" s="42">
        <f t="shared" si="15"/>
        <v>0</v>
      </c>
      <c r="N95" s="42">
        <f t="shared" si="16"/>
        <v>0.10325000000000001</v>
      </c>
      <c r="O95" s="42">
        <f t="shared" si="23"/>
        <v>0.11472222222222223</v>
      </c>
      <c r="P95" s="42">
        <f t="shared" si="17"/>
        <v>1.8249999999999999E-2</v>
      </c>
    </row>
    <row r="96" spans="1:16" x14ac:dyDescent="0.3">
      <c r="A96" s="47">
        <f t="shared" si="24"/>
        <v>46223</v>
      </c>
      <c r="B96" s="49">
        <f t="shared" si="25"/>
        <v>0.96874999999999867</v>
      </c>
      <c r="C96" s="42">
        <f>'Červenec vík data'!V95+P96</f>
        <v>1.585</v>
      </c>
      <c r="D96" s="42">
        <f t="shared" si="18"/>
        <v>0</v>
      </c>
      <c r="E96">
        <f t="shared" si="19"/>
        <v>0</v>
      </c>
      <c r="F96" s="42">
        <f t="shared" si="20"/>
        <v>0</v>
      </c>
      <c r="G96" s="42">
        <f t="shared" si="21"/>
        <v>0</v>
      </c>
      <c r="H96" s="42">
        <f t="shared" si="22"/>
        <v>1.585</v>
      </c>
      <c r="I96" s="42">
        <f t="shared" si="13"/>
        <v>-1.585</v>
      </c>
      <c r="J96" s="43">
        <f>MIN('Výpočty '!$B$1*0.9, MAX('Výpočty '!$B$1*0.05, J95 + M96 - MIN(O96, MAX(0, J95 - ('Výpočty '!$B$1*0.1))) - P96))</f>
        <v>4.2211027777777765</v>
      </c>
      <c r="K96" s="46">
        <f>J96/'Výpočty '!$B$1</f>
        <v>0.21105513888888883</v>
      </c>
      <c r="L96" s="42">
        <f t="shared" si="14"/>
        <v>0</v>
      </c>
      <c r="M96" s="42">
        <f t="shared" si="15"/>
        <v>0</v>
      </c>
      <c r="N96" s="42">
        <f t="shared" si="16"/>
        <v>1.6032500000000001</v>
      </c>
      <c r="O96" s="42">
        <f t="shared" si="23"/>
        <v>1.7813888888888889</v>
      </c>
      <c r="P96" s="42">
        <f t="shared" si="17"/>
        <v>1.8249999999999999E-2</v>
      </c>
    </row>
    <row r="97" spans="1:16" x14ac:dyDescent="0.3">
      <c r="A97" s="47">
        <f t="shared" si="24"/>
        <v>46223</v>
      </c>
      <c r="B97" s="49">
        <f t="shared" si="25"/>
        <v>0.9791666666666653</v>
      </c>
      <c r="C97" s="42">
        <f>'Červenec vík data'!V96+P97</f>
        <v>0.08</v>
      </c>
      <c r="D97" s="42">
        <f t="shared" si="18"/>
        <v>0</v>
      </c>
      <c r="E97">
        <f t="shared" si="19"/>
        <v>0</v>
      </c>
      <c r="F97" s="42">
        <f t="shared" si="20"/>
        <v>0</v>
      </c>
      <c r="G97" s="42">
        <f t="shared" si="21"/>
        <v>0</v>
      </c>
      <c r="H97" s="42">
        <f t="shared" si="22"/>
        <v>0.08</v>
      </c>
      <c r="I97" s="42">
        <f t="shared" si="13"/>
        <v>-0.08</v>
      </c>
      <c r="J97" s="43">
        <f>MIN('Výpočty '!$B$1*0.9, MAX('Výpočty '!$B$1*0.05, J96 + M97 - MIN(O97, MAX(0, J96 - ('Výpočty '!$B$1*0.1))) - P97))</f>
        <v>4.0936861111111096</v>
      </c>
      <c r="K97" s="46">
        <f>J97/'Výpočty '!$B$1</f>
        <v>0.20468430555555547</v>
      </c>
      <c r="L97" s="42">
        <f t="shared" si="14"/>
        <v>0</v>
      </c>
      <c r="M97" s="42">
        <f t="shared" si="15"/>
        <v>0</v>
      </c>
      <c r="N97" s="42">
        <f t="shared" si="16"/>
        <v>9.8250000000000004E-2</v>
      </c>
      <c r="O97" s="42">
        <f t="shared" si="23"/>
        <v>0.10916666666666666</v>
      </c>
      <c r="P97" s="42">
        <f t="shared" si="17"/>
        <v>1.8249999999999999E-2</v>
      </c>
    </row>
    <row r="98" spans="1:16" x14ac:dyDescent="0.3">
      <c r="A98" s="47">
        <f t="shared" si="24"/>
        <v>46223</v>
      </c>
      <c r="B98" s="49">
        <f t="shared" si="25"/>
        <v>0.98958333333333193</v>
      </c>
      <c r="C98" s="42">
        <f>'Červenec vík data'!V97+P98</f>
        <v>7.3999999999999996E-2</v>
      </c>
      <c r="D98" s="42">
        <f t="shared" si="18"/>
        <v>0</v>
      </c>
      <c r="E98">
        <f t="shared" si="19"/>
        <v>0</v>
      </c>
      <c r="F98" s="42">
        <f t="shared" si="20"/>
        <v>0</v>
      </c>
      <c r="G98" s="42">
        <f t="shared" si="21"/>
        <v>0</v>
      </c>
      <c r="H98" s="42">
        <f>MAX(0, MIN(C98 - D98, N98 ))</f>
        <v>7.3999999999999996E-2</v>
      </c>
      <c r="I98" s="42">
        <f t="shared" si="13"/>
        <v>-7.3999999999999996E-2</v>
      </c>
      <c r="J98" s="43">
        <f>MIN('Výpočty '!$B$1*0.9, MAX('Výpočty '!$B$1*0.05, J97 + M98 - MIN(O98, MAX(0, J97 - ('Výpočty '!$B$1*0.1))) - P98))</f>
        <v>3.9729361111111094</v>
      </c>
      <c r="K98" s="46">
        <f>J98/'Výpočty '!$B$1</f>
        <v>0.19864680555555547</v>
      </c>
      <c r="L98" s="42">
        <f t="shared" si="14"/>
        <v>0</v>
      </c>
      <c r="M98" s="42">
        <f t="shared" si="15"/>
        <v>0</v>
      </c>
      <c r="N98" s="42">
        <f t="shared" si="16"/>
        <v>9.2249999999999999E-2</v>
      </c>
      <c r="O98" s="42">
        <f t="shared" si="23"/>
        <v>0.10249999999999999</v>
      </c>
      <c r="P98" s="42">
        <f t="shared" si="17"/>
        <v>1.8249999999999999E-2</v>
      </c>
    </row>
    <row r="99" spans="1:16" x14ac:dyDescent="0.3">
      <c r="A99" s="48" t="s">
        <v>5</v>
      </c>
      <c r="B99" s="48" t="s">
        <v>268</v>
      </c>
      <c r="C99" s="44">
        <f t="shared" ref="C99:D99" si="26">SUM(C3:C98)</f>
        <v>38.124250000000004</v>
      </c>
      <c r="D99" s="44">
        <f t="shared" si="26"/>
        <v>21.7745</v>
      </c>
      <c r="E99" s="4">
        <f>SUM(E3:E98)</f>
        <v>83.660000000000039</v>
      </c>
      <c r="F99" s="44">
        <f t="shared" ref="F99:I99" si="27">SUM(F3:F98)</f>
        <v>0</v>
      </c>
      <c r="G99" s="44">
        <f t="shared" si="27"/>
        <v>52.969758333333367</v>
      </c>
      <c r="H99" s="44">
        <f t="shared" si="27"/>
        <v>16.34975</v>
      </c>
      <c r="I99" s="44">
        <f t="shared" si="27"/>
        <v>45.535749999999993</v>
      </c>
      <c r="J99" s="45">
        <f>J98</f>
        <v>3.9729361111111094</v>
      </c>
      <c r="K99" s="51">
        <f>K98</f>
        <v>0.19864680555555547</v>
      </c>
      <c r="L99" s="44">
        <f>SUM(L3:L98)</f>
        <v>8.0241674999999866</v>
      </c>
      <c r="M99" s="44">
        <f t="shared" ref="M99:P99" si="28">SUM(M3:M98)</f>
        <v>8.9157416666666638</v>
      </c>
      <c r="N99" s="44">
        <f t="shared" si="28"/>
        <v>18.101750000000003</v>
      </c>
      <c r="O99" s="44">
        <f t="shared" si="28"/>
        <v>20.113055555555544</v>
      </c>
      <c r="P99" s="44">
        <f t="shared" si="28"/>
        <v>1.7520000000000036</v>
      </c>
    </row>
    <row r="102" spans="1:16" ht="23.4" x14ac:dyDescent="0.45">
      <c r="J102" s="69" t="s">
        <v>312</v>
      </c>
      <c r="K102" s="71">
        <f>MAX(J3:J98)</f>
        <v>18</v>
      </c>
      <c r="L102" s="97" t="s">
        <v>316</v>
      </c>
    </row>
    <row r="103" spans="1:16" ht="23.4" x14ac:dyDescent="0.45">
      <c r="J103" s="69" t="s">
        <v>313</v>
      </c>
      <c r="K103" s="71">
        <f>MIN(J3:J98)</f>
        <v>3.9729361111111094</v>
      </c>
      <c r="L103" s="97"/>
    </row>
    <row r="104" spans="1:16" ht="23.4" x14ac:dyDescent="0.45">
      <c r="J104" s="69" t="s">
        <v>314</v>
      </c>
      <c r="K104" s="71">
        <f>J98 -J2</f>
        <v>-13.02706388888889</v>
      </c>
      <c r="L104" s="97"/>
    </row>
    <row r="105" spans="1:16" ht="23.4" x14ac:dyDescent="0.45">
      <c r="J105" s="69" t="s">
        <v>315</v>
      </c>
      <c r="K105" s="71">
        <f>MAX(J3:J98) - MIN(J3:J98)</f>
        <v>14.02706388888889</v>
      </c>
      <c r="L105" s="97"/>
    </row>
    <row r="108" spans="1:16" x14ac:dyDescent="0.3">
      <c r="D108" s="2" t="s">
        <v>72</v>
      </c>
      <c r="E108" s="72">
        <f ca="1">SUM(OFFSET('Červenec vík data'!$D$2:$D$97, 0, ROW(A1)-1))</f>
        <v>6</v>
      </c>
      <c r="F108" s="80" t="s">
        <v>316</v>
      </c>
    </row>
    <row r="109" spans="1:16" x14ac:dyDescent="0.3">
      <c r="D109" s="2" t="s">
        <v>181</v>
      </c>
      <c r="E109" s="72">
        <f ca="1">SUM(OFFSET('Červenec vík data'!$D$2:$D$97, 0, ROW(A2)-1))</f>
        <v>2.6249999999999999E-2</v>
      </c>
      <c r="F109" s="80"/>
    </row>
    <row r="110" spans="1:16" x14ac:dyDescent="0.3">
      <c r="D110" s="2" t="s">
        <v>180</v>
      </c>
      <c r="E110" s="72">
        <f ca="1">SUM(OFFSET('Červenec vík data'!$D$2:$D$97, 0, ROW(A3)-1))</f>
        <v>0.25500000000000012</v>
      </c>
      <c r="F110" s="80"/>
    </row>
    <row r="111" spans="1:16" x14ac:dyDescent="0.3">
      <c r="D111" s="2" t="s">
        <v>179</v>
      </c>
      <c r="E111" s="72">
        <f ca="1">SUM(OFFSET('Červenec vík data'!$D$2:$D$97, 0, ROW(A4)-1))</f>
        <v>16.5</v>
      </c>
      <c r="F111" s="80"/>
    </row>
    <row r="112" spans="1:16" x14ac:dyDescent="0.3">
      <c r="D112" s="2" t="s">
        <v>178</v>
      </c>
      <c r="E112" s="72">
        <f ca="1">SUM(OFFSET('Červenec vík data'!$D$2:$D$97, 0, ROW(A5)-1))</f>
        <v>0.375</v>
      </c>
      <c r="F112" s="80"/>
    </row>
    <row r="113" spans="4:6" x14ac:dyDescent="0.3">
      <c r="D113" s="2" t="s">
        <v>177</v>
      </c>
      <c r="E113" s="72">
        <f ca="1">SUM(OFFSET('Červenec vík data'!$D$2:$D$97, 0, ROW(A6)-1))</f>
        <v>3.75</v>
      </c>
      <c r="F113" s="80"/>
    </row>
    <row r="114" spans="4:6" x14ac:dyDescent="0.3">
      <c r="D114" s="2" t="s">
        <v>60</v>
      </c>
      <c r="E114" s="72">
        <f ca="1">SUM(OFFSET('Červenec vík data'!$D$2:$D$97, 0, ROW(A7)-1))</f>
        <v>0.76499999999999979</v>
      </c>
      <c r="F114" s="80"/>
    </row>
    <row r="115" spans="4:6" x14ac:dyDescent="0.3">
      <c r="D115" s="2" t="s">
        <v>176</v>
      </c>
      <c r="E115" s="72">
        <f ca="1">SUM(OFFSET('Červenec vík data'!$D$2:$D$97, 0, ROW(A8)-1))</f>
        <v>0.9375</v>
      </c>
      <c r="F115" s="80"/>
    </row>
    <row r="116" spans="4:6" x14ac:dyDescent="0.3">
      <c r="D116" s="2" t="s">
        <v>39</v>
      </c>
      <c r="E116" s="72">
        <f ca="1">SUM(OFFSET('Červenec vík data'!$D$2:$D$97, 0, ROW(A9)-1))</f>
        <v>3.15</v>
      </c>
      <c r="F116" s="80"/>
    </row>
    <row r="117" spans="4:6" x14ac:dyDescent="0.3">
      <c r="D117" s="2" t="s">
        <v>36</v>
      </c>
      <c r="E117" s="72">
        <f ca="1">SUM(OFFSET('Červenec vík data'!$D$2:$D$97, 0, ROW(A10)-1))</f>
        <v>0</v>
      </c>
      <c r="F117" s="80"/>
    </row>
    <row r="118" spans="4:6" x14ac:dyDescent="0.3">
      <c r="D118" s="2" t="s">
        <v>41</v>
      </c>
      <c r="E118" s="72">
        <f ca="1">SUM(OFFSET('Červenec vík data'!$D$2:$D$97, 0, ROW(A11)-1))</f>
        <v>2.75</v>
      </c>
      <c r="F118" s="80"/>
    </row>
    <row r="119" spans="4:6" x14ac:dyDescent="0.3">
      <c r="D119" s="2" t="s">
        <v>175</v>
      </c>
      <c r="E119" s="72">
        <f ca="1">SUM(OFFSET('Červenec vík data'!$D$2:$D$97, 0, ROW(A12)-1))</f>
        <v>0.18099999999999994</v>
      </c>
      <c r="F119" s="80"/>
    </row>
    <row r="120" spans="4:6" x14ac:dyDescent="0.3">
      <c r="D120" s="2" t="s">
        <v>64</v>
      </c>
      <c r="E120" s="72">
        <f ca="1">SUM(OFFSET('Červenec vík data'!$D$2:$D$97, 0, ROW(A13)-1))</f>
        <v>0.31000000000000016</v>
      </c>
      <c r="F120" s="80"/>
    </row>
    <row r="121" spans="4:6" x14ac:dyDescent="0.3">
      <c r="D121" s="2" t="s">
        <v>62</v>
      </c>
      <c r="E121" s="72">
        <f ca="1">SUM(OFFSET('Červenec vík data'!$D$2:$D$97, 0, ROW(A14)-1))</f>
        <v>0.1</v>
      </c>
      <c r="F121" s="80"/>
    </row>
    <row r="122" spans="4:6" x14ac:dyDescent="0.3">
      <c r="D122" s="2" t="s">
        <v>174</v>
      </c>
      <c r="E122" s="72">
        <f ca="1">SUM(OFFSET('Červenec vík data'!$D$2:$D$97, 0, ROW(A15)-1))</f>
        <v>0.13</v>
      </c>
      <c r="F122" s="80"/>
    </row>
    <row r="123" spans="4:6" x14ac:dyDescent="0.3">
      <c r="D123" s="2" t="s">
        <v>173</v>
      </c>
      <c r="E123" s="72">
        <f ca="1">SUM(OFFSET('Červenec vík data'!$D$2:$D$97, 0, ROW(A16)-1))</f>
        <v>0.22499999999999998</v>
      </c>
      <c r="F123" s="80"/>
    </row>
    <row r="124" spans="4:6" x14ac:dyDescent="0.3">
      <c r="D124" s="2" t="s">
        <v>172</v>
      </c>
      <c r="E124" s="72">
        <f ca="1">SUM(OFFSET('Červenec vík data'!$D$2:$D$97, 0, ROW(A17)-1))</f>
        <v>0.16</v>
      </c>
      <c r="F124" s="80"/>
    </row>
    <row r="125" spans="4:6" x14ac:dyDescent="0.3">
      <c r="D125" s="2" t="s">
        <v>171</v>
      </c>
      <c r="E125" s="72">
        <f ca="1">SUM(OFFSET('Červenec vík data'!$D$2:$D$97, 0, ROW(A18)-1))</f>
        <v>3.7499999999999999E-2</v>
      </c>
      <c r="F125" s="80"/>
    </row>
  </sheetData>
  <mergeCells count="4">
    <mergeCell ref="A1:A2"/>
    <mergeCell ref="B1:B2"/>
    <mergeCell ref="L102:L105"/>
    <mergeCell ref="F108:F125"/>
  </mergeCells>
  <conditionalFormatting sqref="I1:I99">
    <cfRule type="cellIs" dxfId="20" priority="7" operator="lessThan">
      <formula>0</formula>
    </cfRule>
  </conditionalFormatting>
  <conditionalFormatting sqref="I3:I99">
    <cfRule type="cellIs" dxfId="19" priority="5" operator="lessThan">
      <formula>0</formula>
    </cfRule>
    <cfRule type="cellIs" dxfId="18" priority="6" operator="greaterThan">
      <formula>0</formula>
    </cfRule>
  </conditionalFormatting>
  <conditionalFormatting sqref="J3:J98">
    <cfRule type="expression" dxfId="17" priority="2">
      <formula>J3&lt;Kapacita_baterie*Soc_Min</formula>
    </cfRule>
    <cfRule type="expression" dxfId="16" priority="3">
      <formula>J3=Kapacita_baterie*Soc_Min</formula>
    </cfRule>
    <cfRule type="expression" dxfId="15" priority="4">
      <formula>J3&gt;=Kapacita_baterie*Soc_Max</formula>
    </cfRule>
  </conditionalFormatting>
  <conditionalFormatting sqref="J102">
    <cfRule type="cellIs" dxfId="14" priority="1" operator="lessThan">
      <formula>0</formula>
    </cfRule>
  </conditionalFormatting>
  <pageMargins left="0.7" right="0.7" top="0.78740157499999996" bottom="0.78740157499999996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6390-81E7-4FA2-8B70-E1D554EB5706}">
  <sheetPr>
    <tabColor rgb="FFFF0000"/>
  </sheetPr>
  <dimension ref="A1:V126"/>
  <sheetViews>
    <sheetView topLeftCell="B1" zoomScale="68" zoomScaleNormal="68" workbookViewId="0">
      <selection activeCell="V1" sqref="V1:V1048576"/>
    </sheetView>
  </sheetViews>
  <sheetFormatPr defaultRowHeight="14.4" x14ac:dyDescent="0.3"/>
  <cols>
    <col min="1" max="1" width="12.33203125" customWidth="1"/>
    <col min="2" max="2" width="13.109375" customWidth="1"/>
    <col min="3" max="3" width="31" customWidth="1"/>
    <col min="4" max="4" width="30.88671875" customWidth="1"/>
    <col min="6" max="6" width="17.6640625" customWidth="1"/>
    <col min="7" max="7" width="17.109375" customWidth="1"/>
    <col min="8" max="8" width="12.109375" customWidth="1"/>
    <col min="9" max="9" width="21.109375" customWidth="1"/>
    <col min="15" max="15" width="11.33203125" customWidth="1"/>
    <col min="19" max="19" width="12.33203125" customWidth="1"/>
    <col min="20" max="20" width="12.6640625" customWidth="1"/>
    <col min="22" max="22" width="20.5546875" customWidth="1"/>
  </cols>
  <sheetData>
    <row r="1" spans="1:22" x14ac:dyDescent="0.3">
      <c r="A1" s="17" t="s">
        <v>184</v>
      </c>
      <c r="B1" s="17" t="s">
        <v>183</v>
      </c>
      <c r="C1" s="17" t="s">
        <v>182</v>
      </c>
      <c r="D1" s="17" t="s">
        <v>72</v>
      </c>
      <c r="E1" s="17" t="s">
        <v>181</v>
      </c>
      <c r="F1" s="17" t="s">
        <v>180</v>
      </c>
      <c r="G1" s="17" t="s">
        <v>179</v>
      </c>
      <c r="H1" s="17" t="s">
        <v>178</v>
      </c>
      <c r="I1" s="17" t="s">
        <v>177</v>
      </c>
      <c r="J1" s="17" t="s">
        <v>60</v>
      </c>
      <c r="K1" s="17" t="s">
        <v>176</v>
      </c>
      <c r="L1" s="17" t="s">
        <v>39</v>
      </c>
      <c r="M1" s="17" t="s">
        <v>36</v>
      </c>
      <c r="N1" s="17" t="s">
        <v>41</v>
      </c>
      <c r="O1" s="17" t="s">
        <v>175</v>
      </c>
      <c r="P1" s="17" t="s">
        <v>64</v>
      </c>
      <c r="Q1" s="17" t="s">
        <v>62</v>
      </c>
      <c r="R1" s="17" t="s">
        <v>174</v>
      </c>
      <c r="S1" s="17" t="s">
        <v>173</v>
      </c>
      <c r="T1" s="17" t="s">
        <v>172</v>
      </c>
      <c r="U1" s="17" t="s">
        <v>171</v>
      </c>
      <c r="V1" s="17" t="s">
        <v>170</v>
      </c>
    </row>
    <row r="2" spans="1:22" x14ac:dyDescent="0.3">
      <c r="A2" s="19">
        <v>46223</v>
      </c>
      <c r="B2" s="4" t="s">
        <v>169</v>
      </c>
      <c r="C2" s="4">
        <f>0.0075</f>
        <v>7.4999999999999997E-3</v>
      </c>
      <c r="D2" s="4">
        <v>0</v>
      </c>
      <c r="E2" s="4">
        <v>0</v>
      </c>
      <c r="F2" s="4">
        <v>1.4999999999999999E-2</v>
      </c>
      <c r="G2" s="4">
        <v>0</v>
      </c>
      <c r="H2" s="4">
        <v>0</v>
      </c>
      <c r="I2" s="4">
        <v>0</v>
      </c>
      <c r="J2" s="4">
        <v>2.1250000000000002E-2</v>
      </c>
      <c r="K2" s="4">
        <v>0</v>
      </c>
      <c r="L2" s="4">
        <v>0</v>
      </c>
      <c r="M2" s="4">
        <v>0</v>
      </c>
      <c r="N2" s="4">
        <v>0</v>
      </c>
      <c r="O2" s="4">
        <v>1.2E-2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0">
        <f>C2+D2+E2+F2+G2+H2+I2+J2+K2+L2+M2+N2+O2+P2+Q2+R2+S2+T2+U2</f>
        <v>5.5749999999999994E-2</v>
      </c>
    </row>
    <row r="3" spans="1:22" x14ac:dyDescent="0.3">
      <c r="A3" s="19">
        <v>46223</v>
      </c>
      <c r="B3" s="4" t="s">
        <v>168</v>
      </c>
      <c r="C3" s="4">
        <f t="shared" ref="C3:C66" si="0">0.0075</f>
        <v>7.4999999999999997E-3</v>
      </c>
      <c r="D3" s="4">
        <v>0</v>
      </c>
      <c r="E3" s="4">
        <v>0</v>
      </c>
      <c r="F3" s="4">
        <v>1.4999999999999999E-2</v>
      </c>
      <c r="G3" s="4">
        <v>0</v>
      </c>
      <c r="H3" s="4">
        <v>0</v>
      </c>
      <c r="I3" s="4">
        <v>0</v>
      </c>
      <c r="J3" s="4">
        <v>2.1250000000000002E-2</v>
      </c>
      <c r="K3" s="4">
        <v>0</v>
      </c>
      <c r="L3" s="4">
        <v>0</v>
      </c>
      <c r="M3" s="4">
        <v>0</v>
      </c>
      <c r="N3" s="4">
        <v>0</v>
      </c>
      <c r="O3" s="4">
        <v>1.2E-2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0">
        <f t="shared" ref="V3:V66" si="1">C3+D3+E3+F3+G3+H3+I3+J3+K3+L3+M3+N3+O3+P3+Q3+R3+S3+T3+U3</f>
        <v>5.5749999999999994E-2</v>
      </c>
    </row>
    <row r="4" spans="1:22" x14ac:dyDescent="0.3">
      <c r="A4" s="19">
        <v>46223</v>
      </c>
      <c r="B4" s="4" t="s">
        <v>167</v>
      </c>
      <c r="C4" s="4">
        <f t="shared" si="0"/>
        <v>7.4999999999999997E-3</v>
      </c>
      <c r="D4" s="4">
        <v>0</v>
      </c>
      <c r="E4" s="4">
        <v>0</v>
      </c>
      <c r="F4" s="4">
        <v>1.4999999999999999E-2</v>
      </c>
      <c r="G4" s="4">
        <v>0</v>
      </c>
      <c r="H4" s="4">
        <v>0</v>
      </c>
      <c r="I4" s="4">
        <v>0</v>
      </c>
      <c r="J4" s="4">
        <v>2.1250000000000002E-2</v>
      </c>
      <c r="K4" s="4">
        <v>0</v>
      </c>
      <c r="L4" s="4">
        <v>0</v>
      </c>
      <c r="M4" s="4">
        <v>0</v>
      </c>
      <c r="N4" s="4">
        <v>0</v>
      </c>
      <c r="O4" s="4">
        <v>8.9999999999999993E-3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0">
        <f t="shared" si="1"/>
        <v>5.2749999999999998E-2</v>
      </c>
    </row>
    <row r="5" spans="1:22" x14ac:dyDescent="0.3">
      <c r="A5" s="19">
        <v>46223</v>
      </c>
      <c r="B5" s="4" t="s">
        <v>166</v>
      </c>
      <c r="C5" s="4">
        <f t="shared" si="0"/>
        <v>7.4999999999999997E-3</v>
      </c>
      <c r="D5" s="4">
        <v>0</v>
      </c>
      <c r="E5" s="4">
        <v>0</v>
      </c>
      <c r="F5" s="4">
        <v>1.4999999999999999E-2</v>
      </c>
      <c r="G5" s="4">
        <v>0</v>
      </c>
      <c r="H5" s="4">
        <v>0</v>
      </c>
      <c r="I5" s="4">
        <v>0</v>
      </c>
      <c r="J5" s="4">
        <v>2.1250000000000002E-2</v>
      </c>
      <c r="K5" s="4">
        <v>0</v>
      </c>
      <c r="L5" s="4">
        <v>0</v>
      </c>
      <c r="M5" s="4">
        <v>0</v>
      </c>
      <c r="N5" s="4">
        <v>0</v>
      </c>
      <c r="O5" s="4">
        <v>5.0000000000000001E-3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0">
        <f t="shared" si="1"/>
        <v>4.8749999999999995E-2</v>
      </c>
    </row>
    <row r="6" spans="1:22" x14ac:dyDescent="0.3">
      <c r="A6" s="19">
        <v>46223</v>
      </c>
      <c r="B6" s="4" t="s">
        <v>165</v>
      </c>
      <c r="C6" s="4">
        <f t="shared" si="0"/>
        <v>7.4999999999999997E-3</v>
      </c>
      <c r="D6" s="4">
        <v>0</v>
      </c>
      <c r="E6" s="4">
        <v>0</v>
      </c>
      <c r="F6" s="4">
        <v>1.4999999999999999E-2</v>
      </c>
      <c r="G6" s="4">
        <v>0</v>
      </c>
      <c r="H6" s="4">
        <v>0</v>
      </c>
      <c r="I6" s="4">
        <v>0</v>
      </c>
      <c r="J6" s="4">
        <v>2.1250000000000002E-2</v>
      </c>
      <c r="K6" s="4">
        <v>0</v>
      </c>
      <c r="L6" s="4">
        <v>0</v>
      </c>
      <c r="M6" s="4">
        <v>0</v>
      </c>
      <c r="N6" s="4">
        <v>0</v>
      </c>
      <c r="O6" s="4">
        <v>5.0000000000000001E-3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0">
        <f t="shared" si="1"/>
        <v>4.8749999999999995E-2</v>
      </c>
    </row>
    <row r="7" spans="1:22" x14ac:dyDescent="0.3">
      <c r="A7" s="19">
        <v>46223</v>
      </c>
      <c r="B7" s="4" t="s">
        <v>164</v>
      </c>
      <c r="C7" s="4">
        <f t="shared" si="0"/>
        <v>7.4999999999999997E-3</v>
      </c>
      <c r="D7" s="4">
        <v>0</v>
      </c>
      <c r="E7" s="4">
        <v>0</v>
      </c>
      <c r="F7" s="4">
        <v>1.4999999999999999E-2</v>
      </c>
      <c r="G7" s="4">
        <v>0</v>
      </c>
      <c r="H7" s="4">
        <v>0</v>
      </c>
      <c r="I7" s="4">
        <v>0</v>
      </c>
      <c r="J7" s="4">
        <v>2.1250000000000002E-2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0">
        <f t="shared" si="1"/>
        <v>4.3749999999999997E-2</v>
      </c>
    </row>
    <row r="8" spans="1:22" x14ac:dyDescent="0.3">
      <c r="A8" s="19">
        <v>46223</v>
      </c>
      <c r="B8" s="4" t="s">
        <v>163</v>
      </c>
      <c r="C8" s="4">
        <f t="shared" si="0"/>
        <v>7.4999999999999997E-3</v>
      </c>
      <c r="D8" s="4">
        <v>0</v>
      </c>
      <c r="E8" s="4">
        <v>0</v>
      </c>
      <c r="F8" s="4">
        <v>1.4999999999999999E-2</v>
      </c>
      <c r="G8" s="4">
        <v>0</v>
      </c>
      <c r="H8" s="4">
        <v>0</v>
      </c>
      <c r="I8" s="4">
        <v>0</v>
      </c>
      <c r="J8" s="4">
        <v>2.1250000000000002E-2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0">
        <f t="shared" si="1"/>
        <v>4.3749999999999997E-2</v>
      </c>
    </row>
    <row r="9" spans="1:22" x14ac:dyDescent="0.3">
      <c r="A9" s="19">
        <v>46223</v>
      </c>
      <c r="B9" s="4" t="s">
        <v>162</v>
      </c>
      <c r="C9" s="4">
        <f t="shared" si="0"/>
        <v>7.4999999999999997E-3</v>
      </c>
      <c r="D9" s="4">
        <v>0</v>
      </c>
      <c r="E9" s="4">
        <v>0</v>
      </c>
      <c r="F9" s="4">
        <v>1.4999999999999999E-2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0">
        <f t="shared" si="1"/>
        <v>2.2499999999999999E-2</v>
      </c>
    </row>
    <row r="10" spans="1:22" x14ac:dyDescent="0.3">
      <c r="A10" s="19">
        <v>46223</v>
      </c>
      <c r="B10" s="68" t="s">
        <v>161</v>
      </c>
      <c r="C10" s="68">
        <f t="shared" si="0"/>
        <v>7.4999999999999997E-3</v>
      </c>
      <c r="D10" s="68">
        <v>0</v>
      </c>
      <c r="E10" s="68">
        <v>0</v>
      </c>
      <c r="F10" s="68">
        <v>1.4999999999999999E-2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40">
        <f t="shared" si="1"/>
        <v>2.2499999999999999E-2</v>
      </c>
    </row>
    <row r="11" spans="1:22" x14ac:dyDescent="0.3">
      <c r="A11" s="19">
        <v>46223</v>
      </c>
      <c r="B11" s="68" t="s">
        <v>160</v>
      </c>
      <c r="C11" s="68">
        <f t="shared" si="0"/>
        <v>7.4999999999999997E-3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40">
        <f t="shared" si="1"/>
        <v>7.4999999999999997E-3</v>
      </c>
    </row>
    <row r="12" spans="1:22" x14ac:dyDescent="0.3">
      <c r="A12" s="19">
        <v>46223</v>
      </c>
      <c r="B12" s="68" t="s">
        <v>159</v>
      </c>
      <c r="C12" s="68">
        <f t="shared" si="0"/>
        <v>7.4999999999999997E-3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40">
        <f t="shared" si="1"/>
        <v>7.4999999999999997E-3</v>
      </c>
    </row>
    <row r="13" spans="1:22" x14ac:dyDescent="0.3">
      <c r="A13" s="19">
        <v>46223</v>
      </c>
      <c r="B13" s="68" t="s">
        <v>158</v>
      </c>
      <c r="C13" s="68">
        <f t="shared" si="0"/>
        <v>7.4999999999999997E-3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40">
        <f t="shared" si="1"/>
        <v>7.4999999999999997E-3</v>
      </c>
    </row>
    <row r="14" spans="1:22" x14ac:dyDescent="0.3">
      <c r="A14" s="19">
        <v>46223</v>
      </c>
      <c r="B14" s="68" t="s">
        <v>157</v>
      </c>
      <c r="C14" s="68">
        <f t="shared" si="0"/>
        <v>7.4999999999999997E-3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40">
        <f t="shared" si="1"/>
        <v>7.4999999999999997E-3</v>
      </c>
    </row>
    <row r="15" spans="1:22" x14ac:dyDescent="0.3">
      <c r="A15" s="19">
        <v>46223</v>
      </c>
      <c r="B15" s="68" t="s">
        <v>156</v>
      </c>
      <c r="C15" s="68">
        <f t="shared" si="0"/>
        <v>7.4999999999999997E-3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40">
        <f t="shared" si="1"/>
        <v>7.4999999999999997E-3</v>
      </c>
    </row>
    <row r="16" spans="1:22" x14ac:dyDescent="0.3">
      <c r="A16" s="19">
        <v>46223</v>
      </c>
      <c r="B16" s="68" t="s">
        <v>155</v>
      </c>
      <c r="C16" s="68">
        <f t="shared" si="0"/>
        <v>7.4999999999999997E-3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40">
        <f t="shared" si="1"/>
        <v>7.4999999999999997E-3</v>
      </c>
    </row>
    <row r="17" spans="1:22" x14ac:dyDescent="0.3">
      <c r="A17" s="19">
        <v>46223</v>
      </c>
      <c r="B17" s="68" t="s">
        <v>154</v>
      </c>
      <c r="C17" s="68">
        <f t="shared" si="0"/>
        <v>7.4999999999999997E-3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40">
        <f t="shared" si="1"/>
        <v>7.4999999999999997E-3</v>
      </c>
    </row>
    <row r="18" spans="1:22" x14ac:dyDescent="0.3">
      <c r="A18" s="19">
        <v>46223</v>
      </c>
      <c r="B18" s="68" t="s">
        <v>153</v>
      </c>
      <c r="C18" s="68">
        <f t="shared" si="0"/>
        <v>7.4999999999999997E-3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40">
        <f t="shared" si="1"/>
        <v>7.4999999999999997E-3</v>
      </c>
    </row>
    <row r="19" spans="1:22" x14ac:dyDescent="0.3">
      <c r="A19" s="19">
        <v>46223</v>
      </c>
      <c r="B19" s="68" t="s">
        <v>152</v>
      </c>
      <c r="C19" s="68">
        <f t="shared" si="0"/>
        <v>7.4999999999999997E-3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40">
        <f t="shared" si="1"/>
        <v>7.4999999999999997E-3</v>
      </c>
    </row>
    <row r="20" spans="1:22" x14ac:dyDescent="0.3">
      <c r="A20" s="19">
        <v>46223</v>
      </c>
      <c r="B20" s="68" t="s">
        <v>151</v>
      </c>
      <c r="C20" s="68">
        <f t="shared" si="0"/>
        <v>7.4999999999999997E-3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40">
        <f t="shared" si="1"/>
        <v>7.4999999999999997E-3</v>
      </c>
    </row>
    <row r="21" spans="1:22" x14ac:dyDescent="0.3">
      <c r="A21" s="19">
        <v>46223</v>
      </c>
      <c r="B21" s="68" t="s">
        <v>150</v>
      </c>
      <c r="C21" s="68">
        <f t="shared" si="0"/>
        <v>7.4999999999999997E-3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40">
        <f t="shared" si="1"/>
        <v>7.4999999999999997E-3</v>
      </c>
    </row>
    <row r="22" spans="1:22" x14ac:dyDescent="0.3">
      <c r="A22" s="19">
        <v>46223</v>
      </c>
      <c r="B22" s="68" t="s">
        <v>149</v>
      </c>
      <c r="C22" s="68">
        <f t="shared" si="0"/>
        <v>7.4999999999999997E-3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40">
        <f t="shared" si="1"/>
        <v>7.4999999999999997E-3</v>
      </c>
    </row>
    <row r="23" spans="1:22" x14ac:dyDescent="0.3">
      <c r="A23" s="19">
        <v>46223</v>
      </c>
      <c r="B23" s="68" t="s">
        <v>148</v>
      </c>
      <c r="C23" s="68">
        <f t="shared" si="0"/>
        <v>7.4999999999999997E-3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40">
        <f t="shared" si="1"/>
        <v>7.4999999999999997E-3</v>
      </c>
    </row>
    <row r="24" spans="1:22" x14ac:dyDescent="0.3">
      <c r="A24" s="19">
        <v>46223</v>
      </c>
      <c r="B24" s="68" t="s">
        <v>147</v>
      </c>
      <c r="C24" s="68">
        <f t="shared" si="0"/>
        <v>7.4999999999999997E-3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40">
        <f t="shared" si="1"/>
        <v>7.4999999999999997E-3</v>
      </c>
    </row>
    <row r="25" spans="1:22" x14ac:dyDescent="0.3">
      <c r="A25" s="19">
        <v>46223</v>
      </c>
      <c r="B25" s="68" t="s">
        <v>146</v>
      </c>
      <c r="C25" s="68">
        <f t="shared" si="0"/>
        <v>7.4999999999999997E-3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40">
        <f t="shared" si="1"/>
        <v>7.4999999999999997E-3</v>
      </c>
    </row>
    <row r="26" spans="1:22" x14ac:dyDescent="0.3">
      <c r="A26" s="19">
        <v>46223</v>
      </c>
      <c r="B26" s="68" t="s">
        <v>145</v>
      </c>
      <c r="C26" s="68">
        <f t="shared" si="0"/>
        <v>7.4999999999999997E-3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40">
        <f t="shared" si="1"/>
        <v>7.4999999999999997E-3</v>
      </c>
    </row>
    <row r="27" spans="1:22" x14ac:dyDescent="0.3">
      <c r="A27" s="19">
        <v>46223</v>
      </c>
      <c r="B27" s="4" t="s">
        <v>144</v>
      </c>
      <c r="C27" s="4">
        <f t="shared" si="0"/>
        <v>7.4999999999999997E-3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0">
        <f t="shared" si="1"/>
        <v>7.4999999999999997E-3</v>
      </c>
    </row>
    <row r="28" spans="1:22" x14ac:dyDescent="0.3">
      <c r="A28" s="19">
        <v>46223</v>
      </c>
      <c r="B28" s="4" t="s">
        <v>143</v>
      </c>
      <c r="C28" s="4">
        <f t="shared" si="0"/>
        <v>7.4999999999999997E-3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0">
        <f t="shared" si="1"/>
        <v>7.4999999999999997E-3</v>
      </c>
    </row>
    <row r="29" spans="1:22" x14ac:dyDescent="0.3">
      <c r="A29" s="19">
        <v>46223</v>
      </c>
      <c r="B29" s="4" t="s">
        <v>142</v>
      </c>
      <c r="C29" s="4">
        <f t="shared" si="0"/>
        <v>7.4999999999999997E-3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0">
        <f t="shared" si="1"/>
        <v>7.4999999999999997E-3</v>
      </c>
    </row>
    <row r="30" spans="1:22" x14ac:dyDescent="0.3">
      <c r="A30" s="19">
        <v>46223</v>
      </c>
      <c r="B30" s="4" t="s">
        <v>141</v>
      </c>
      <c r="C30" s="4">
        <f t="shared" si="0"/>
        <v>7.4999999999999997E-3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0">
        <f t="shared" si="1"/>
        <v>7.4999999999999997E-3</v>
      </c>
    </row>
    <row r="31" spans="1:22" x14ac:dyDescent="0.3">
      <c r="A31" s="19">
        <v>46223</v>
      </c>
      <c r="B31" s="4" t="s">
        <v>140</v>
      </c>
      <c r="C31" s="4">
        <f t="shared" si="0"/>
        <v>7.4999999999999997E-3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0">
        <f t="shared" si="1"/>
        <v>7.4999999999999997E-3</v>
      </c>
    </row>
    <row r="32" spans="1:22" x14ac:dyDescent="0.3">
      <c r="A32" s="19">
        <v>46223</v>
      </c>
      <c r="B32" s="4" t="s">
        <v>139</v>
      </c>
      <c r="C32" s="4">
        <f t="shared" si="0"/>
        <v>7.4999999999999997E-3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0">
        <f t="shared" si="1"/>
        <v>7.4999999999999997E-3</v>
      </c>
    </row>
    <row r="33" spans="1:22" x14ac:dyDescent="0.3">
      <c r="A33" s="19">
        <v>46223</v>
      </c>
      <c r="B33" s="4" t="s">
        <v>138</v>
      </c>
      <c r="C33" s="4">
        <f t="shared" si="0"/>
        <v>7.4999999999999997E-3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0">
        <f t="shared" si="1"/>
        <v>7.4999999999999997E-3</v>
      </c>
    </row>
    <row r="34" spans="1:22" x14ac:dyDescent="0.3">
      <c r="A34" s="19">
        <v>46223</v>
      </c>
      <c r="B34" s="4" t="s">
        <v>137</v>
      </c>
      <c r="C34" s="4">
        <f t="shared" si="0"/>
        <v>7.4999999999999997E-3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5.0000000000000001E-3</v>
      </c>
      <c r="Q34" s="4">
        <v>0.05</v>
      </c>
      <c r="R34" s="4">
        <v>0</v>
      </c>
      <c r="S34" s="4">
        <v>0</v>
      </c>
      <c r="T34" s="4">
        <v>0</v>
      </c>
      <c r="U34" s="4">
        <v>0</v>
      </c>
      <c r="V34" s="40">
        <f t="shared" si="1"/>
        <v>6.25E-2</v>
      </c>
    </row>
    <row r="35" spans="1:22" x14ac:dyDescent="0.3">
      <c r="A35" s="19">
        <v>46223</v>
      </c>
      <c r="B35" s="4" t="s">
        <v>136</v>
      </c>
      <c r="C35" s="4">
        <f t="shared" si="0"/>
        <v>7.4999999999999997E-3</v>
      </c>
      <c r="D35" s="4">
        <v>0</v>
      </c>
      <c r="E35" s="4">
        <v>0</v>
      </c>
      <c r="F35" s="4">
        <v>0</v>
      </c>
      <c r="G35" s="4">
        <v>1.5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5.0000000000000001E-3</v>
      </c>
      <c r="Q35" s="4">
        <v>0</v>
      </c>
      <c r="R35" s="4">
        <v>3.2500000000000001E-2</v>
      </c>
      <c r="S35" s="4">
        <v>0</v>
      </c>
      <c r="T35" s="4">
        <v>0</v>
      </c>
      <c r="U35" s="4">
        <v>0</v>
      </c>
      <c r="V35" s="40">
        <f t="shared" si="1"/>
        <v>1.5449999999999999</v>
      </c>
    </row>
    <row r="36" spans="1:22" x14ac:dyDescent="0.3">
      <c r="A36" s="19">
        <v>46223</v>
      </c>
      <c r="B36" s="4" t="s">
        <v>135</v>
      </c>
      <c r="C36" s="4">
        <f t="shared" si="0"/>
        <v>7.4999999999999997E-3</v>
      </c>
      <c r="D36" s="4">
        <v>0</v>
      </c>
      <c r="E36" s="4">
        <v>0</v>
      </c>
      <c r="F36" s="4">
        <v>0</v>
      </c>
      <c r="G36" s="4">
        <v>1.5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5.0000000000000001E-3</v>
      </c>
      <c r="Q36" s="4">
        <v>0</v>
      </c>
      <c r="R36" s="4">
        <v>0</v>
      </c>
      <c r="S36" s="4">
        <v>0</v>
      </c>
      <c r="T36" s="4">
        <v>0.16</v>
      </c>
      <c r="U36" s="4">
        <v>0</v>
      </c>
      <c r="V36" s="40">
        <f t="shared" si="1"/>
        <v>1.6724999999999999</v>
      </c>
    </row>
    <row r="37" spans="1:22" x14ac:dyDescent="0.3">
      <c r="A37" s="19">
        <v>46223</v>
      </c>
      <c r="B37" s="4" t="s">
        <v>134</v>
      </c>
      <c r="C37" s="4">
        <f t="shared" si="0"/>
        <v>7.4999999999999997E-3</v>
      </c>
      <c r="D37" s="4">
        <v>0</v>
      </c>
      <c r="E37" s="4">
        <v>0</v>
      </c>
      <c r="F37" s="4">
        <v>0</v>
      </c>
      <c r="G37" s="4">
        <v>1.5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5.0000000000000001E-3</v>
      </c>
      <c r="Q37" s="4">
        <v>0</v>
      </c>
      <c r="R37" s="4">
        <v>3.2500000000000001E-2</v>
      </c>
      <c r="S37" s="4">
        <v>0</v>
      </c>
      <c r="T37" s="4">
        <v>0</v>
      </c>
      <c r="U37" s="4">
        <v>0</v>
      </c>
      <c r="V37" s="40">
        <f t="shared" si="1"/>
        <v>1.5449999999999999</v>
      </c>
    </row>
    <row r="38" spans="1:22" x14ac:dyDescent="0.3">
      <c r="A38" s="19">
        <v>46223</v>
      </c>
      <c r="B38" s="4" t="s">
        <v>133</v>
      </c>
      <c r="C38" s="4">
        <f t="shared" si="0"/>
        <v>7.4999999999999997E-3</v>
      </c>
      <c r="D38" s="4">
        <v>0</v>
      </c>
      <c r="E38" s="4">
        <v>0</v>
      </c>
      <c r="F38" s="4">
        <v>0</v>
      </c>
      <c r="G38" s="4">
        <v>1.5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5.0000000000000001E-3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0">
        <f t="shared" si="1"/>
        <v>1.5125</v>
      </c>
    </row>
    <row r="39" spans="1:22" x14ac:dyDescent="0.3">
      <c r="A39" s="19">
        <v>46223</v>
      </c>
      <c r="B39" s="4" t="s">
        <v>132</v>
      </c>
      <c r="C39" s="4">
        <f t="shared" si="0"/>
        <v>7.4999999999999997E-3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5.0000000000000001E-3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0">
        <f t="shared" si="1"/>
        <v>1.2500000000000001E-2</v>
      </c>
    </row>
    <row r="40" spans="1:22" x14ac:dyDescent="0.3">
      <c r="A40" s="19">
        <v>46223</v>
      </c>
      <c r="B40" s="4" t="s">
        <v>131</v>
      </c>
      <c r="C40" s="4">
        <f t="shared" si="0"/>
        <v>7.4999999999999997E-3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0.52500000000000002</v>
      </c>
      <c r="M40" s="4">
        <v>0</v>
      </c>
      <c r="N40" s="4">
        <v>0</v>
      </c>
      <c r="O40" s="4">
        <v>0</v>
      </c>
      <c r="P40" s="4">
        <v>5.0000000000000001E-3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0">
        <f t="shared" si="1"/>
        <v>0.53749999999999998</v>
      </c>
    </row>
    <row r="41" spans="1:22" x14ac:dyDescent="0.3">
      <c r="A41" s="19">
        <v>46223</v>
      </c>
      <c r="B41" s="4" t="s">
        <v>130</v>
      </c>
      <c r="C41" s="4">
        <f t="shared" si="0"/>
        <v>7.4999999999999997E-3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0.52500000000000002</v>
      </c>
      <c r="M41" s="4">
        <v>0</v>
      </c>
      <c r="N41" s="4">
        <v>0</v>
      </c>
      <c r="O41" s="4">
        <v>0</v>
      </c>
      <c r="P41" s="4">
        <v>5.0000000000000001E-3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0">
        <f t="shared" si="1"/>
        <v>0.53749999999999998</v>
      </c>
    </row>
    <row r="42" spans="1:22" x14ac:dyDescent="0.3">
      <c r="A42" s="19">
        <v>46223</v>
      </c>
      <c r="B42" s="4" t="s">
        <v>129</v>
      </c>
      <c r="C42" s="4">
        <f t="shared" si="0"/>
        <v>7.4999999999999997E-3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0.52500000000000002</v>
      </c>
      <c r="M42" s="4">
        <v>0</v>
      </c>
      <c r="N42" s="4">
        <v>0</v>
      </c>
      <c r="O42" s="4">
        <v>0</v>
      </c>
      <c r="P42" s="4">
        <v>5.0000000000000001E-3</v>
      </c>
      <c r="Q42" s="4">
        <v>0</v>
      </c>
      <c r="R42" s="4">
        <v>0</v>
      </c>
      <c r="S42" s="4">
        <v>2.5000000000000001E-2</v>
      </c>
      <c r="T42" s="4">
        <v>0</v>
      </c>
      <c r="U42" s="4">
        <v>0</v>
      </c>
      <c r="V42" s="40">
        <f t="shared" si="1"/>
        <v>0.5625</v>
      </c>
    </row>
    <row r="43" spans="1:22" x14ac:dyDescent="0.3">
      <c r="A43" s="19">
        <v>46223</v>
      </c>
      <c r="B43" s="4" t="s">
        <v>128</v>
      </c>
      <c r="C43" s="4">
        <f t="shared" si="0"/>
        <v>7.4999999999999997E-3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0.52500000000000002</v>
      </c>
      <c r="M43" s="4">
        <v>0</v>
      </c>
      <c r="N43" s="4">
        <v>0</v>
      </c>
      <c r="O43" s="4">
        <v>0</v>
      </c>
      <c r="P43" s="4">
        <v>5.0000000000000001E-3</v>
      </c>
      <c r="Q43" s="4">
        <v>0</v>
      </c>
      <c r="R43" s="4">
        <v>0</v>
      </c>
      <c r="S43" s="4">
        <v>2.5000000000000001E-2</v>
      </c>
      <c r="T43" s="4">
        <v>0</v>
      </c>
      <c r="U43" s="4">
        <v>0</v>
      </c>
      <c r="V43" s="40">
        <f t="shared" si="1"/>
        <v>0.5625</v>
      </c>
    </row>
    <row r="44" spans="1:22" x14ac:dyDescent="0.3">
      <c r="A44" s="19">
        <v>46223</v>
      </c>
      <c r="B44" s="4" t="s">
        <v>127</v>
      </c>
      <c r="C44" s="4">
        <f t="shared" si="0"/>
        <v>7.4999999999999997E-3</v>
      </c>
      <c r="D44" s="4">
        <v>0</v>
      </c>
      <c r="E44" s="4">
        <v>3.7499999999999999E-3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0.52500000000000002</v>
      </c>
      <c r="M44" s="4">
        <v>0</v>
      </c>
      <c r="N44" s="4">
        <v>0</v>
      </c>
      <c r="O44" s="4">
        <v>0</v>
      </c>
      <c r="P44" s="4">
        <v>5.0000000000000001E-3</v>
      </c>
      <c r="Q44" s="4">
        <v>0</v>
      </c>
      <c r="R44" s="4">
        <v>0</v>
      </c>
      <c r="S44" s="4">
        <v>2.5000000000000001E-2</v>
      </c>
      <c r="T44" s="4">
        <v>0</v>
      </c>
      <c r="U44" s="4">
        <v>0</v>
      </c>
      <c r="V44" s="40">
        <f t="shared" si="1"/>
        <v>0.56625000000000003</v>
      </c>
    </row>
    <row r="45" spans="1:22" x14ac:dyDescent="0.3">
      <c r="A45" s="19">
        <v>46223</v>
      </c>
      <c r="B45" s="4" t="s">
        <v>126</v>
      </c>
      <c r="C45" s="4">
        <f t="shared" si="0"/>
        <v>7.4999999999999997E-3</v>
      </c>
      <c r="D45" s="4">
        <v>0</v>
      </c>
      <c r="E45" s="4">
        <v>3.7499999999999999E-3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0.52500000000000002</v>
      </c>
      <c r="M45" s="4">
        <v>0</v>
      </c>
      <c r="N45" s="4">
        <v>0</v>
      </c>
      <c r="O45" s="4">
        <v>0</v>
      </c>
      <c r="P45" s="4">
        <v>5.0000000000000001E-3</v>
      </c>
      <c r="Q45" s="4">
        <v>0</v>
      </c>
      <c r="R45" s="4">
        <v>0</v>
      </c>
      <c r="S45" s="4">
        <v>2.5000000000000001E-2</v>
      </c>
      <c r="T45" s="4">
        <v>0</v>
      </c>
      <c r="U45" s="4">
        <v>0</v>
      </c>
      <c r="V45" s="40">
        <f t="shared" si="1"/>
        <v>0.56625000000000003</v>
      </c>
    </row>
    <row r="46" spans="1:22" x14ac:dyDescent="0.3">
      <c r="A46" s="19">
        <v>46223</v>
      </c>
      <c r="B46" s="68" t="s">
        <v>125</v>
      </c>
      <c r="C46" s="68">
        <f t="shared" si="0"/>
        <v>7.4999999999999997E-3</v>
      </c>
      <c r="D46" s="68">
        <v>0</v>
      </c>
      <c r="E46" s="68">
        <v>3.7499999999999999E-3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5.0000000000000001E-3</v>
      </c>
      <c r="Q46" s="68">
        <v>0</v>
      </c>
      <c r="R46" s="68">
        <v>0</v>
      </c>
      <c r="S46" s="68">
        <v>2.5000000000000001E-2</v>
      </c>
      <c r="T46" s="68">
        <v>0</v>
      </c>
      <c r="U46" s="68">
        <v>0</v>
      </c>
      <c r="V46" s="40">
        <f t="shared" si="1"/>
        <v>4.1250000000000002E-2</v>
      </c>
    </row>
    <row r="47" spans="1:22" x14ac:dyDescent="0.3">
      <c r="A47" s="19">
        <v>46223</v>
      </c>
      <c r="B47" s="68" t="s">
        <v>124</v>
      </c>
      <c r="C47" s="68">
        <f t="shared" si="0"/>
        <v>7.4999999999999997E-3</v>
      </c>
      <c r="D47" s="68">
        <v>0</v>
      </c>
      <c r="E47" s="68">
        <v>3.7499999999999999E-3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5.0000000000000001E-3</v>
      </c>
      <c r="Q47" s="68">
        <v>0</v>
      </c>
      <c r="R47" s="68">
        <v>0</v>
      </c>
      <c r="S47" s="68">
        <v>2.5000000000000001E-2</v>
      </c>
      <c r="T47" s="68">
        <v>0</v>
      </c>
      <c r="U47" s="68">
        <v>0</v>
      </c>
      <c r="V47" s="40">
        <f t="shared" si="1"/>
        <v>4.1250000000000002E-2</v>
      </c>
    </row>
    <row r="48" spans="1:22" x14ac:dyDescent="0.3">
      <c r="A48" s="19">
        <v>46223</v>
      </c>
      <c r="B48" s="68" t="s">
        <v>123</v>
      </c>
      <c r="C48" s="68">
        <f t="shared" si="0"/>
        <v>7.4999999999999997E-3</v>
      </c>
      <c r="D48" s="68">
        <v>0</v>
      </c>
      <c r="E48" s="68">
        <v>3.7499999999999999E-3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5.0000000000000001E-3</v>
      </c>
      <c r="Q48" s="68">
        <v>0</v>
      </c>
      <c r="R48" s="68">
        <v>0</v>
      </c>
      <c r="S48" s="68">
        <v>2.5000000000000001E-2</v>
      </c>
      <c r="T48" s="68">
        <v>0</v>
      </c>
      <c r="U48" s="68">
        <v>0</v>
      </c>
      <c r="V48" s="40">
        <f t="shared" si="1"/>
        <v>4.1250000000000002E-2</v>
      </c>
    </row>
    <row r="49" spans="1:22" x14ac:dyDescent="0.3">
      <c r="A49" s="19">
        <v>46223</v>
      </c>
      <c r="B49" s="68" t="s">
        <v>122</v>
      </c>
      <c r="C49" s="68">
        <f t="shared" si="0"/>
        <v>7.4999999999999997E-3</v>
      </c>
      <c r="D49" s="68">
        <v>0</v>
      </c>
      <c r="E49" s="68">
        <v>3.7499999999999999E-3</v>
      </c>
      <c r="F49" s="68">
        <v>0</v>
      </c>
      <c r="G49" s="68">
        <v>1.5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5.0000000000000001E-3</v>
      </c>
      <c r="Q49" s="68">
        <v>0</v>
      </c>
      <c r="R49" s="68">
        <v>0</v>
      </c>
      <c r="S49" s="68">
        <v>2.5000000000000001E-2</v>
      </c>
      <c r="T49" s="68">
        <v>0</v>
      </c>
      <c r="U49" s="68">
        <v>0</v>
      </c>
      <c r="V49" s="40">
        <f t="shared" si="1"/>
        <v>1.5412499999999998</v>
      </c>
    </row>
    <row r="50" spans="1:22" x14ac:dyDescent="0.3">
      <c r="A50" s="19">
        <v>46223</v>
      </c>
      <c r="B50" s="68" t="s">
        <v>121</v>
      </c>
      <c r="C50" s="68">
        <f t="shared" si="0"/>
        <v>7.4999999999999997E-3</v>
      </c>
      <c r="D50" s="68">
        <v>0</v>
      </c>
      <c r="E50" s="68">
        <v>3.7499999999999999E-3</v>
      </c>
      <c r="F50" s="68">
        <v>0</v>
      </c>
      <c r="G50" s="68">
        <v>1.5</v>
      </c>
      <c r="H50" s="68">
        <v>0</v>
      </c>
      <c r="I50" s="68">
        <v>0.75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5.0000000000000001E-3</v>
      </c>
      <c r="Q50" s="68">
        <v>0</v>
      </c>
      <c r="R50" s="68">
        <v>0</v>
      </c>
      <c r="S50" s="68">
        <v>2.5000000000000001E-2</v>
      </c>
      <c r="T50" s="68">
        <v>0</v>
      </c>
      <c r="U50" s="68">
        <v>0</v>
      </c>
      <c r="V50" s="40">
        <f t="shared" si="1"/>
        <v>2.2912499999999998</v>
      </c>
    </row>
    <row r="51" spans="1:22" x14ac:dyDescent="0.3">
      <c r="A51" s="19">
        <v>46223</v>
      </c>
      <c r="B51" s="68" t="s">
        <v>120</v>
      </c>
      <c r="C51" s="68">
        <f t="shared" si="0"/>
        <v>7.4999999999999997E-3</v>
      </c>
      <c r="D51" s="68">
        <v>0</v>
      </c>
      <c r="E51" s="68">
        <v>0</v>
      </c>
      <c r="F51" s="68">
        <v>0</v>
      </c>
      <c r="G51" s="68">
        <v>1.5</v>
      </c>
      <c r="H51" s="68">
        <v>0</v>
      </c>
      <c r="I51" s="68">
        <v>0.75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5.0000000000000001E-3</v>
      </c>
      <c r="Q51" s="68">
        <v>0</v>
      </c>
      <c r="R51" s="68">
        <v>0</v>
      </c>
      <c r="S51" s="68">
        <v>0</v>
      </c>
      <c r="T51" s="68">
        <v>0</v>
      </c>
      <c r="U51" s="68">
        <v>0</v>
      </c>
      <c r="V51" s="40">
        <f t="shared" si="1"/>
        <v>2.2625000000000002</v>
      </c>
    </row>
    <row r="52" spans="1:22" x14ac:dyDescent="0.3">
      <c r="A52" s="19">
        <v>46223</v>
      </c>
      <c r="B52" s="68" t="s">
        <v>119</v>
      </c>
      <c r="C52" s="68">
        <f t="shared" si="0"/>
        <v>7.4999999999999997E-3</v>
      </c>
      <c r="D52" s="68">
        <v>0</v>
      </c>
      <c r="E52" s="68">
        <v>0</v>
      </c>
      <c r="F52" s="68">
        <v>0</v>
      </c>
      <c r="G52" s="68">
        <v>1.5</v>
      </c>
      <c r="H52" s="68">
        <v>0</v>
      </c>
      <c r="I52" s="68">
        <v>0.75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5.0000000000000001E-3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40">
        <f t="shared" si="1"/>
        <v>2.2625000000000002</v>
      </c>
    </row>
    <row r="53" spans="1:22" x14ac:dyDescent="0.3">
      <c r="A53" s="19">
        <v>46223</v>
      </c>
      <c r="B53" s="68" t="s">
        <v>118</v>
      </c>
      <c r="C53" s="68">
        <f t="shared" si="0"/>
        <v>7.4999999999999997E-3</v>
      </c>
      <c r="D53" s="68">
        <v>0</v>
      </c>
      <c r="E53" s="68">
        <v>0</v>
      </c>
      <c r="F53" s="68">
        <v>0</v>
      </c>
      <c r="G53" s="68">
        <v>0</v>
      </c>
      <c r="H53" s="68">
        <v>0</v>
      </c>
      <c r="I53" s="68">
        <v>0.75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5.0000000000000001E-3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40">
        <f t="shared" si="1"/>
        <v>0.76249999999999996</v>
      </c>
    </row>
    <row r="54" spans="1:22" x14ac:dyDescent="0.3">
      <c r="A54" s="19">
        <v>46223</v>
      </c>
      <c r="B54" s="68" t="s">
        <v>117</v>
      </c>
      <c r="C54" s="68">
        <f t="shared" si="0"/>
        <v>7.4999999999999997E-3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0.75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5.0000000000000001E-3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40">
        <f t="shared" si="1"/>
        <v>0.76249999999999996</v>
      </c>
    </row>
    <row r="55" spans="1:22" x14ac:dyDescent="0.3">
      <c r="A55" s="19">
        <v>46223</v>
      </c>
      <c r="B55" s="4" t="s">
        <v>116</v>
      </c>
      <c r="C55" s="4">
        <f t="shared" si="0"/>
        <v>7.4999999999999997E-3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0.55000000000000004</v>
      </c>
      <c r="O55" s="4">
        <v>0</v>
      </c>
      <c r="P55" s="4">
        <v>5.0000000000000001E-3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0">
        <f t="shared" si="1"/>
        <v>0.5625</v>
      </c>
    </row>
    <row r="56" spans="1:22" x14ac:dyDescent="0.3">
      <c r="A56" s="19">
        <v>46223</v>
      </c>
      <c r="B56" s="4" t="s">
        <v>115</v>
      </c>
      <c r="C56" s="4">
        <f t="shared" si="0"/>
        <v>7.4999999999999997E-3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0.55000000000000004</v>
      </c>
      <c r="O56" s="4">
        <v>0</v>
      </c>
      <c r="P56" s="4">
        <v>5.0000000000000001E-3</v>
      </c>
      <c r="Q56" s="4">
        <v>0</v>
      </c>
      <c r="R56" s="4">
        <v>3.2500000000000001E-2</v>
      </c>
      <c r="S56" s="4">
        <v>0</v>
      </c>
      <c r="T56" s="4">
        <v>0</v>
      </c>
      <c r="U56" s="4">
        <v>0</v>
      </c>
      <c r="V56" s="40">
        <f t="shared" si="1"/>
        <v>0.59499999999999997</v>
      </c>
    </row>
    <row r="57" spans="1:22" x14ac:dyDescent="0.3">
      <c r="A57" s="19">
        <v>46223</v>
      </c>
      <c r="B57" s="4" t="s">
        <v>114</v>
      </c>
      <c r="C57" s="4">
        <f t="shared" si="0"/>
        <v>7.4999999999999997E-3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0.55000000000000004</v>
      </c>
      <c r="O57" s="4">
        <v>0</v>
      </c>
      <c r="P57" s="4">
        <v>5.0000000000000001E-3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0">
        <f t="shared" si="1"/>
        <v>0.5625</v>
      </c>
    </row>
    <row r="58" spans="1:22" x14ac:dyDescent="0.3">
      <c r="A58" s="19">
        <v>46223</v>
      </c>
      <c r="B58" s="4" t="s">
        <v>113</v>
      </c>
      <c r="C58" s="4">
        <f t="shared" si="0"/>
        <v>7.4999999999999997E-3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6.25E-2</v>
      </c>
      <c r="L58" s="4">
        <v>0</v>
      </c>
      <c r="M58" s="4">
        <v>0</v>
      </c>
      <c r="N58" s="4">
        <v>0.55000000000000004</v>
      </c>
      <c r="O58" s="4">
        <v>0</v>
      </c>
      <c r="P58" s="4">
        <v>5.0000000000000001E-3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0">
        <f t="shared" si="1"/>
        <v>0.62500000000000011</v>
      </c>
    </row>
    <row r="59" spans="1:22" x14ac:dyDescent="0.3">
      <c r="A59" s="19">
        <v>46223</v>
      </c>
      <c r="B59" s="4" t="s">
        <v>112</v>
      </c>
      <c r="C59" s="4">
        <f t="shared" si="0"/>
        <v>7.4999999999999997E-3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6.25E-2</v>
      </c>
      <c r="L59" s="4">
        <v>0</v>
      </c>
      <c r="M59" s="4">
        <v>0</v>
      </c>
      <c r="N59" s="4">
        <v>0.55000000000000004</v>
      </c>
      <c r="O59" s="4">
        <v>0</v>
      </c>
      <c r="P59" s="4">
        <v>5.0000000000000001E-3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0">
        <f t="shared" si="1"/>
        <v>0.62500000000000011</v>
      </c>
    </row>
    <row r="60" spans="1:22" x14ac:dyDescent="0.3">
      <c r="A60" s="19">
        <v>46223</v>
      </c>
      <c r="B60" s="4" t="s">
        <v>111</v>
      </c>
      <c r="C60" s="4">
        <f t="shared" si="0"/>
        <v>7.4999999999999997E-3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6.25E-2</v>
      </c>
      <c r="L60" s="4">
        <v>0</v>
      </c>
      <c r="M60" s="4">
        <v>0</v>
      </c>
      <c r="N60" s="4">
        <v>0</v>
      </c>
      <c r="O60" s="4">
        <v>0</v>
      </c>
      <c r="P60" s="4">
        <v>5.0000000000000001E-3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0">
        <f t="shared" si="1"/>
        <v>7.5000000000000011E-2</v>
      </c>
    </row>
    <row r="61" spans="1:22" x14ac:dyDescent="0.3">
      <c r="A61" s="19">
        <v>46223</v>
      </c>
      <c r="B61" s="4" t="s">
        <v>110</v>
      </c>
      <c r="C61" s="4">
        <f t="shared" si="0"/>
        <v>7.4999999999999997E-3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6.25E-2</v>
      </c>
      <c r="L61" s="4">
        <v>0</v>
      </c>
      <c r="M61" s="4">
        <v>0</v>
      </c>
      <c r="N61" s="4">
        <v>0</v>
      </c>
      <c r="O61" s="4">
        <v>0</v>
      </c>
      <c r="P61" s="4">
        <v>5.0000000000000001E-3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0">
        <f t="shared" si="1"/>
        <v>7.5000000000000011E-2</v>
      </c>
    </row>
    <row r="62" spans="1:22" x14ac:dyDescent="0.3">
      <c r="A62" s="19">
        <v>46223</v>
      </c>
      <c r="B62" s="4" t="s">
        <v>109</v>
      </c>
      <c r="C62" s="4">
        <f t="shared" si="0"/>
        <v>7.4999999999999997E-3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2.1250000000000002E-2</v>
      </c>
      <c r="K62" s="4">
        <v>6.25E-2</v>
      </c>
      <c r="L62" s="4">
        <v>0</v>
      </c>
      <c r="M62" s="4">
        <v>0</v>
      </c>
      <c r="N62" s="4">
        <v>0</v>
      </c>
      <c r="O62" s="4">
        <v>0</v>
      </c>
      <c r="P62" s="4">
        <v>5.0000000000000001E-3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0">
        <f t="shared" si="1"/>
        <v>9.6250000000000002E-2</v>
      </c>
    </row>
    <row r="63" spans="1:22" x14ac:dyDescent="0.3">
      <c r="A63" s="19">
        <v>46223</v>
      </c>
      <c r="B63" s="4" t="s">
        <v>108</v>
      </c>
      <c r="C63" s="4">
        <f t="shared" si="0"/>
        <v>7.4999999999999997E-3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2.1250000000000002E-2</v>
      </c>
      <c r="K63" s="4">
        <v>6.25E-2</v>
      </c>
      <c r="L63" s="4">
        <v>0</v>
      </c>
      <c r="M63" s="4">
        <v>0</v>
      </c>
      <c r="N63" s="4">
        <v>0</v>
      </c>
      <c r="O63" s="4">
        <v>0</v>
      </c>
      <c r="P63" s="4">
        <v>5.0000000000000001E-3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0">
        <f t="shared" si="1"/>
        <v>9.6250000000000002E-2</v>
      </c>
    </row>
    <row r="64" spans="1:22" x14ac:dyDescent="0.3">
      <c r="A64" s="19">
        <v>46223</v>
      </c>
      <c r="B64" s="4" t="s">
        <v>107</v>
      </c>
      <c r="C64" s="4">
        <f t="shared" si="0"/>
        <v>7.4999999999999997E-3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2.1250000000000002E-2</v>
      </c>
      <c r="K64" s="4">
        <v>6.25E-2</v>
      </c>
      <c r="L64" s="4">
        <v>0</v>
      </c>
      <c r="M64" s="4">
        <v>0</v>
      </c>
      <c r="N64" s="4">
        <v>0</v>
      </c>
      <c r="O64" s="4">
        <v>0</v>
      </c>
      <c r="P64" s="4">
        <v>5.0000000000000001E-3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0">
        <f t="shared" si="1"/>
        <v>9.6250000000000002E-2</v>
      </c>
    </row>
    <row r="65" spans="1:22" x14ac:dyDescent="0.3">
      <c r="A65" s="19">
        <v>46223</v>
      </c>
      <c r="B65" s="4" t="s">
        <v>106</v>
      </c>
      <c r="C65" s="4">
        <f t="shared" si="0"/>
        <v>7.4999999999999997E-3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2.1250000000000002E-2</v>
      </c>
      <c r="K65" s="4">
        <v>6.25E-2</v>
      </c>
      <c r="L65" s="4">
        <v>0</v>
      </c>
      <c r="M65" s="4">
        <v>0</v>
      </c>
      <c r="N65" s="4">
        <v>0</v>
      </c>
      <c r="O65" s="4">
        <v>0</v>
      </c>
      <c r="P65" s="4">
        <v>5.0000000000000001E-3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0">
        <f t="shared" si="1"/>
        <v>9.6250000000000002E-2</v>
      </c>
    </row>
    <row r="66" spans="1:22" x14ac:dyDescent="0.3">
      <c r="A66" s="19">
        <v>46223</v>
      </c>
      <c r="B66" s="68" t="s">
        <v>105</v>
      </c>
      <c r="C66" s="68">
        <f t="shared" si="0"/>
        <v>7.4999999999999997E-3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2.1250000000000002E-2</v>
      </c>
      <c r="K66" s="68">
        <v>6.25E-2</v>
      </c>
      <c r="L66" s="68">
        <v>0</v>
      </c>
      <c r="M66" s="68">
        <v>0</v>
      </c>
      <c r="N66" s="68">
        <v>0</v>
      </c>
      <c r="O66" s="68">
        <v>0</v>
      </c>
      <c r="P66" s="68">
        <v>5.0000000000000001E-3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40">
        <f t="shared" si="1"/>
        <v>9.6250000000000002E-2</v>
      </c>
    </row>
    <row r="67" spans="1:22" x14ac:dyDescent="0.3">
      <c r="A67" s="19">
        <v>46223</v>
      </c>
      <c r="B67" s="68" t="s">
        <v>104</v>
      </c>
      <c r="C67" s="68">
        <f t="shared" ref="C67:C97" si="2">0.0075</f>
        <v>7.4999999999999997E-3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2.1250000000000002E-2</v>
      </c>
      <c r="K67" s="68">
        <v>6.25E-2</v>
      </c>
      <c r="L67" s="68">
        <v>0</v>
      </c>
      <c r="M67" s="68">
        <v>0</v>
      </c>
      <c r="N67" s="68">
        <v>0</v>
      </c>
      <c r="O67" s="68">
        <v>0</v>
      </c>
      <c r="P67" s="68">
        <v>5.0000000000000001E-3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40">
        <f t="shared" ref="V67:V97" si="3">C67+D67+E67+F67+G67+H67+I67+J67+K67+L67+M67+N67+O67+P67+Q67+R67+S67+T67+U67</f>
        <v>9.6250000000000002E-2</v>
      </c>
    </row>
    <row r="68" spans="1:22" x14ac:dyDescent="0.3">
      <c r="A68" s="19">
        <v>46223</v>
      </c>
      <c r="B68" s="68" t="s">
        <v>103</v>
      </c>
      <c r="C68" s="68">
        <f t="shared" si="2"/>
        <v>7.4999999999999997E-3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2.1250000000000002E-2</v>
      </c>
      <c r="K68" s="68">
        <v>6.25E-2</v>
      </c>
      <c r="L68" s="68">
        <v>0</v>
      </c>
      <c r="M68" s="68">
        <v>0</v>
      </c>
      <c r="N68" s="68">
        <v>0</v>
      </c>
      <c r="O68" s="68">
        <v>0</v>
      </c>
      <c r="P68" s="68">
        <v>5.0000000000000001E-3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40">
        <f t="shared" si="3"/>
        <v>9.6250000000000002E-2</v>
      </c>
    </row>
    <row r="69" spans="1:22" x14ac:dyDescent="0.3">
      <c r="A69" s="19">
        <v>46223</v>
      </c>
      <c r="B69" s="68" t="s">
        <v>102</v>
      </c>
      <c r="C69" s="68">
        <f t="shared" si="2"/>
        <v>7.4999999999999997E-3</v>
      </c>
      <c r="D69" s="68">
        <v>0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2.1250000000000002E-2</v>
      </c>
      <c r="K69" s="68">
        <v>6.25E-2</v>
      </c>
      <c r="L69" s="68">
        <v>0</v>
      </c>
      <c r="M69" s="68">
        <v>0</v>
      </c>
      <c r="N69" s="68">
        <v>0</v>
      </c>
      <c r="O69" s="68">
        <v>0</v>
      </c>
      <c r="P69" s="68">
        <v>5.0000000000000001E-3</v>
      </c>
      <c r="Q69" s="68">
        <v>0</v>
      </c>
      <c r="R69" s="68">
        <v>0</v>
      </c>
      <c r="S69" s="68">
        <v>0</v>
      </c>
      <c r="T69" s="68">
        <v>0</v>
      </c>
      <c r="U69" s="68">
        <v>0</v>
      </c>
      <c r="V69" s="40">
        <f t="shared" si="3"/>
        <v>9.6250000000000002E-2</v>
      </c>
    </row>
    <row r="70" spans="1:22" x14ac:dyDescent="0.3">
      <c r="A70" s="19">
        <v>46223</v>
      </c>
      <c r="B70" s="68" t="s">
        <v>101</v>
      </c>
      <c r="C70" s="68">
        <f t="shared" si="2"/>
        <v>7.4999999999999997E-3</v>
      </c>
      <c r="D70" s="68">
        <v>0</v>
      </c>
      <c r="E70" s="68">
        <v>0</v>
      </c>
      <c r="F70" s="68">
        <v>0</v>
      </c>
      <c r="G70" s="68">
        <v>0</v>
      </c>
      <c r="H70" s="68">
        <v>0</v>
      </c>
      <c r="I70" s="68">
        <v>0</v>
      </c>
      <c r="J70" s="68">
        <v>2.1250000000000002E-2</v>
      </c>
      <c r="K70" s="68">
        <v>6.25E-2</v>
      </c>
      <c r="L70" s="68">
        <v>0</v>
      </c>
      <c r="M70" s="68">
        <v>0</v>
      </c>
      <c r="N70" s="68">
        <v>0</v>
      </c>
      <c r="O70" s="68">
        <v>0</v>
      </c>
      <c r="P70" s="68">
        <v>5.0000000000000001E-3</v>
      </c>
      <c r="Q70" s="68">
        <v>0</v>
      </c>
      <c r="R70" s="68">
        <v>0</v>
      </c>
      <c r="S70" s="68">
        <v>0</v>
      </c>
      <c r="T70" s="68">
        <v>0</v>
      </c>
      <c r="U70" s="68">
        <v>0</v>
      </c>
      <c r="V70" s="40">
        <f t="shared" si="3"/>
        <v>9.6250000000000002E-2</v>
      </c>
    </row>
    <row r="71" spans="1:22" x14ac:dyDescent="0.3">
      <c r="A71" s="19">
        <v>46223</v>
      </c>
      <c r="B71" s="68" t="s">
        <v>100</v>
      </c>
      <c r="C71" s="68">
        <f t="shared" si="2"/>
        <v>7.4999999999999997E-3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2.1250000000000002E-2</v>
      </c>
      <c r="K71" s="68">
        <v>6.25E-2</v>
      </c>
      <c r="L71" s="68">
        <v>0</v>
      </c>
      <c r="M71" s="68">
        <v>0</v>
      </c>
      <c r="N71" s="68">
        <v>0</v>
      </c>
      <c r="O71" s="68">
        <v>0</v>
      </c>
      <c r="P71" s="68">
        <v>5.0000000000000001E-3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40">
        <f t="shared" si="3"/>
        <v>9.6250000000000002E-2</v>
      </c>
    </row>
    <row r="72" spans="1:22" x14ac:dyDescent="0.3">
      <c r="A72" s="19">
        <v>46223</v>
      </c>
      <c r="B72" s="68" t="s">
        <v>99</v>
      </c>
      <c r="C72" s="68">
        <f t="shared" si="2"/>
        <v>7.4999999999999997E-3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2.1250000000000002E-2</v>
      </c>
      <c r="K72" s="68">
        <v>6.25E-2</v>
      </c>
      <c r="L72" s="68">
        <v>0</v>
      </c>
      <c r="M72" s="68">
        <v>0</v>
      </c>
      <c r="N72" s="68">
        <v>0</v>
      </c>
      <c r="O72" s="68">
        <v>0</v>
      </c>
      <c r="P72" s="68">
        <v>5.0000000000000001E-3</v>
      </c>
      <c r="Q72" s="68">
        <v>0</v>
      </c>
      <c r="R72" s="68">
        <v>0</v>
      </c>
      <c r="S72" s="68">
        <v>0</v>
      </c>
      <c r="T72" s="68">
        <v>0</v>
      </c>
      <c r="U72" s="68">
        <v>7.4999999999999997E-3</v>
      </c>
      <c r="V72" s="40">
        <f t="shared" si="3"/>
        <v>0.10375000000000001</v>
      </c>
    </row>
    <row r="73" spans="1:22" x14ac:dyDescent="0.3">
      <c r="A73" s="19">
        <v>46223</v>
      </c>
      <c r="B73" s="68" t="s">
        <v>98</v>
      </c>
      <c r="C73" s="68">
        <f t="shared" si="2"/>
        <v>7.4999999999999997E-3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2.1250000000000002E-2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5.0000000000000001E-3</v>
      </c>
      <c r="Q73" s="68">
        <v>0</v>
      </c>
      <c r="R73" s="68">
        <v>0</v>
      </c>
      <c r="S73" s="68">
        <v>0</v>
      </c>
      <c r="T73" s="68">
        <v>0</v>
      </c>
      <c r="U73" s="68">
        <v>7.4999999999999997E-3</v>
      </c>
      <c r="V73" s="40">
        <f t="shared" si="3"/>
        <v>4.1250000000000002E-2</v>
      </c>
    </row>
    <row r="74" spans="1:22" x14ac:dyDescent="0.3">
      <c r="A74" s="19">
        <v>46223</v>
      </c>
      <c r="B74" s="68" t="s">
        <v>97</v>
      </c>
      <c r="C74" s="68">
        <f t="shared" si="2"/>
        <v>7.4999999999999997E-3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2.1250000000000002E-2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5.0000000000000001E-3</v>
      </c>
      <c r="Q74" s="68">
        <v>0</v>
      </c>
      <c r="R74" s="68">
        <v>0</v>
      </c>
      <c r="S74" s="68">
        <v>0</v>
      </c>
      <c r="T74" s="68">
        <v>0</v>
      </c>
      <c r="U74" s="68">
        <v>7.4999999999999997E-3</v>
      </c>
      <c r="V74" s="40">
        <f t="shared" si="3"/>
        <v>4.1250000000000002E-2</v>
      </c>
    </row>
    <row r="75" spans="1:22" x14ac:dyDescent="0.3">
      <c r="A75" s="19">
        <v>46223</v>
      </c>
      <c r="B75" s="4" t="s">
        <v>96</v>
      </c>
      <c r="C75" s="4">
        <f t="shared" si="2"/>
        <v>7.4999999999999997E-3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5.0000000000000001E-3</v>
      </c>
      <c r="Q75" s="4">
        <v>0</v>
      </c>
      <c r="R75" s="4">
        <v>0</v>
      </c>
      <c r="S75" s="4">
        <v>0</v>
      </c>
      <c r="T75" s="4">
        <v>0</v>
      </c>
      <c r="U75" s="4">
        <v>7.4999999999999997E-3</v>
      </c>
      <c r="V75" s="40">
        <f t="shared" si="3"/>
        <v>0.02</v>
      </c>
    </row>
    <row r="76" spans="1:22" x14ac:dyDescent="0.3">
      <c r="A76" s="19">
        <v>46223</v>
      </c>
      <c r="B76" s="4" t="s">
        <v>95</v>
      </c>
      <c r="C76" s="4">
        <f t="shared" si="2"/>
        <v>7.4999999999999997E-3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5.0000000000000001E-3</v>
      </c>
      <c r="Q76" s="4">
        <v>0</v>
      </c>
      <c r="R76" s="4">
        <v>3.2500000000000001E-2</v>
      </c>
      <c r="S76" s="4">
        <v>0</v>
      </c>
      <c r="T76" s="4">
        <v>0</v>
      </c>
      <c r="U76" s="4">
        <v>7.4999999999999997E-3</v>
      </c>
      <c r="V76" s="40">
        <f t="shared" si="3"/>
        <v>5.2499999999999998E-2</v>
      </c>
    </row>
    <row r="77" spans="1:22" x14ac:dyDescent="0.3">
      <c r="A77" s="19">
        <v>46223</v>
      </c>
      <c r="B77" s="4" t="s">
        <v>94</v>
      </c>
      <c r="C77" s="4">
        <f t="shared" si="2"/>
        <v>7.4999999999999997E-3</v>
      </c>
      <c r="D77" s="4">
        <v>0</v>
      </c>
      <c r="E77" s="4">
        <v>0</v>
      </c>
      <c r="F77" s="4">
        <v>0</v>
      </c>
      <c r="G77" s="4">
        <v>1.5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5.0000000000000001E-3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0">
        <f t="shared" si="3"/>
        <v>1.5125</v>
      </c>
    </row>
    <row r="78" spans="1:22" x14ac:dyDescent="0.3">
      <c r="A78" s="19">
        <v>46223</v>
      </c>
      <c r="B78" s="4" t="s">
        <v>93</v>
      </c>
      <c r="C78" s="4">
        <f t="shared" si="2"/>
        <v>7.4999999999999997E-3</v>
      </c>
      <c r="D78" s="4">
        <v>0</v>
      </c>
      <c r="E78" s="4">
        <v>0</v>
      </c>
      <c r="F78" s="4">
        <v>0</v>
      </c>
      <c r="G78" s="4">
        <v>1.5</v>
      </c>
      <c r="H78" s="4">
        <v>0.375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5.0000000000000001E-3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0">
        <f t="shared" si="3"/>
        <v>1.8875</v>
      </c>
    </row>
    <row r="79" spans="1:22" x14ac:dyDescent="0.3">
      <c r="A79" s="19">
        <v>46223</v>
      </c>
      <c r="B79" s="4" t="s">
        <v>92</v>
      </c>
      <c r="C79" s="4">
        <f t="shared" si="2"/>
        <v>7.4999999999999997E-3</v>
      </c>
      <c r="D79" s="4">
        <v>0</v>
      </c>
      <c r="E79" s="4">
        <v>0</v>
      </c>
      <c r="F79" s="4">
        <v>0</v>
      </c>
      <c r="G79" s="4">
        <v>1.5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5.0000000000000001E-3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0">
        <f t="shared" si="3"/>
        <v>1.5125</v>
      </c>
    </row>
    <row r="80" spans="1:22" x14ac:dyDescent="0.3">
      <c r="A80" s="19">
        <v>46223</v>
      </c>
      <c r="B80" s="4" t="s">
        <v>91</v>
      </c>
      <c r="C80" s="4">
        <f t="shared" si="2"/>
        <v>7.4999999999999997E-3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5.0000000000000001E-3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0">
        <f t="shared" si="3"/>
        <v>1.2500000000000001E-2</v>
      </c>
    </row>
    <row r="81" spans="1:22" x14ac:dyDescent="0.3">
      <c r="A81" s="19">
        <v>46223</v>
      </c>
      <c r="B81" s="4" t="s">
        <v>90</v>
      </c>
      <c r="C81" s="4">
        <f t="shared" si="2"/>
        <v>7.4999999999999997E-3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5.0000000000000001E-3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0">
        <f t="shared" si="3"/>
        <v>1.2500000000000001E-2</v>
      </c>
    </row>
    <row r="82" spans="1:22" x14ac:dyDescent="0.3">
      <c r="A82" s="19">
        <v>46223</v>
      </c>
      <c r="B82" s="4" t="s">
        <v>89</v>
      </c>
      <c r="C82" s="4">
        <f t="shared" si="2"/>
        <v>7.4999999999999997E-3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2.1250000000000002E-2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5.0000000000000001E-3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0">
        <f t="shared" si="3"/>
        <v>3.3750000000000002E-2</v>
      </c>
    </row>
    <row r="83" spans="1:22" x14ac:dyDescent="0.3">
      <c r="A83" s="19">
        <v>46223</v>
      </c>
      <c r="B83" s="4" t="s">
        <v>88</v>
      </c>
      <c r="C83" s="4">
        <f t="shared" si="2"/>
        <v>7.4999999999999997E-3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2.1250000000000002E-2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5.0000000000000001E-3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0">
        <f t="shared" si="3"/>
        <v>3.3750000000000002E-2</v>
      </c>
    </row>
    <row r="84" spans="1:22" x14ac:dyDescent="0.3">
      <c r="A84" s="19">
        <v>46223</v>
      </c>
      <c r="B84" s="4" t="s">
        <v>87</v>
      </c>
      <c r="C84" s="4">
        <f t="shared" si="2"/>
        <v>7.4999999999999997E-3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2.1250000000000002E-2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5.0000000000000001E-3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0">
        <f t="shared" si="3"/>
        <v>3.3750000000000002E-2</v>
      </c>
    </row>
    <row r="85" spans="1:22" x14ac:dyDescent="0.3">
      <c r="A85" s="19">
        <v>46223</v>
      </c>
      <c r="B85" s="4" t="s">
        <v>86</v>
      </c>
      <c r="C85" s="4">
        <f t="shared" si="2"/>
        <v>7.4999999999999997E-3</v>
      </c>
      <c r="D85" s="4">
        <v>1.5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2.1250000000000002E-2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5.0000000000000001E-3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0">
        <f t="shared" si="3"/>
        <v>1.5337499999999999</v>
      </c>
    </row>
    <row r="86" spans="1:22" x14ac:dyDescent="0.3">
      <c r="A86" s="19">
        <v>46223</v>
      </c>
      <c r="B86" s="4" t="s">
        <v>85</v>
      </c>
      <c r="C86" s="4">
        <f t="shared" si="2"/>
        <v>7.4999999999999997E-3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2.1250000000000002E-2</v>
      </c>
      <c r="K86" s="4">
        <v>0</v>
      </c>
      <c r="L86" s="4">
        <v>0</v>
      </c>
      <c r="M86" s="4">
        <v>0</v>
      </c>
      <c r="N86" s="4">
        <v>0</v>
      </c>
      <c r="O86" s="4">
        <v>6.0000000000000001E-3</v>
      </c>
      <c r="P86" s="4">
        <v>5.0000000000000001E-3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0">
        <f t="shared" si="3"/>
        <v>3.9750000000000001E-2</v>
      </c>
    </row>
    <row r="87" spans="1:22" x14ac:dyDescent="0.3">
      <c r="A87" s="19">
        <v>46223</v>
      </c>
      <c r="B87" s="4" t="s">
        <v>84</v>
      </c>
      <c r="C87" s="4">
        <f t="shared" si="2"/>
        <v>7.4999999999999997E-3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2.1250000000000002E-2</v>
      </c>
      <c r="K87" s="4">
        <v>0</v>
      </c>
      <c r="L87" s="4">
        <v>0</v>
      </c>
      <c r="M87" s="4">
        <v>0</v>
      </c>
      <c r="N87" s="4">
        <v>0</v>
      </c>
      <c r="O87" s="4">
        <v>6.0000000000000001E-3</v>
      </c>
      <c r="P87" s="4">
        <v>5.0000000000000001E-3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0">
        <f t="shared" si="3"/>
        <v>3.9750000000000001E-2</v>
      </c>
    </row>
    <row r="88" spans="1:22" x14ac:dyDescent="0.3">
      <c r="A88" s="19">
        <v>46223</v>
      </c>
      <c r="B88" s="4" t="s">
        <v>83</v>
      </c>
      <c r="C88" s="4">
        <f t="shared" si="2"/>
        <v>7.4999999999999997E-3</v>
      </c>
      <c r="D88" s="4">
        <v>1.5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2.1250000000000002E-2</v>
      </c>
      <c r="K88" s="4">
        <v>0</v>
      </c>
      <c r="L88" s="4">
        <v>0</v>
      </c>
      <c r="M88" s="4">
        <v>0</v>
      </c>
      <c r="N88" s="4">
        <v>0</v>
      </c>
      <c r="O88" s="4">
        <v>0.01</v>
      </c>
      <c r="P88" s="4">
        <v>5.0000000000000001E-3</v>
      </c>
      <c r="Q88" s="4">
        <v>0.05</v>
      </c>
      <c r="R88" s="4">
        <v>0</v>
      </c>
      <c r="S88" s="4">
        <v>0</v>
      </c>
      <c r="T88" s="4">
        <v>0</v>
      </c>
      <c r="U88" s="4">
        <v>0</v>
      </c>
      <c r="V88" s="40">
        <f t="shared" si="3"/>
        <v>1.59375</v>
      </c>
    </row>
    <row r="89" spans="1:22" x14ac:dyDescent="0.3">
      <c r="A89" s="19">
        <v>46223</v>
      </c>
      <c r="B89" s="4" t="s">
        <v>82</v>
      </c>
      <c r="C89" s="4">
        <f t="shared" si="2"/>
        <v>7.4999999999999997E-3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2.1250000000000002E-2</v>
      </c>
      <c r="K89" s="4">
        <v>0</v>
      </c>
      <c r="L89" s="4">
        <v>0</v>
      </c>
      <c r="M89" s="4">
        <v>0</v>
      </c>
      <c r="N89" s="4">
        <v>0</v>
      </c>
      <c r="O89" s="4">
        <v>0.01</v>
      </c>
      <c r="P89" s="4">
        <v>5.0000000000000001E-3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0">
        <f t="shared" si="3"/>
        <v>4.3749999999999997E-2</v>
      </c>
    </row>
    <row r="90" spans="1:22" x14ac:dyDescent="0.3">
      <c r="A90" s="19">
        <v>46223</v>
      </c>
      <c r="B90" s="4" t="s">
        <v>81</v>
      </c>
      <c r="C90" s="4">
        <f t="shared" si="2"/>
        <v>7.4999999999999997E-3</v>
      </c>
      <c r="D90" s="4">
        <v>0</v>
      </c>
      <c r="E90" s="4">
        <v>0</v>
      </c>
      <c r="F90" s="4">
        <v>1.4999999999999999E-2</v>
      </c>
      <c r="G90" s="4">
        <v>0</v>
      </c>
      <c r="H90" s="4">
        <v>0</v>
      </c>
      <c r="I90" s="4">
        <v>0</v>
      </c>
      <c r="J90" s="4">
        <v>2.1250000000000002E-2</v>
      </c>
      <c r="K90" s="4">
        <v>0</v>
      </c>
      <c r="L90" s="4">
        <v>0</v>
      </c>
      <c r="M90" s="4">
        <v>0</v>
      </c>
      <c r="N90" s="4">
        <v>0</v>
      </c>
      <c r="O90" s="4">
        <v>0.01</v>
      </c>
      <c r="P90" s="4">
        <v>5.0000000000000001E-3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0">
        <f t="shared" si="3"/>
        <v>5.8749999999999997E-2</v>
      </c>
    </row>
    <row r="91" spans="1:22" x14ac:dyDescent="0.3">
      <c r="A91" s="19">
        <v>46223</v>
      </c>
      <c r="B91" s="4" t="s">
        <v>80</v>
      </c>
      <c r="C91" s="4">
        <f t="shared" si="2"/>
        <v>7.4999999999999997E-3</v>
      </c>
      <c r="D91" s="4">
        <v>0</v>
      </c>
      <c r="E91" s="4">
        <v>0</v>
      </c>
      <c r="F91" s="4">
        <v>1.4999999999999999E-2</v>
      </c>
      <c r="G91" s="4">
        <v>0</v>
      </c>
      <c r="H91" s="4">
        <v>0</v>
      </c>
      <c r="I91" s="4">
        <v>0</v>
      </c>
      <c r="J91" s="4">
        <v>2.1250000000000002E-2</v>
      </c>
      <c r="K91" s="4">
        <v>0</v>
      </c>
      <c r="L91" s="4">
        <v>0</v>
      </c>
      <c r="M91" s="4">
        <v>0</v>
      </c>
      <c r="N91" s="4">
        <v>0</v>
      </c>
      <c r="O91" s="4">
        <v>0.01</v>
      </c>
      <c r="P91" s="4">
        <v>5.0000000000000001E-3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0">
        <f t="shared" si="3"/>
        <v>5.8749999999999997E-2</v>
      </c>
    </row>
    <row r="92" spans="1:22" x14ac:dyDescent="0.3">
      <c r="A92" s="19">
        <v>46223</v>
      </c>
      <c r="B92" s="4" t="s">
        <v>79</v>
      </c>
      <c r="C92" s="4">
        <f t="shared" si="2"/>
        <v>7.4999999999999997E-3</v>
      </c>
      <c r="D92" s="4">
        <v>1.5</v>
      </c>
      <c r="E92" s="4">
        <v>0</v>
      </c>
      <c r="F92" s="4">
        <v>1.4999999999999999E-2</v>
      </c>
      <c r="G92" s="4">
        <v>0</v>
      </c>
      <c r="H92" s="4">
        <v>0</v>
      </c>
      <c r="I92" s="4">
        <v>0</v>
      </c>
      <c r="J92" s="4">
        <v>2.1250000000000002E-2</v>
      </c>
      <c r="K92" s="4">
        <v>0</v>
      </c>
      <c r="L92" s="4">
        <v>0</v>
      </c>
      <c r="M92" s="4">
        <v>0</v>
      </c>
      <c r="N92" s="4">
        <v>0</v>
      </c>
      <c r="O92" s="4">
        <v>0.01</v>
      </c>
      <c r="P92" s="4">
        <v>5.0000000000000001E-3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0">
        <f t="shared" si="3"/>
        <v>1.5587499999999999</v>
      </c>
    </row>
    <row r="93" spans="1:22" x14ac:dyDescent="0.3">
      <c r="A93" s="19">
        <v>46223</v>
      </c>
      <c r="B93" s="4" t="s">
        <v>78</v>
      </c>
      <c r="C93" s="4">
        <f t="shared" si="2"/>
        <v>7.4999999999999997E-3</v>
      </c>
      <c r="D93" s="4">
        <v>0</v>
      </c>
      <c r="E93" s="4">
        <v>0</v>
      </c>
      <c r="F93" s="4">
        <v>1.4999999999999999E-2</v>
      </c>
      <c r="G93" s="4">
        <v>0</v>
      </c>
      <c r="H93" s="4">
        <v>0</v>
      </c>
      <c r="I93" s="4">
        <v>0</v>
      </c>
      <c r="J93" s="4">
        <v>2.1250000000000002E-2</v>
      </c>
      <c r="K93" s="4">
        <v>0</v>
      </c>
      <c r="L93" s="4">
        <v>0</v>
      </c>
      <c r="M93" s="4">
        <v>0</v>
      </c>
      <c r="N93" s="4">
        <v>0</v>
      </c>
      <c r="O93" s="4">
        <v>0.01</v>
      </c>
      <c r="P93" s="4">
        <v>5.0000000000000001E-3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0">
        <f t="shared" si="3"/>
        <v>5.8749999999999997E-2</v>
      </c>
    </row>
    <row r="94" spans="1:22" x14ac:dyDescent="0.3">
      <c r="A94" s="19">
        <v>46223</v>
      </c>
      <c r="B94" s="4" t="s">
        <v>77</v>
      </c>
      <c r="C94" s="4">
        <f t="shared" si="2"/>
        <v>7.4999999999999997E-3</v>
      </c>
      <c r="D94" s="4">
        <v>0</v>
      </c>
      <c r="E94" s="4">
        <v>0</v>
      </c>
      <c r="F94" s="4">
        <v>1.4999999999999999E-2</v>
      </c>
      <c r="G94" s="4">
        <v>0</v>
      </c>
      <c r="H94" s="4">
        <v>0</v>
      </c>
      <c r="I94" s="4">
        <v>0</v>
      </c>
      <c r="J94" s="4">
        <v>2.1250000000000002E-2</v>
      </c>
      <c r="K94" s="4">
        <v>0</v>
      </c>
      <c r="L94" s="4">
        <v>0</v>
      </c>
      <c r="M94" s="4">
        <v>0</v>
      </c>
      <c r="N94" s="4">
        <v>0</v>
      </c>
      <c r="O94" s="4">
        <v>1.7999999999999999E-2</v>
      </c>
      <c r="P94" s="4">
        <v>5.0000000000000001E-3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0">
        <f t="shared" si="3"/>
        <v>6.6750000000000004E-2</v>
      </c>
    </row>
    <row r="95" spans="1:22" x14ac:dyDescent="0.3">
      <c r="A95" s="19">
        <v>46223</v>
      </c>
      <c r="B95" s="4" t="s">
        <v>76</v>
      </c>
      <c r="C95" s="4">
        <f t="shared" si="2"/>
        <v>7.4999999999999997E-3</v>
      </c>
      <c r="D95" s="4">
        <v>1.5</v>
      </c>
      <c r="E95" s="4">
        <v>0</v>
      </c>
      <c r="F95" s="4">
        <v>1.4999999999999999E-2</v>
      </c>
      <c r="G95" s="4">
        <v>0</v>
      </c>
      <c r="H95" s="4">
        <v>0</v>
      </c>
      <c r="I95" s="4">
        <v>0</v>
      </c>
      <c r="J95" s="4">
        <v>2.1250000000000002E-2</v>
      </c>
      <c r="K95" s="4">
        <v>0</v>
      </c>
      <c r="L95" s="4">
        <v>0</v>
      </c>
      <c r="M95" s="4">
        <v>0</v>
      </c>
      <c r="N95" s="4">
        <v>0</v>
      </c>
      <c r="O95" s="4">
        <v>1.7999999999999999E-2</v>
      </c>
      <c r="P95" s="4">
        <v>5.0000000000000001E-3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0">
        <f t="shared" si="3"/>
        <v>1.5667499999999999</v>
      </c>
    </row>
    <row r="96" spans="1:22" x14ac:dyDescent="0.3">
      <c r="A96" s="19">
        <v>46223</v>
      </c>
      <c r="B96" s="4" t="s">
        <v>75</v>
      </c>
      <c r="C96" s="4">
        <f t="shared" si="2"/>
        <v>7.4999999999999997E-3</v>
      </c>
      <c r="D96" s="4">
        <v>0</v>
      </c>
      <c r="E96" s="4">
        <v>0</v>
      </c>
      <c r="F96" s="4">
        <v>1.4999999999999999E-2</v>
      </c>
      <c r="G96" s="4">
        <v>0</v>
      </c>
      <c r="H96" s="4">
        <v>0</v>
      </c>
      <c r="I96" s="4">
        <v>0</v>
      </c>
      <c r="J96" s="4">
        <v>2.1250000000000002E-2</v>
      </c>
      <c r="K96" s="4">
        <v>0</v>
      </c>
      <c r="L96" s="4">
        <v>0</v>
      </c>
      <c r="M96" s="4">
        <v>0</v>
      </c>
      <c r="N96" s="4">
        <v>0</v>
      </c>
      <c r="O96" s="4">
        <v>1.7999999999999999E-2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0">
        <f t="shared" si="3"/>
        <v>6.1749999999999999E-2</v>
      </c>
    </row>
    <row r="97" spans="1:22" x14ac:dyDescent="0.3">
      <c r="A97" s="19">
        <v>46223</v>
      </c>
      <c r="B97" s="4" t="s">
        <v>74</v>
      </c>
      <c r="C97" s="4">
        <f t="shared" si="2"/>
        <v>7.4999999999999997E-3</v>
      </c>
      <c r="D97" s="4">
        <v>0</v>
      </c>
      <c r="E97" s="4">
        <v>0</v>
      </c>
      <c r="F97" s="4">
        <v>1.4999999999999999E-2</v>
      </c>
      <c r="G97" s="4">
        <v>0</v>
      </c>
      <c r="H97" s="4">
        <v>0</v>
      </c>
      <c r="I97" s="4">
        <v>0</v>
      </c>
      <c r="J97" s="4">
        <v>2.1250000000000002E-2</v>
      </c>
      <c r="K97" s="4">
        <v>0</v>
      </c>
      <c r="L97" s="4">
        <v>0</v>
      </c>
      <c r="M97" s="4">
        <v>0</v>
      </c>
      <c r="N97" s="4">
        <v>0</v>
      </c>
      <c r="O97" s="4">
        <v>1.2E-2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0">
        <f t="shared" si="3"/>
        <v>5.5749999999999994E-2</v>
      </c>
    </row>
    <row r="98" spans="1:2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>SUM(V2:V97)</f>
        <v>36.372250000000037</v>
      </c>
    </row>
    <row r="106" spans="1:22" x14ac:dyDescent="0.3">
      <c r="C106" s="17" t="s">
        <v>73</v>
      </c>
      <c r="D106" s="4"/>
      <c r="E106" s="4"/>
      <c r="F106" s="4"/>
      <c r="G106" s="4"/>
      <c r="H106" s="4"/>
    </row>
    <row r="107" spans="1:22" x14ac:dyDescent="0.3">
      <c r="C107" s="16" t="s">
        <v>72</v>
      </c>
      <c r="D107" s="15" t="s">
        <v>71</v>
      </c>
      <c r="E107" s="14"/>
      <c r="F107" s="4"/>
      <c r="G107" s="4"/>
      <c r="H107" s="4"/>
    </row>
    <row r="108" spans="1:22" x14ac:dyDescent="0.3">
      <c r="B108">
        <v>13</v>
      </c>
      <c r="C108" s="16" t="s">
        <v>70</v>
      </c>
      <c r="D108" s="15">
        <v>90</v>
      </c>
      <c r="E108" s="14" t="s">
        <v>69</v>
      </c>
      <c r="F108" s="4">
        <v>22.5</v>
      </c>
      <c r="G108" s="4">
        <v>2.2499999999999999E-2</v>
      </c>
      <c r="H108" s="4"/>
      <c r="I108" t="s">
        <v>37</v>
      </c>
      <c r="J108">
        <v>1</v>
      </c>
      <c r="K108">
        <v>0.57777699999999999</v>
      </c>
      <c r="L108">
        <v>5.7779999999999995E-4</v>
      </c>
    </row>
    <row r="109" spans="1:22" x14ac:dyDescent="0.3">
      <c r="B109">
        <v>3</v>
      </c>
      <c r="C109" s="16" t="s">
        <v>68</v>
      </c>
      <c r="D109" s="15">
        <v>60</v>
      </c>
      <c r="E109" s="14" t="s">
        <v>67</v>
      </c>
      <c r="F109" s="4">
        <v>15</v>
      </c>
      <c r="G109" s="4">
        <v>1.4999999999999999E-2</v>
      </c>
      <c r="H109" s="4"/>
      <c r="I109" t="s">
        <v>37</v>
      </c>
    </row>
    <row r="110" spans="1:22" x14ac:dyDescent="0.3">
      <c r="B110">
        <v>1</v>
      </c>
      <c r="C110" s="16" t="s">
        <v>66</v>
      </c>
      <c r="D110" s="15">
        <v>15</v>
      </c>
      <c r="E110" s="14" t="s">
        <v>65</v>
      </c>
      <c r="F110" s="4">
        <v>3.75</v>
      </c>
      <c r="G110" s="4">
        <v>3.7499999999999999E-3</v>
      </c>
      <c r="H110" s="4"/>
      <c r="I110" t="s">
        <v>37</v>
      </c>
    </row>
    <row r="111" spans="1:22" x14ac:dyDescent="0.3">
      <c r="B111">
        <v>2</v>
      </c>
      <c r="C111" s="16" t="s">
        <v>64</v>
      </c>
      <c r="D111" s="15">
        <v>20</v>
      </c>
      <c r="E111" s="14" t="s">
        <v>63</v>
      </c>
      <c r="F111" s="4">
        <v>5</v>
      </c>
      <c r="G111" s="4">
        <v>5.0000000000000001E-3</v>
      </c>
      <c r="H111" s="4"/>
      <c r="I111" t="s">
        <v>37</v>
      </c>
    </row>
    <row r="112" spans="1:22" x14ac:dyDescent="0.3">
      <c r="C112" s="16" t="s">
        <v>62</v>
      </c>
      <c r="D112" s="15">
        <v>200</v>
      </c>
      <c r="E112" s="14" t="s">
        <v>61</v>
      </c>
      <c r="F112" s="4">
        <v>50</v>
      </c>
      <c r="G112" s="4">
        <v>0.05</v>
      </c>
      <c r="H112" s="4"/>
      <c r="I112" t="s">
        <v>37</v>
      </c>
    </row>
    <row r="113" spans="2:9" x14ac:dyDescent="0.3">
      <c r="B113">
        <v>1</v>
      </c>
      <c r="C113" s="16" t="s">
        <v>60</v>
      </c>
      <c r="D113" s="15">
        <v>85</v>
      </c>
      <c r="E113" s="14" t="s">
        <v>59</v>
      </c>
      <c r="F113" s="4" t="s">
        <v>58</v>
      </c>
      <c r="G113" s="4">
        <v>2.1250000000000002E-2</v>
      </c>
      <c r="H113" s="4"/>
      <c r="I113" t="s">
        <v>37</v>
      </c>
    </row>
    <row r="114" spans="2:9" x14ac:dyDescent="0.3">
      <c r="B114">
        <v>1</v>
      </c>
      <c r="C114" s="16" t="s">
        <v>57</v>
      </c>
      <c r="D114" s="15">
        <v>250</v>
      </c>
      <c r="E114" s="14" t="s">
        <v>56</v>
      </c>
      <c r="F114" s="4">
        <v>62.5</v>
      </c>
      <c r="G114" s="4">
        <v>6.25E-2</v>
      </c>
      <c r="H114" s="4"/>
      <c r="I114" t="s">
        <v>37</v>
      </c>
    </row>
    <row r="115" spans="2:9" x14ac:dyDescent="0.3">
      <c r="B115">
        <v>1</v>
      </c>
      <c r="C115" s="16" t="s">
        <v>55</v>
      </c>
      <c r="D115" s="15">
        <v>100</v>
      </c>
      <c r="E115" s="14" t="s">
        <v>54</v>
      </c>
      <c r="F115" s="4">
        <v>25</v>
      </c>
      <c r="G115" s="4">
        <v>2.5000000000000001E-2</v>
      </c>
      <c r="H115" s="4"/>
      <c r="I115" t="s">
        <v>37</v>
      </c>
    </row>
    <row r="116" spans="2:9" x14ac:dyDescent="0.3">
      <c r="B116">
        <v>1</v>
      </c>
      <c r="C116" s="16" t="s">
        <v>53</v>
      </c>
      <c r="D116" s="15">
        <v>1300</v>
      </c>
      <c r="E116" s="14" t="s">
        <v>52</v>
      </c>
      <c r="F116" s="4">
        <v>325</v>
      </c>
      <c r="G116" s="4">
        <v>3.2500000000000001E-2</v>
      </c>
      <c r="H116" s="4"/>
      <c r="I116" t="s">
        <v>37</v>
      </c>
    </row>
    <row r="117" spans="2:9" x14ac:dyDescent="0.3">
      <c r="B117">
        <v>1</v>
      </c>
      <c r="C117" s="16" t="s">
        <v>51</v>
      </c>
      <c r="D117" s="15">
        <v>800</v>
      </c>
      <c r="E117" s="14" t="s">
        <v>50</v>
      </c>
      <c r="F117" s="4">
        <v>160</v>
      </c>
      <c r="G117" s="4">
        <v>0.16</v>
      </c>
      <c r="H117" s="4"/>
    </row>
    <row r="118" spans="2:9" x14ac:dyDescent="0.3">
      <c r="B118">
        <v>1</v>
      </c>
      <c r="C118" s="16" t="s">
        <v>49</v>
      </c>
      <c r="D118" s="15">
        <v>1500</v>
      </c>
      <c r="E118" s="14" t="s">
        <v>35</v>
      </c>
      <c r="F118" s="4">
        <v>375</v>
      </c>
      <c r="G118" s="4">
        <v>0.375</v>
      </c>
      <c r="H118" s="4"/>
    </row>
    <row r="119" spans="2:9" x14ac:dyDescent="0.3">
      <c r="B119">
        <v>1</v>
      </c>
      <c r="C119" s="16" t="s">
        <v>48</v>
      </c>
      <c r="D119" s="15">
        <v>120</v>
      </c>
      <c r="E119" s="14" t="s">
        <v>47</v>
      </c>
      <c r="F119" s="4">
        <v>30</v>
      </c>
      <c r="G119" s="4">
        <v>0.03</v>
      </c>
      <c r="H119" s="4"/>
    </row>
    <row r="120" spans="2:9" x14ac:dyDescent="0.3">
      <c r="B120">
        <v>1</v>
      </c>
      <c r="C120" s="16" t="s">
        <v>46</v>
      </c>
      <c r="D120" s="15">
        <v>3000</v>
      </c>
      <c r="E120" s="14" t="s">
        <v>45</v>
      </c>
      <c r="F120" s="4">
        <v>750</v>
      </c>
      <c r="G120" s="4">
        <v>0.75</v>
      </c>
      <c r="H120" s="4"/>
    </row>
    <row r="121" spans="2:9" x14ac:dyDescent="0.3">
      <c r="B121">
        <v>1</v>
      </c>
      <c r="C121" s="16" t="s">
        <v>44</v>
      </c>
      <c r="D121" s="15">
        <v>6000</v>
      </c>
      <c r="E121" s="14" t="s">
        <v>43</v>
      </c>
      <c r="F121" s="4">
        <v>1500</v>
      </c>
      <c r="G121" s="4" t="s">
        <v>42</v>
      </c>
      <c r="H121" s="4">
        <v>1.5</v>
      </c>
    </row>
    <row r="122" spans="2:9" x14ac:dyDescent="0.3">
      <c r="B122">
        <v>1</v>
      </c>
      <c r="C122" s="16" t="s">
        <v>41</v>
      </c>
      <c r="D122" s="15">
        <v>2200</v>
      </c>
      <c r="E122" s="14" t="s">
        <v>40</v>
      </c>
      <c r="F122" s="4">
        <v>550</v>
      </c>
      <c r="G122" s="4"/>
      <c r="H122" s="4">
        <v>0.55000000000000004</v>
      </c>
      <c r="I122" t="s">
        <v>37</v>
      </c>
    </row>
    <row r="123" spans="2:9" x14ac:dyDescent="0.3">
      <c r="B123">
        <v>1</v>
      </c>
      <c r="C123" s="16" t="s">
        <v>39</v>
      </c>
      <c r="D123" s="15">
        <v>2100</v>
      </c>
      <c r="E123" s="14" t="s">
        <v>38</v>
      </c>
      <c r="F123" s="4">
        <v>525</v>
      </c>
      <c r="G123" s="4"/>
      <c r="H123" s="4">
        <v>0.52500000000000002</v>
      </c>
      <c r="I123" t="s">
        <v>37</v>
      </c>
    </row>
    <row r="124" spans="2:9" x14ac:dyDescent="0.3">
      <c r="B124">
        <v>1</v>
      </c>
      <c r="C124" s="16" t="s">
        <v>36</v>
      </c>
      <c r="D124" s="15">
        <v>1500</v>
      </c>
      <c r="E124" s="14" t="s">
        <v>35</v>
      </c>
      <c r="F124" s="4">
        <v>375</v>
      </c>
      <c r="G124" s="4"/>
      <c r="H124" s="4">
        <v>0.375</v>
      </c>
    </row>
    <row r="125" spans="2:9" x14ac:dyDescent="0.3">
      <c r="B125">
        <v>1</v>
      </c>
      <c r="C125" s="16" t="s">
        <v>34</v>
      </c>
      <c r="D125" s="15">
        <v>30</v>
      </c>
      <c r="E125" s="14" t="s">
        <v>33</v>
      </c>
      <c r="F125" s="4">
        <v>7.5</v>
      </c>
      <c r="G125" s="4"/>
      <c r="H125" s="4">
        <v>7.4999999999999997E-3</v>
      </c>
    </row>
    <row r="126" spans="2:9" x14ac:dyDescent="0.3">
      <c r="B126">
        <v>1</v>
      </c>
      <c r="C126" s="16" t="s">
        <v>32</v>
      </c>
      <c r="D126" s="15">
        <v>1000</v>
      </c>
      <c r="E126" s="14" t="s">
        <v>31</v>
      </c>
      <c r="F126" s="4">
        <v>250</v>
      </c>
      <c r="G126" s="4"/>
      <c r="H126" s="4">
        <v>0.25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6470-8EDF-4078-8FF2-BE7AAEB4406C}">
  <sheetPr>
    <tabColor rgb="FFFF0000"/>
  </sheetPr>
  <dimension ref="A1:M31"/>
  <sheetViews>
    <sheetView zoomScale="78" zoomScaleNormal="78" workbookViewId="0">
      <selection activeCell="K59" sqref="K59"/>
    </sheetView>
  </sheetViews>
  <sheetFormatPr defaultRowHeight="14.4" x14ac:dyDescent="0.3"/>
  <cols>
    <col min="1" max="2" width="17.44140625" bestFit="1" customWidth="1"/>
    <col min="3" max="3" width="34.88671875" bestFit="1" customWidth="1"/>
    <col min="4" max="5" width="19.109375" bestFit="1" customWidth="1"/>
    <col min="6" max="6" width="20.88671875" bestFit="1" customWidth="1"/>
    <col min="7" max="7" width="25.88671875" bestFit="1" customWidth="1"/>
    <col min="8" max="8" width="15.6640625" bestFit="1" customWidth="1"/>
    <col min="9" max="9" width="20" bestFit="1" customWidth="1"/>
    <col min="10" max="10" width="13.33203125" bestFit="1" customWidth="1"/>
    <col min="11" max="11" width="24" bestFit="1" customWidth="1"/>
    <col min="12" max="12" width="24.44140625" bestFit="1" customWidth="1"/>
    <col min="13" max="13" width="23.6640625" bestFit="1" customWidth="1"/>
  </cols>
  <sheetData>
    <row r="1" spans="1:13" x14ac:dyDescent="0.3">
      <c r="A1" s="64" t="s">
        <v>204</v>
      </c>
      <c r="B1" s="4" t="s">
        <v>297</v>
      </c>
      <c r="C1" s="4" t="s">
        <v>207</v>
      </c>
      <c r="D1" s="4" t="s">
        <v>298</v>
      </c>
      <c r="E1" s="4" t="s">
        <v>299</v>
      </c>
      <c r="F1" s="4" t="s">
        <v>300</v>
      </c>
      <c r="G1" s="4" t="s">
        <v>301</v>
      </c>
      <c r="H1" s="4" t="s">
        <v>302</v>
      </c>
      <c r="I1" s="4" t="s">
        <v>311</v>
      </c>
      <c r="J1" s="4" t="s">
        <v>303</v>
      </c>
      <c r="K1" s="4" t="s">
        <v>304</v>
      </c>
      <c r="L1" s="4" t="s">
        <v>305</v>
      </c>
      <c r="M1" s="4" t="s">
        <v>306</v>
      </c>
    </row>
    <row r="2" spans="1:13" x14ac:dyDescent="0.3">
      <c r="A2" s="31">
        <v>46208</v>
      </c>
      <c r="B2" s="4">
        <v>67.798500000000018</v>
      </c>
      <c r="C2" s="4">
        <v>9.7820000000000018</v>
      </c>
      <c r="D2" s="4">
        <v>72.458000000000027</v>
      </c>
      <c r="E2" s="4">
        <v>34.876972222222214</v>
      </c>
      <c r="F2" s="4">
        <v>45.036685185185178</v>
      </c>
      <c r="G2" s="4">
        <v>23.139527777777779</v>
      </c>
      <c r="H2" s="4">
        <v>4.6595000000000066</v>
      </c>
      <c r="I2" s="4">
        <v>673.97639722222243</v>
      </c>
      <c r="J2" s="4">
        <v>37.601622197712437</v>
      </c>
      <c r="K2" s="4">
        <v>15.875383333333346</v>
      </c>
      <c r="L2" s="4">
        <v>17.639314814814828</v>
      </c>
      <c r="M2" s="4">
        <v>24.143277777777783</v>
      </c>
    </row>
    <row r="3" spans="1:13" x14ac:dyDescent="0.3">
      <c r="A3" s="66" t="s">
        <v>272</v>
      </c>
      <c r="B3" s="4">
        <v>67.798500000000018</v>
      </c>
      <c r="C3" s="4">
        <v>9.7820000000000018</v>
      </c>
      <c r="D3" s="4">
        <v>72.458000000000027</v>
      </c>
      <c r="E3" s="4">
        <v>34.876972222222214</v>
      </c>
      <c r="F3" s="4">
        <v>45.036685185185178</v>
      </c>
      <c r="G3" s="4">
        <v>23.139527777777779</v>
      </c>
      <c r="H3" s="4">
        <v>4.6595000000000066</v>
      </c>
      <c r="I3" s="4">
        <v>673.97639722222243</v>
      </c>
      <c r="J3" s="4">
        <v>37.601622197712437</v>
      </c>
      <c r="K3" s="4">
        <v>15.875383333333346</v>
      </c>
      <c r="L3" s="4">
        <v>17.639314814814828</v>
      </c>
      <c r="M3" s="4">
        <v>24.143277777777783</v>
      </c>
    </row>
    <row r="4" spans="1:13" x14ac:dyDescent="0.3">
      <c r="A4" s="67" t="s">
        <v>273</v>
      </c>
      <c r="B4" s="4">
        <v>2.1779999999999999</v>
      </c>
      <c r="C4" s="4">
        <v>0</v>
      </c>
      <c r="D4" s="4">
        <v>0</v>
      </c>
      <c r="E4" s="4">
        <v>0</v>
      </c>
      <c r="F4" s="4">
        <v>0</v>
      </c>
      <c r="G4" s="4">
        <v>2.1779999999999999</v>
      </c>
      <c r="H4" s="4">
        <v>-2.1779999999999999</v>
      </c>
      <c r="I4" s="4">
        <v>33.747222222222227</v>
      </c>
      <c r="J4" s="4">
        <v>2.0021127450980396</v>
      </c>
      <c r="K4" s="4">
        <v>0</v>
      </c>
      <c r="L4" s="4">
        <v>0</v>
      </c>
      <c r="M4" s="4">
        <v>2.2509999999999999</v>
      </c>
    </row>
    <row r="5" spans="1:13" x14ac:dyDescent="0.3">
      <c r="A5" s="67" t="s">
        <v>274</v>
      </c>
      <c r="B5" s="4">
        <v>2.1779999999999999</v>
      </c>
      <c r="C5" s="4">
        <v>0</v>
      </c>
      <c r="D5" s="4">
        <v>0</v>
      </c>
      <c r="E5" s="4">
        <v>0</v>
      </c>
      <c r="F5" s="4">
        <v>0</v>
      </c>
      <c r="G5" s="4">
        <v>2.1779999999999999</v>
      </c>
      <c r="H5" s="4">
        <v>-2.1779999999999999</v>
      </c>
      <c r="I5" s="4">
        <v>23.742777777777786</v>
      </c>
      <c r="J5" s="4">
        <v>1.443040849673203</v>
      </c>
      <c r="K5" s="4">
        <v>0</v>
      </c>
      <c r="L5" s="4">
        <v>0</v>
      </c>
      <c r="M5" s="4">
        <v>2.2509999999999999</v>
      </c>
    </row>
    <row r="6" spans="1:13" x14ac:dyDescent="0.3">
      <c r="A6" s="67" t="s">
        <v>275</v>
      </c>
      <c r="B6" s="4">
        <v>2.1217499999999996</v>
      </c>
      <c r="C6" s="4">
        <v>0</v>
      </c>
      <c r="D6" s="4">
        <v>0</v>
      </c>
      <c r="E6" s="4">
        <v>0</v>
      </c>
      <c r="F6" s="4">
        <v>0</v>
      </c>
      <c r="G6" s="4">
        <v>2.1217499999999996</v>
      </c>
      <c r="H6" s="4">
        <v>-2.1217499999999996</v>
      </c>
      <c r="I6" s="4">
        <v>13.863333333333344</v>
      </c>
      <c r="J6" s="4">
        <v>0.8874616013071901</v>
      </c>
      <c r="K6" s="4">
        <v>0</v>
      </c>
      <c r="L6" s="4">
        <v>0</v>
      </c>
      <c r="M6" s="4">
        <v>2.19475</v>
      </c>
    </row>
    <row r="7" spans="1:13" x14ac:dyDescent="0.3">
      <c r="A7" s="67" t="s">
        <v>276</v>
      </c>
      <c r="B7" s="4">
        <v>2.1029999999999998</v>
      </c>
      <c r="C7" s="4">
        <v>0</v>
      </c>
      <c r="D7" s="4">
        <v>0</v>
      </c>
      <c r="E7" s="4">
        <v>0.7012222222222193</v>
      </c>
      <c r="F7" s="4">
        <v>0</v>
      </c>
      <c r="G7" s="4">
        <v>1.4017777777777805</v>
      </c>
      <c r="H7" s="4">
        <v>-2.1029999999999998</v>
      </c>
      <c r="I7" s="4">
        <v>5.305000000000005</v>
      </c>
      <c r="J7" s="4">
        <v>0.36005637254902007</v>
      </c>
      <c r="K7" s="4">
        <v>0</v>
      </c>
      <c r="L7" s="4">
        <v>0</v>
      </c>
      <c r="M7" s="4">
        <v>1.4382777777777804</v>
      </c>
    </row>
    <row r="8" spans="1:13" x14ac:dyDescent="0.3">
      <c r="A8" s="67" t="s">
        <v>277</v>
      </c>
      <c r="B8" s="4">
        <v>2.1029999999999998</v>
      </c>
      <c r="C8" s="4">
        <v>0</v>
      </c>
      <c r="D8" s="4">
        <v>0</v>
      </c>
      <c r="E8" s="4">
        <v>2.1029999999999998</v>
      </c>
      <c r="F8" s="4">
        <v>0</v>
      </c>
      <c r="G8" s="4">
        <v>0</v>
      </c>
      <c r="H8" s="4">
        <v>-2.1029999999999998</v>
      </c>
      <c r="I8" s="4">
        <v>4</v>
      </c>
      <c r="J8" s="4">
        <v>0.2</v>
      </c>
      <c r="K8" s="4">
        <v>0</v>
      </c>
      <c r="L8" s="4">
        <v>0</v>
      </c>
      <c r="M8" s="4">
        <v>0</v>
      </c>
    </row>
    <row r="9" spans="1:13" x14ac:dyDescent="0.3">
      <c r="A9" s="67" t="s">
        <v>278</v>
      </c>
      <c r="B9" s="4">
        <v>2.1079999999999997</v>
      </c>
      <c r="C9" s="4">
        <v>3.6999999999999998E-2</v>
      </c>
      <c r="D9" s="4">
        <v>3.6999999999999998E-2</v>
      </c>
      <c r="E9" s="4">
        <v>2.0709999999999997</v>
      </c>
      <c r="F9" s="4">
        <v>0</v>
      </c>
      <c r="G9" s="4">
        <v>0</v>
      </c>
      <c r="H9" s="4">
        <v>-2.0709999999999997</v>
      </c>
      <c r="I9" s="4">
        <v>4</v>
      </c>
      <c r="J9" s="4">
        <v>0.2</v>
      </c>
      <c r="K9" s="4">
        <v>0</v>
      </c>
      <c r="L9" s="4">
        <v>0</v>
      </c>
      <c r="M9" s="4">
        <v>0</v>
      </c>
    </row>
    <row r="10" spans="1:13" x14ac:dyDescent="0.3">
      <c r="A10" s="67" t="s">
        <v>279</v>
      </c>
      <c r="B10" s="4">
        <v>4.7214999999999998</v>
      </c>
      <c r="C10" s="4">
        <v>0.21200000000000002</v>
      </c>
      <c r="D10" s="4">
        <v>0.21200000000000002</v>
      </c>
      <c r="E10" s="4">
        <v>4.5095000000000001</v>
      </c>
      <c r="F10" s="4">
        <v>0</v>
      </c>
      <c r="G10" s="4">
        <v>0</v>
      </c>
      <c r="H10" s="4">
        <v>-4.5095000000000001</v>
      </c>
      <c r="I10" s="4">
        <v>4</v>
      </c>
      <c r="J10" s="4">
        <v>0.2</v>
      </c>
      <c r="K10" s="4">
        <v>0</v>
      </c>
      <c r="L10" s="4">
        <v>0</v>
      </c>
      <c r="M10" s="4">
        <v>0</v>
      </c>
    </row>
    <row r="11" spans="1:13" x14ac:dyDescent="0.3">
      <c r="A11" s="67" t="s">
        <v>280</v>
      </c>
      <c r="B11" s="4">
        <v>4.2240000000000002</v>
      </c>
      <c r="C11" s="4">
        <v>0.72599999999999998</v>
      </c>
      <c r="D11" s="4">
        <v>0.72599999999999998</v>
      </c>
      <c r="E11" s="4">
        <v>3.4979999999999998</v>
      </c>
      <c r="F11" s="4">
        <v>0</v>
      </c>
      <c r="G11" s="4">
        <v>0</v>
      </c>
      <c r="H11" s="4">
        <v>-3.4979999999999998</v>
      </c>
      <c r="I11" s="4">
        <v>4</v>
      </c>
      <c r="J11" s="4">
        <v>0.2</v>
      </c>
      <c r="K11" s="4">
        <v>0</v>
      </c>
      <c r="L11" s="4">
        <v>0</v>
      </c>
      <c r="M11" s="4">
        <v>0</v>
      </c>
    </row>
    <row r="12" spans="1:13" x14ac:dyDescent="0.3">
      <c r="A12" s="67" t="s">
        <v>281</v>
      </c>
      <c r="B12" s="4">
        <v>0.6110000000000001</v>
      </c>
      <c r="C12" s="4">
        <v>0.41125</v>
      </c>
      <c r="D12" s="4">
        <v>1.9350000000000001</v>
      </c>
      <c r="E12" s="4">
        <v>0.19974999999999993</v>
      </c>
      <c r="F12" s="4">
        <v>0</v>
      </c>
      <c r="G12" s="4">
        <v>0</v>
      </c>
      <c r="H12" s="4">
        <v>1.3240000000000001</v>
      </c>
      <c r="I12" s="4">
        <v>6.7596666666666678</v>
      </c>
      <c r="J12" s="4">
        <v>0.27133227124183013</v>
      </c>
      <c r="K12" s="4">
        <v>1.371375</v>
      </c>
      <c r="L12" s="4">
        <v>1.5237499999999999</v>
      </c>
      <c r="M12" s="4">
        <v>3.6499999999999998E-2</v>
      </c>
    </row>
    <row r="13" spans="1:13" x14ac:dyDescent="0.3">
      <c r="A13" s="67" t="s">
        <v>282</v>
      </c>
      <c r="B13" s="4">
        <v>0.10299999999999999</v>
      </c>
      <c r="C13" s="4">
        <v>0.10299999999999999</v>
      </c>
      <c r="D13" s="4">
        <v>4.1779999999999999</v>
      </c>
      <c r="E13" s="4">
        <v>0</v>
      </c>
      <c r="F13" s="4">
        <v>0</v>
      </c>
      <c r="G13" s="4">
        <v>0</v>
      </c>
      <c r="H13" s="4">
        <v>4.0750000000000002</v>
      </c>
      <c r="I13" s="4">
        <v>19.042500000000004</v>
      </c>
      <c r="J13" s="4">
        <v>0.81742238562091507</v>
      </c>
      <c r="K13" s="4">
        <v>3.6675000000000004</v>
      </c>
      <c r="L13" s="4">
        <v>4.0750000000000002</v>
      </c>
      <c r="M13" s="4">
        <v>7.2999999999999995E-2</v>
      </c>
    </row>
    <row r="14" spans="1:13" x14ac:dyDescent="0.3">
      <c r="A14" s="67" t="s">
        <v>283</v>
      </c>
      <c r="B14" s="4">
        <v>0.10299999999999999</v>
      </c>
      <c r="C14" s="4">
        <v>0.10299999999999999</v>
      </c>
      <c r="D14" s="4">
        <v>7.38</v>
      </c>
      <c r="E14" s="4">
        <v>0</v>
      </c>
      <c r="F14" s="4">
        <v>0</v>
      </c>
      <c r="G14" s="4">
        <v>0</v>
      </c>
      <c r="H14" s="4">
        <v>7.277000000000001</v>
      </c>
      <c r="I14" s="4">
        <v>42.80905555555556</v>
      </c>
      <c r="J14" s="4">
        <v>1.9666181372549021</v>
      </c>
      <c r="K14" s="4">
        <v>6.5493000000000006</v>
      </c>
      <c r="L14" s="4">
        <v>7.277000000000001</v>
      </c>
      <c r="M14" s="4">
        <v>7.2999999999999995E-2</v>
      </c>
    </row>
    <row r="15" spans="1:13" x14ac:dyDescent="0.3">
      <c r="A15" s="67" t="s">
        <v>284</v>
      </c>
      <c r="B15" s="4">
        <v>1.103</v>
      </c>
      <c r="C15" s="4">
        <v>1.103</v>
      </c>
      <c r="D15" s="4">
        <v>10.685</v>
      </c>
      <c r="E15" s="4">
        <v>0</v>
      </c>
      <c r="F15" s="4">
        <v>5.1651851851851847</v>
      </c>
      <c r="G15" s="4">
        <v>0</v>
      </c>
      <c r="H15" s="4">
        <v>9.5820000000000007</v>
      </c>
      <c r="I15" s="4">
        <v>68.550583333333336</v>
      </c>
      <c r="J15" s="4">
        <v>3.5665671568627451</v>
      </c>
      <c r="K15" s="4">
        <v>3.9751333333333339</v>
      </c>
      <c r="L15" s="4">
        <v>4.4168148148148152</v>
      </c>
      <c r="M15" s="4">
        <v>7.2999999999999995E-2</v>
      </c>
    </row>
    <row r="16" spans="1:13" x14ac:dyDescent="0.3">
      <c r="A16" s="67" t="s">
        <v>285</v>
      </c>
      <c r="B16" s="4">
        <v>0.10299999999999999</v>
      </c>
      <c r="C16" s="4">
        <v>0.10299999999999999</v>
      </c>
      <c r="D16" s="4">
        <v>12.698</v>
      </c>
      <c r="E16" s="4">
        <v>0</v>
      </c>
      <c r="F16" s="4">
        <v>12.511861420176462</v>
      </c>
      <c r="G16" s="4">
        <v>0</v>
      </c>
      <c r="H16" s="4">
        <v>12.594999999999999</v>
      </c>
      <c r="I16" s="4">
        <v>71.927202746871245</v>
      </c>
      <c r="J16" s="4">
        <v>3.9958186184853455</v>
      </c>
      <c r="K16" s="4">
        <v>7.4824721841185493E-2</v>
      </c>
      <c r="L16" s="4">
        <v>8.3138579823539435E-2</v>
      </c>
      <c r="M16" s="4">
        <v>7.2999999999999995E-2</v>
      </c>
    </row>
    <row r="17" spans="1:13" x14ac:dyDescent="0.3">
      <c r="A17" s="67" t="s">
        <v>286</v>
      </c>
      <c r="B17" s="4">
        <v>0.10299999999999999</v>
      </c>
      <c r="C17" s="4">
        <v>0.10299999999999999</v>
      </c>
      <c r="D17" s="4">
        <v>12.389000000000001</v>
      </c>
      <c r="E17" s="4">
        <v>0</v>
      </c>
      <c r="F17" s="4">
        <v>12.204888579870641</v>
      </c>
      <c r="G17" s="4">
        <v>0</v>
      </c>
      <c r="H17" s="4">
        <v>12.286000000000001</v>
      </c>
      <c r="I17" s="4">
        <v>71.927000030901823</v>
      </c>
      <c r="J17" s="4">
        <v>3.9959205726934943</v>
      </c>
      <c r="K17" s="4">
        <v>7.3000278116424511E-2</v>
      </c>
      <c r="L17" s="4">
        <v>8.1111420129360567E-2</v>
      </c>
      <c r="M17" s="4">
        <v>7.2999999999999995E-2</v>
      </c>
    </row>
    <row r="18" spans="1:13" x14ac:dyDescent="0.3">
      <c r="A18" s="67" t="s">
        <v>287</v>
      </c>
      <c r="B18" s="4">
        <v>1.103</v>
      </c>
      <c r="C18" s="4">
        <v>1.103</v>
      </c>
      <c r="D18" s="4">
        <v>9.923</v>
      </c>
      <c r="E18" s="4">
        <v>0</v>
      </c>
      <c r="F18" s="4">
        <v>8.7388888888417924</v>
      </c>
      <c r="G18" s="4">
        <v>0</v>
      </c>
      <c r="H18" s="4">
        <v>8.82</v>
      </c>
      <c r="I18" s="4">
        <v>71.927000000004711</v>
      </c>
      <c r="J18" s="4">
        <v>3.9959205882329258</v>
      </c>
      <c r="K18" s="4">
        <v>7.3000000042387825E-2</v>
      </c>
      <c r="L18" s="4">
        <v>8.1111111158208696E-2</v>
      </c>
      <c r="M18" s="4">
        <v>7.2999999999999995E-2</v>
      </c>
    </row>
    <row r="19" spans="1:13" x14ac:dyDescent="0.3">
      <c r="A19" s="67" t="s">
        <v>288</v>
      </c>
      <c r="B19" s="4">
        <v>0.10299999999999999</v>
      </c>
      <c r="C19" s="4">
        <v>0.10299999999999999</v>
      </c>
      <c r="D19" s="4">
        <v>6.5220000000000002</v>
      </c>
      <c r="E19" s="4">
        <v>0</v>
      </c>
      <c r="F19" s="4">
        <v>6.3378888888888767</v>
      </c>
      <c r="G19" s="4">
        <v>0</v>
      </c>
      <c r="H19" s="4">
        <v>6.4190000000000005</v>
      </c>
      <c r="I19" s="4">
        <v>71.926999999999992</v>
      </c>
      <c r="J19" s="4">
        <v>3.9959205882352933</v>
      </c>
      <c r="K19" s="4">
        <v>7.3000000000011056E-2</v>
      </c>
      <c r="L19" s="4">
        <v>8.1111111111123402E-2</v>
      </c>
      <c r="M19" s="4">
        <v>7.2999999999999995E-2</v>
      </c>
    </row>
    <row r="20" spans="1:13" x14ac:dyDescent="0.3">
      <c r="A20" s="67" t="s">
        <v>289</v>
      </c>
      <c r="B20" s="4">
        <v>4.2004999999999999</v>
      </c>
      <c r="C20" s="4">
        <v>3.4147500000000002</v>
      </c>
      <c r="D20" s="4">
        <v>3.5129999999999999</v>
      </c>
      <c r="E20" s="4">
        <v>0</v>
      </c>
      <c r="F20" s="4">
        <v>7.7972222222220083E-2</v>
      </c>
      <c r="G20" s="4">
        <v>0.78575000000000017</v>
      </c>
      <c r="H20" s="4">
        <v>-0.68750000000000022</v>
      </c>
      <c r="I20" s="4">
        <v>70.427555555555557</v>
      </c>
      <c r="J20" s="4">
        <v>3.9643160130718953</v>
      </c>
      <c r="K20" s="4">
        <v>1.8250000000001876E-2</v>
      </c>
      <c r="L20" s="4">
        <v>2.0277777777779862E-2</v>
      </c>
      <c r="M20" s="4">
        <v>0.85875000000000012</v>
      </c>
    </row>
    <row r="21" spans="1:13" x14ac:dyDescent="0.3">
      <c r="A21" s="67" t="s">
        <v>290</v>
      </c>
      <c r="B21" s="4">
        <v>8.0410000000000004</v>
      </c>
      <c r="C21" s="4">
        <v>1.5460000000000003</v>
      </c>
      <c r="D21" s="4">
        <v>1.5460000000000003</v>
      </c>
      <c r="E21" s="4">
        <v>0</v>
      </c>
      <c r="F21" s="4">
        <v>0</v>
      </c>
      <c r="G21" s="4">
        <v>6.4949999999999992</v>
      </c>
      <c r="H21" s="4">
        <v>-6.4949999999999992</v>
      </c>
      <c r="I21" s="4">
        <v>55.033666666666662</v>
      </c>
      <c r="J21" s="4">
        <v>3.4596983660130718</v>
      </c>
      <c r="K21" s="4">
        <v>0</v>
      </c>
      <c r="L21" s="4">
        <v>0</v>
      </c>
      <c r="M21" s="4">
        <v>6.5679999999999996</v>
      </c>
    </row>
    <row r="22" spans="1:13" x14ac:dyDescent="0.3">
      <c r="A22" s="67" t="s">
        <v>291</v>
      </c>
      <c r="B22" s="4">
        <v>10.257</v>
      </c>
      <c r="C22" s="4">
        <v>0.54799999999999993</v>
      </c>
      <c r="D22" s="4">
        <v>0.54799999999999993</v>
      </c>
      <c r="E22" s="4">
        <v>1.7297500000000001</v>
      </c>
      <c r="F22" s="4">
        <v>0</v>
      </c>
      <c r="G22" s="4">
        <v>7.9792499999999995</v>
      </c>
      <c r="H22" s="4">
        <v>-9.7089999999999996</v>
      </c>
      <c r="I22" s="4">
        <v>10.986833333333333</v>
      </c>
      <c r="J22" s="4">
        <v>1.0794159313725489</v>
      </c>
      <c r="K22" s="4">
        <v>0</v>
      </c>
      <c r="L22" s="4">
        <v>0</v>
      </c>
      <c r="M22" s="4">
        <v>8.0340000000000007</v>
      </c>
    </row>
    <row r="23" spans="1:13" x14ac:dyDescent="0.3">
      <c r="A23" s="67" t="s">
        <v>292</v>
      </c>
      <c r="B23" s="4">
        <v>3.66</v>
      </c>
      <c r="C23" s="4">
        <v>0.14699999999999999</v>
      </c>
      <c r="D23" s="4">
        <v>0.14699999999999999</v>
      </c>
      <c r="E23" s="4">
        <v>3.5129999999999999</v>
      </c>
      <c r="F23" s="4">
        <v>0</v>
      </c>
      <c r="G23" s="4">
        <v>0</v>
      </c>
      <c r="H23" s="4">
        <v>-3.5129999999999999</v>
      </c>
      <c r="I23" s="4">
        <v>4</v>
      </c>
      <c r="J23" s="4">
        <v>0.2</v>
      </c>
      <c r="K23" s="4">
        <v>0</v>
      </c>
      <c r="L23" s="4">
        <v>0</v>
      </c>
      <c r="M23" s="4">
        <v>0</v>
      </c>
    </row>
    <row r="24" spans="1:13" x14ac:dyDescent="0.3">
      <c r="A24" s="67" t="s">
        <v>293</v>
      </c>
      <c r="B24" s="4">
        <v>3.0219999999999998</v>
      </c>
      <c r="C24" s="4">
        <v>1.9000000000000003E-2</v>
      </c>
      <c r="D24" s="4">
        <v>1.9000000000000003E-2</v>
      </c>
      <c r="E24" s="4">
        <v>3.0029999999999997</v>
      </c>
      <c r="F24" s="4">
        <v>0</v>
      </c>
      <c r="G24" s="4">
        <v>0</v>
      </c>
      <c r="H24" s="4">
        <v>-3.0029999999999997</v>
      </c>
      <c r="I24" s="4">
        <v>4</v>
      </c>
      <c r="J24" s="4">
        <v>0.2</v>
      </c>
      <c r="K24" s="4">
        <v>0</v>
      </c>
      <c r="L24" s="4">
        <v>0</v>
      </c>
      <c r="M24" s="4">
        <v>0</v>
      </c>
    </row>
    <row r="25" spans="1:13" x14ac:dyDescent="0.3">
      <c r="A25" s="67" t="s">
        <v>294</v>
      </c>
      <c r="B25" s="4">
        <v>6.2190000000000012</v>
      </c>
      <c r="C25" s="4">
        <v>0</v>
      </c>
      <c r="D25" s="4">
        <v>0</v>
      </c>
      <c r="E25" s="4">
        <v>6.2190000000000012</v>
      </c>
      <c r="F25" s="4">
        <v>0</v>
      </c>
      <c r="G25" s="4">
        <v>0</v>
      </c>
      <c r="H25" s="4">
        <v>-6.2190000000000012</v>
      </c>
      <c r="I25" s="4">
        <v>4</v>
      </c>
      <c r="J25" s="4">
        <v>0.2</v>
      </c>
      <c r="K25" s="4">
        <v>0</v>
      </c>
      <c r="L25" s="4">
        <v>0</v>
      </c>
      <c r="M25" s="4">
        <v>0</v>
      </c>
    </row>
    <row r="26" spans="1:13" x14ac:dyDescent="0.3">
      <c r="A26" s="67" t="s">
        <v>295</v>
      </c>
      <c r="B26" s="4">
        <v>4.1184999999999992</v>
      </c>
      <c r="C26" s="4">
        <v>0</v>
      </c>
      <c r="D26" s="4">
        <v>0</v>
      </c>
      <c r="E26" s="4">
        <v>4.1184999999999992</v>
      </c>
      <c r="F26" s="4">
        <v>0</v>
      </c>
      <c r="G26" s="4">
        <v>0</v>
      </c>
      <c r="H26" s="4">
        <v>-4.1184999999999992</v>
      </c>
      <c r="I26" s="4">
        <v>4</v>
      </c>
      <c r="J26" s="4">
        <v>0.2</v>
      </c>
      <c r="K26" s="4">
        <v>0</v>
      </c>
      <c r="L26" s="4">
        <v>0</v>
      </c>
      <c r="M26" s="4">
        <v>0</v>
      </c>
    </row>
    <row r="27" spans="1:13" x14ac:dyDescent="0.3">
      <c r="A27" s="67" t="s">
        <v>296</v>
      </c>
      <c r="B27" s="4">
        <v>3.2112499999999997</v>
      </c>
      <c r="C27" s="4">
        <v>0</v>
      </c>
      <c r="D27" s="4">
        <v>0</v>
      </c>
      <c r="E27" s="4">
        <v>3.2112499999999997</v>
      </c>
      <c r="F27" s="4">
        <v>0</v>
      </c>
      <c r="G27" s="4">
        <v>0</v>
      </c>
      <c r="H27" s="4">
        <v>-3.2112499999999997</v>
      </c>
      <c r="I27" s="4">
        <v>4</v>
      </c>
      <c r="J27" s="4">
        <v>0.2</v>
      </c>
      <c r="K27" s="4">
        <v>0</v>
      </c>
      <c r="L27" s="4">
        <v>0</v>
      </c>
      <c r="M27" s="4">
        <v>0</v>
      </c>
    </row>
    <row r="28" spans="1:13" x14ac:dyDescent="0.3">
      <c r="A28" s="61" t="s">
        <v>205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10</v>
      </c>
      <c r="J28" s="4">
        <v>0</v>
      </c>
      <c r="K28" s="4">
        <v>0</v>
      </c>
      <c r="L28" s="4">
        <v>0</v>
      </c>
      <c r="M28" s="4">
        <v>0</v>
      </c>
    </row>
    <row r="29" spans="1:13" x14ac:dyDescent="0.3">
      <c r="A29" s="66" t="s">
        <v>271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67" t="s">
        <v>271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10</v>
      </c>
      <c r="J30" s="4">
        <v>0</v>
      </c>
      <c r="K30" s="4">
        <v>0</v>
      </c>
      <c r="L30" s="4">
        <v>0</v>
      </c>
      <c r="M30" s="4">
        <v>0</v>
      </c>
    </row>
    <row r="31" spans="1:13" x14ac:dyDescent="0.3">
      <c r="A31" s="61" t="s">
        <v>206</v>
      </c>
      <c r="B31" s="4">
        <v>67.798500000000018</v>
      </c>
      <c r="C31" s="4">
        <v>9.7820000000000018</v>
      </c>
      <c r="D31" s="4">
        <v>72.458000000000027</v>
      </c>
      <c r="E31" s="4">
        <v>34.876972222222214</v>
      </c>
      <c r="F31" s="4">
        <v>45.036685185185178</v>
      </c>
      <c r="G31" s="4">
        <v>23.139527777777779</v>
      </c>
      <c r="H31" s="4">
        <v>4.6595000000000066</v>
      </c>
      <c r="I31" s="4">
        <v>683.97639722222243</v>
      </c>
      <c r="J31" s="4">
        <v>37.601622197712437</v>
      </c>
      <c r="K31" s="4">
        <v>15.875383333333346</v>
      </c>
      <c r="L31" s="4">
        <v>17.639314814814828</v>
      </c>
      <c r="M31" s="4">
        <v>24.143277777777783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D1B8-2D76-4BB1-8076-E13BC14C0CA6}">
  <sheetPr>
    <tabColor rgb="FFFF0000"/>
  </sheetPr>
  <dimension ref="A1"/>
  <sheetViews>
    <sheetView zoomScale="75" zoomScaleNormal="75" workbookViewId="0">
      <selection activeCell="AD320" sqref="AD320"/>
    </sheetView>
  </sheetViews>
  <sheetFormatPr defaultRowHeight="14.4" x14ac:dyDescent="0.3"/>
  <sheetData/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C18B-CB9B-4971-9842-09E76FB5E7DE}">
  <sheetPr>
    <tabColor rgb="FFFFC000"/>
  </sheetPr>
  <dimension ref="A1:P125"/>
  <sheetViews>
    <sheetView topLeftCell="B1" zoomScale="85" zoomScaleNormal="85" workbookViewId="0">
      <selection activeCell="J3" sqref="J3:J98"/>
    </sheetView>
  </sheetViews>
  <sheetFormatPr defaultRowHeight="14.4" x14ac:dyDescent="0.3"/>
  <cols>
    <col min="1" max="2" width="16.6640625" style="3" customWidth="1"/>
    <col min="3" max="3" width="11.109375" customWidth="1"/>
    <col min="4" max="4" width="16" customWidth="1"/>
    <col min="5" max="6" width="11.44140625" customWidth="1"/>
    <col min="7" max="7" width="13" customWidth="1"/>
    <col min="8" max="8" width="12.109375" customWidth="1"/>
    <col min="9" max="9" width="22.109375" customWidth="1"/>
    <col min="10" max="10" width="15.88671875" customWidth="1"/>
    <col min="11" max="11" width="16.44140625" customWidth="1"/>
    <col min="12" max="12" width="16.109375" customWidth="1"/>
    <col min="13" max="13" width="16.5546875" customWidth="1"/>
    <col min="14" max="14" width="14.88671875" customWidth="1"/>
    <col min="15" max="15" width="19.44140625" customWidth="1"/>
    <col min="16" max="16" width="18.5546875" customWidth="1"/>
  </cols>
  <sheetData>
    <row r="1" spans="1:16" x14ac:dyDescent="0.3">
      <c r="A1" s="77" t="s">
        <v>184</v>
      </c>
      <c r="B1" s="75" t="s">
        <v>183</v>
      </c>
      <c r="C1" s="1" t="s">
        <v>0</v>
      </c>
      <c r="D1" s="22" t="s">
        <v>203</v>
      </c>
      <c r="E1" s="23" t="s">
        <v>1</v>
      </c>
      <c r="F1" s="52" t="s">
        <v>2</v>
      </c>
      <c r="G1" s="52" t="s">
        <v>3</v>
      </c>
      <c r="H1" s="52" t="s">
        <v>200</v>
      </c>
      <c r="I1" s="22" t="s">
        <v>6</v>
      </c>
      <c r="J1" s="22" t="s">
        <v>7</v>
      </c>
      <c r="K1" s="52" t="s">
        <v>201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191</v>
      </c>
    </row>
    <row r="2" spans="1:16" x14ac:dyDescent="0.3">
      <c r="A2" s="78"/>
      <c r="B2" s="76"/>
      <c r="C2" s="2" t="s">
        <v>4</v>
      </c>
      <c r="D2" s="2" t="s">
        <v>309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>
        <v>12</v>
      </c>
      <c r="K2" s="53" t="s">
        <v>202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</row>
    <row r="3" spans="1:16" x14ac:dyDescent="0.3">
      <c r="A3" s="47">
        <f>DATE(2026,10,8)</f>
        <v>46303</v>
      </c>
      <c r="B3" s="49">
        <f>TIME(0,0,0)</f>
        <v>0</v>
      </c>
      <c r="C3" s="42">
        <f>'Říjen data'!V2+P3</f>
        <v>4.4499999999999998E-2</v>
      </c>
      <c r="D3" s="42">
        <f>MIN(C3, E3)</f>
        <v>0</v>
      </c>
      <c r="E3">
        <f>ROUND(MAX(0, 10 * EXP(-((HOUR(B3)+MINUTE(B3)/60 - 12.75)^2) / 6.5) * 0.25), 3)</f>
        <v>0</v>
      </c>
      <c r="F3" s="42">
        <f>MAX(0, C3 - D3 - H3 )</f>
        <v>0</v>
      </c>
      <c r="G3" s="42">
        <f>MAX(0, E3 - D3 - M3)</f>
        <v>0</v>
      </c>
      <c r="H3" s="42">
        <f>MAX(0, MIN(C3 - D3, N3 ))</f>
        <v>4.4499999999999998E-2</v>
      </c>
      <c r="I3" s="42">
        <f t="shared" ref="I3:I66" si="0">E3-C3</f>
        <v>-4.4499999999999998E-2</v>
      </c>
      <c r="J3" s="43">
        <f>MIN('Výpočty '!$B$1*0.9, MAX('Výpočty '!$B$1*0.05, J2 + M3 - MIN(O3, MAX(0, J2 - ('Výpočty '!$B$1*0.1))) - P3))</f>
        <v>11.912027777777778</v>
      </c>
      <c r="K3" s="46">
        <f>J3/'Výpočty '!$B$1</f>
        <v>0.59560138888888892</v>
      </c>
      <c r="L3" s="42">
        <f t="shared" ref="L3:L66" si="1">M3 * Účinnost_cyklu</f>
        <v>0</v>
      </c>
      <c r="M3" s="42">
        <f t="shared" ref="M3:M66" si="2">MIN(MAX(0, I3), MAX(0, Kapacita_baterie * Soc_Max - J2) / Účinnost_cyklu, Stridac_limit)</f>
        <v>0</v>
      </c>
      <c r="N3" s="42">
        <f t="shared" ref="N3:N66" si="3">MAX(0, MIN(J2 - (Kapacita_baterie * Soc_Kriticke), C3 - D3 + P3))</f>
        <v>6.275E-2</v>
      </c>
      <c r="O3" s="42">
        <f>N3 / Účinnost_cyklu</f>
        <v>6.9722222222222227E-2</v>
      </c>
      <c r="P3" s="42">
        <f t="shared" ref="P3:P66" si="4">Vlastní_Spotřeba_kWh</f>
        <v>1.8249999999999999E-2</v>
      </c>
    </row>
    <row r="4" spans="1:16" x14ac:dyDescent="0.3">
      <c r="A4" s="47">
        <f>DATE(2026,10,8)</f>
        <v>46303</v>
      </c>
      <c r="B4" s="49">
        <f>B3+TIME(0,15,0)</f>
        <v>1.0416666666666666E-2</v>
      </c>
      <c r="C4" s="42">
        <f>'Říjen data'!V3+P4</f>
        <v>4.4499999999999998E-2</v>
      </c>
      <c r="D4" s="42">
        <f t="shared" ref="D4:D67" si="5">MIN(C4, E4)</f>
        <v>0</v>
      </c>
      <c r="E4">
        <f t="shared" ref="E4:E67" si="6">ROUND(MAX(0, 10 * EXP(-((HOUR(B4)+MINUTE(B4)/60 - 12.75)^2) / 6.5) * 0.25), 3)</f>
        <v>0</v>
      </c>
      <c r="F4" s="42">
        <f t="shared" ref="F4:F67" si="7">MAX(0, C4 - D4 - H4 )</f>
        <v>0</v>
      </c>
      <c r="G4" s="42">
        <f t="shared" ref="G4:G67" si="8">MAX(0, E4 - D4 - M4)</f>
        <v>0</v>
      </c>
      <c r="H4" s="42">
        <f t="shared" ref="H4:H67" si="9">MAX(0, MIN(C4 - D4, N4 ))</f>
        <v>4.4499999999999998E-2</v>
      </c>
      <c r="I4" s="42">
        <f t="shared" si="0"/>
        <v>-4.4499999999999998E-2</v>
      </c>
      <c r="J4" s="43">
        <f>MIN('Výpočty '!$B$1*0.9, MAX('Výpočty '!$B$1*0.05, J3 + M4 - MIN(O4, MAX(0, J3 - ('Výpočty '!$B$1*0.1))) - P4))</f>
        <v>11.824055555555557</v>
      </c>
      <c r="K4" s="46">
        <f>J4/'Výpočty '!$B$1</f>
        <v>0.59120277777777785</v>
      </c>
      <c r="L4" s="42">
        <f t="shared" si="1"/>
        <v>0</v>
      </c>
      <c r="M4" s="42">
        <f t="shared" si="2"/>
        <v>0</v>
      </c>
      <c r="N4" s="42">
        <f t="shared" si="3"/>
        <v>6.275E-2</v>
      </c>
      <c r="O4" s="42">
        <f t="shared" ref="O4:O67" si="10">N4 / Účinnost_cyklu</f>
        <v>6.9722222222222227E-2</v>
      </c>
      <c r="P4" s="42">
        <f t="shared" si="4"/>
        <v>1.8249999999999999E-2</v>
      </c>
    </row>
    <row r="5" spans="1:16" x14ac:dyDescent="0.3">
      <c r="A5" s="47">
        <f t="shared" ref="A5:A68" si="11">DATE(2026,10,8)</f>
        <v>46303</v>
      </c>
      <c r="B5" s="49">
        <f t="shared" ref="B5:B68" si="12">B4+TIME(0,15,0)</f>
        <v>2.0833333333333332E-2</v>
      </c>
      <c r="C5" s="42">
        <f>'Říjen data'!V4+P5</f>
        <v>4.4499999999999998E-2</v>
      </c>
      <c r="D5" s="42">
        <f t="shared" si="5"/>
        <v>0</v>
      </c>
      <c r="E5">
        <f t="shared" si="6"/>
        <v>0</v>
      </c>
      <c r="F5" s="42">
        <f t="shared" si="7"/>
        <v>0</v>
      </c>
      <c r="G5" s="42">
        <f t="shared" si="8"/>
        <v>0</v>
      </c>
      <c r="H5" s="42">
        <f t="shared" si="9"/>
        <v>4.4499999999999998E-2</v>
      </c>
      <c r="I5" s="42">
        <f t="shared" si="0"/>
        <v>-4.4499999999999998E-2</v>
      </c>
      <c r="J5" s="43">
        <f>MIN('Výpočty '!$B$1*0.9, MAX('Výpočty '!$B$1*0.05, J4 + M5 - MIN(O5, MAX(0, J4 - ('Výpočty '!$B$1*0.1))) - P5))</f>
        <v>11.736083333333335</v>
      </c>
      <c r="K5" s="46">
        <f>J5/'Výpočty '!$B$1</f>
        <v>0.58680416666666679</v>
      </c>
      <c r="L5" s="42">
        <f t="shared" si="1"/>
        <v>0</v>
      </c>
      <c r="M5" s="42">
        <f t="shared" si="2"/>
        <v>0</v>
      </c>
      <c r="N5" s="42">
        <f t="shared" si="3"/>
        <v>6.275E-2</v>
      </c>
      <c r="O5" s="42">
        <f t="shared" si="10"/>
        <v>6.9722222222222227E-2</v>
      </c>
      <c r="P5" s="42">
        <f t="shared" si="4"/>
        <v>1.8249999999999999E-2</v>
      </c>
    </row>
    <row r="6" spans="1:16" x14ac:dyDescent="0.3">
      <c r="A6" s="47">
        <f t="shared" si="11"/>
        <v>46303</v>
      </c>
      <c r="B6" s="49">
        <f t="shared" si="12"/>
        <v>3.125E-2</v>
      </c>
      <c r="C6" s="42">
        <f>'Říjen data'!V5+P6</f>
        <v>4.4499999999999998E-2</v>
      </c>
      <c r="D6" s="42">
        <f t="shared" si="5"/>
        <v>0</v>
      </c>
      <c r="E6">
        <f t="shared" si="6"/>
        <v>0</v>
      </c>
      <c r="F6" s="42">
        <f t="shared" si="7"/>
        <v>0</v>
      </c>
      <c r="G6" s="42">
        <f t="shared" si="8"/>
        <v>0</v>
      </c>
      <c r="H6" s="42">
        <f t="shared" si="9"/>
        <v>4.4499999999999998E-2</v>
      </c>
      <c r="I6" s="42">
        <f t="shared" si="0"/>
        <v>-4.4499999999999998E-2</v>
      </c>
      <c r="J6" s="43">
        <f>MIN('Výpočty '!$B$1*0.9, MAX('Výpočty '!$B$1*0.05, J5 + M6 - MIN(O6, MAX(0, J5 - ('Výpočty '!$B$1*0.1))) - P6))</f>
        <v>11.648111111111113</v>
      </c>
      <c r="K6" s="46">
        <f>J6/'Výpočty '!$B$1</f>
        <v>0.58240555555555562</v>
      </c>
      <c r="L6" s="42">
        <f t="shared" si="1"/>
        <v>0</v>
      </c>
      <c r="M6" s="42">
        <f t="shared" si="2"/>
        <v>0</v>
      </c>
      <c r="N6" s="42">
        <f t="shared" si="3"/>
        <v>6.275E-2</v>
      </c>
      <c r="O6" s="42">
        <f t="shared" si="10"/>
        <v>6.9722222222222227E-2</v>
      </c>
      <c r="P6" s="42">
        <f t="shared" si="4"/>
        <v>1.8249999999999999E-2</v>
      </c>
    </row>
    <row r="7" spans="1:16" x14ac:dyDescent="0.3">
      <c r="A7" s="47">
        <f t="shared" si="11"/>
        <v>46303</v>
      </c>
      <c r="B7" s="49">
        <f t="shared" si="12"/>
        <v>4.1666666666666664E-2</v>
      </c>
      <c r="C7" s="42">
        <f>'Říjen data'!V6+P7</f>
        <v>4.0749999999999995E-2</v>
      </c>
      <c r="D7" s="42">
        <f t="shared" si="5"/>
        <v>0</v>
      </c>
      <c r="E7">
        <f t="shared" si="6"/>
        <v>0</v>
      </c>
      <c r="F7" s="42">
        <f t="shared" si="7"/>
        <v>0</v>
      </c>
      <c r="G7" s="42">
        <f t="shared" si="8"/>
        <v>0</v>
      </c>
      <c r="H7" s="42">
        <f t="shared" si="9"/>
        <v>4.0749999999999995E-2</v>
      </c>
      <c r="I7" s="42">
        <f t="shared" si="0"/>
        <v>-4.0749999999999995E-2</v>
      </c>
      <c r="J7" s="43">
        <f>MIN('Výpočty '!$B$1*0.9, MAX('Výpočty '!$B$1*0.05, J6 + M7 - MIN(O7, MAX(0, J6 - ('Výpočty '!$B$1*0.1))) - P7))</f>
        <v>11.564305555555558</v>
      </c>
      <c r="K7" s="46">
        <f>J7/'Výpočty '!$B$1</f>
        <v>0.57821527777777793</v>
      </c>
      <c r="L7" s="42">
        <f t="shared" si="1"/>
        <v>0</v>
      </c>
      <c r="M7" s="42">
        <f t="shared" si="2"/>
        <v>0</v>
      </c>
      <c r="N7" s="42">
        <f t="shared" si="3"/>
        <v>5.8999999999999997E-2</v>
      </c>
      <c r="O7" s="42">
        <f t="shared" si="10"/>
        <v>6.5555555555555547E-2</v>
      </c>
      <c r="P7" s="42">
        <f t="shared" si="4"/>
        <v>1.8249999999999999E-2</v>
      </c>
    </row>
    <row r="8" spans="1:16" x14ac:dyDescent="0.3">
      <c r="A8" s="47">
        <f t="shared" si="11"/>
        <v>46303</v>
      </c>
      <c r="B8" s="49">
        <f t="shared" si="12"/>
        <v>5.2083333333333329E-2</v>
      </c>
      <c r="C8" s="42">
        <f>'Říjen data'!V7+P8</f>
        <v>4.0749999999999995E-2</v>
      </c>
      <c r="D8" s="42">
        <f t="shared" si="5"/>
        <v>0</v>
      </c>
      <c r="E8">
        <f t="shared" si="6"/>
        <v>0</v>
      </c>
      <c r="F8" s="42">
        <f t="shared" si="7"/>
        <v>0</v>
      </c>
      <c r="G8" s="42">
        <f t="shared" si="8"/>
        <v>0</v>
      </c>
      <c r="H8" s="42">
        <f t="shared" si="9"/>
        <v>4.0749999999999995E-2</v>
      </c>
      <c r="I8" s="42">
        <f t="shared" si="0"/>
        <v>-4.0749999999999995E-2</v>
      </c>
      <c r="J8" s="43">
        <f>MIN('Výpočty '!$B$1*0.9, MAX('Výpočty '!$B$1*0.05, J7 + M8 - MIN(O8, MAX(0, J7 - ('Výpočty '!$B$1*0.1))) - P8))</f>
        <v>11.480500000000003</v>
      </c>
      <c r="K8" s="46">
        <f>J8/'Výpočty '!$B$1</f>
        <v>0.57402500000000012</v>
      </c>
      <c r="L8" s="42">
        <f t="shared" si="1"/>
        <v>0</v>
      </c>
      <c r="M8" s="42">
        <f t="shared" si="2"/>
        <v>0</v>
      </c>
      <c r="N8" s="42">
        <f t="shared" si="3"/>
        <v>5.8999999999999997E-2</v>
      </c>
      <c r="O8" s="42">
        <f t="shared" si="10"/>
        <v>6.5555555555555547E-2</v>
      </c>
      <c r="P8" s="42">
        <f t="shared" si="4"/>
        <v>1.8249999999999999E-2</v>
      </c>
    </row>
    <row r="9" spans="1:16" x14ac:dyDescent="0.3">
      <c r="A9" s="47">
        <f t="shared" si="11"/>
        <v>46303</v>
      </c>
      <c r="B9" s="49">
        <f t="shared" si="12"/>
        <v>6.2499999999999993E-2</v>
      </c>
      <c r="C9" s="42">
        <f>'Říjen data'!V8+P9</f>
        <v>4.0749999999999995E-2</v>
      </c>
      <c r="D9" s="42">
        <f t="shared" si="5"/>
        <v>0</v>
      </c>
      <c r="E9">
        <f t="shared" si="6"/>
        <v>0</v>
      </c>
      <c r="F9" s="42">
        <f t="shared" si="7"/>
        <v>0</v>
      </c>
      <c r="G9" s="42">
        <f t="shared" si="8"/>
        <v>0</v>
      </c>
      <c r="H9" s="42">
        <f t="shared" si="9"/>
        <v>4.0749999999999995E-2</v>
      </c>
      <c r="I9" s="42">
        <f t="shared" si="0"/>
        <v>-4.0749999999999995E-2</v>
      </c>
      <c r="J9" s="43">
        <f>MIN('Výpočty '!$B$1*0.9, MAX('Výpočty '!$B$1*0.05, J8 + M9 - MIN(O9, MAX(0, J8 - ('Výpočty '!$B$1*0.1))) - P9))</f>
        <v>11.396694444444448</v>
      </c>
      <c r="K9" s="46">
        <f>J9/'Výpočty '!$B$1</f>
        <v>0.56983472222222242</v>
      </c>
      <c r="L9" s="42">
        <f t="shared" si="1"/>
        <v>0</v>
      </c>
      <c r="M9" s="42">
        <f t="shared" si="2"/>
        <v>0</v>
      </c>
      <c r="N9" s="42">
        <f t="shared" si="3"/>
        <v>5.8999999999999997E-2</v>
      </c>
      <c r="O9" s="42">
        <f t="shared" si="10"/>
        <v>6.5555555555555547E-2</v>
      </c>
      <c r="P9" s="42">
        <f t="shared" si="4"/>
        <v>1.8249999999999999E-2</v>
      </c>
    </row>
    <row r="10" spans="1:16" x14ac:dyDescent="0.3">
      <c r="A10" s="47">
        <f t="shared" si="11"/>
        <v>46303</v>
      </c>
      <c r="B10" s="49">
        <f t="shared" si="12"/>
        <v>7.2916666666666657E-2</v>
      </c>
      <c r="C10" s="42">
        <f>'Říjen data'!V9+P10</f>
        <v>4.0749999999999995E-2</v>
      </c>
      <c r="D10" s="42">
        <f t="shared" si="5"/>
        <v>0</v>
      </c>
      <c r="E10">
        <f t="shared" si="6"/>
        <v>0</v>
      </c>
      <c r="F10" s="42">
        <f t="shared" si="7"/>
        <v>0</v>
      </c>
      <c r="G10" s="42">
        <f t="shared" si="8"/>
        <v>0</v>
      </c>
      <c r="H10" s="42">
        <f t="shared" si="9"/>
        <v>4.0749999999999995E-2</v>
      </c>
      <c r="I10" s="42">
        <f t="shared" si="0"/>
        <v>-4.0749999999999995E-2</v>
      </c>
      <c r="J10" s="43">
        <f>MIN('Výpočty '!$B$1*0.9, MAX('Výpočty '!$B$1*0.05, J9 + M10 - MIN(O10, MAX(0, J9 - ('Výpočty '!$B$1*0.1))) - P10))</f>
        <v>11.312888888888892</v>
      </c>
      <c r="K10" s="46">
        <f>J10/'Výpočty '!$B$1</f>
        <v>0.56564444444444462</v>
      </c>
      <c r="L10" s="42">
        <f t="shared" si="1"/>
        <v>0</v>
      </c>
      <c r="M10" s="42">
        <f t="shared" si="2"/>
        <v>0</v>
      </c>
      <c r="N10" s="42">
        <f t="shared" si="3"/>
        <v>5.8999999999999997E-2</v>
      </c>
      <c r="O10" s="42">
        <f t="shared" si="10"/>
        <v>6.5555555555555547E-2</v>
      </c>
      <c r="P10" s="42">
        <f t="shared" si="4"/>
        <v>1.8249999999999999E-2</v>
      </c>
    </row>
    <row r="11" spans="1:16" x14ac:dyDescent="0.3">
      <c r="A11" s="47">
        <f t="shared" si="11"/>
        <v>46303</v>
      </c>
      <c r="B11" s="49">
        <f t="shared" si="12"/>
        <v>8.3333333333333329E-2</v>
      </c>
      <c r="C11" s="42">
        <f>'Říjen data'!V10+P11</f>
        <v>4.0749999999999995E-2</v>
      </c>
      <c r="D11" s="42">
        <f t="shared" si="5"/>
        <v>0</v>
      </c>
      <c r="E11">
        <f t="shared" si="6"/>
        <v>0</v>
      </c>
      <c r="F11" s="42">
        <f t="shared" si="7"/>
        <v>0</v>
      </c>
      <c r="G11" s="42">
        <f t="shared" si="8"/>
        <v>0</v>
      </c>
      <c r="H11" s="42">
        <f t="shared" si="9"/>
        <v>4.0749999999999995E-2</v>
      </c>
      <c r="I11" s="42">
        <f t="shared" si="0"/>
        <v>-4.0749999999999995E-2</v>
      </c>
      <c r="J11" s="43">
        <f>MIN('Výpočty '!$B$1*0.9, MAX('Výpočty '!$B$1*0.05, J10 + M11 - MIN(O11, MAX(0, J10 - ('Výpočty '!$B$1*0.1))) - P11))</f>
        <v>11.229083333333337</v>
      </c>
      <c r="K11" s="46">
        <f>J11/'Výpočty '!$B$1</f>
        <v>0.56145416666666681</v>
      </c>
      <c r="L11" s="42">
        <f t="shared" si="1"/>
        <v>0</v>
      </c>
      <c r="M11" s="42">
        <f t="shared" si="2"/>
        <v>0</v>
      </c>
      <c r="N11" s="42">
        <f t="shared" si="3"/>
        <v>5.8999999999999997E-2</v>
      </c>
      <c r="O11" s="42">
        <f t="shared" si="10"/>
        <v>6.5555555555555547E-2</v>
      </c>
      <c r="P11" s="42">
        <f t="shared" si="4"/>
        <v>1.8249999999999999E-2</v>
      </c>
    </row>
    <row r="12" spans="1:16" x14ac:dyDescent="0.3">
      <c r="A12" s="47">
        <f t="shared" si="11"/>
        <v>46303</v>
      </c>
      <c r="B12" s="49">
        <f t="shared" si="12"/>
        <v>9.375E-2</v>
      </c>
      <c r="C12" s="42">
        <f>'Říjen data'!V11+P12</f>
        <v>2.5749999999999999E-2</v>
      </c>
      <c r="D12" s="42">
        <f t="shared" si="5"/>
        <v>0</v>
      </c>
      <c r="E12">
        <f t="shared" si="6"/>
        <v>0</v>
      </c>
      <c r="F12" s="42">
        <f t="shared" si="7"/>
        <v>0</v>
      </c>
      <c r="G12" s="42">
        <f t="shared" si="8"/>
        <v>0</v>
      </c>
      <c r="H12" s="42">
        <f t="shared" si="9"/>
        <v>2.5749999999999999E-2</v>
      </c>
      <c r="I12" s="42">
        <f t="shared" si="0"/>
        <v>-2.5749999999999999E-2</v>
      </c>
      <c r="J12" s="43">
        <f>MIN('Výpočty '!$B$1*0.9, MAX('Výpočty '!$B$1*0.05, J11 + M12 - MIN(O12, MAX(0, J11 - ('Výpočty '!$B$1*0.1))) - P12))</f>
        <v>11.161944444444448</v>
      </c>
      <c r="K12" s="46">
        <f>J12/'Výpočty '!$B$1</f>
        <v>0.55809722222222236</v>
      </c>
      <c r="L12" s="42">
        <f t="shared" si="1"/>
        <v>0</v>
      </c>
      <c r="M12" s="42">
        <f t="shared" si="2"/>
        <v>0</v>
      </c>
      <c r="N12" s="42">
        <f t="shared" si="3"/>
        <v>4.3999999999999997E-2</v>
      </c>
      <c r="O12" s="42">
        <f t="shared" si="10"/>
        <v>4.8888888888888885E-2</v>
      </c>
      <c r="P12" s="42">
        <f t="shared" si="4"/>
        <v>1.8249999999999999E-2</v>
      </c>
    </row>
    <row r="13" spans="1:16" x14ac:dyDescent="0.3">
      <c r="A13" s="47">
        <f t="shared" si="11"/>
        <v>46303</v>
      </c>
      <c r="B13" s="49">
        <f t="shared" si="12"/>
        <v>0.10416666666666667</v>
      </c>
      <c r="C13" s="42">
        <f>'Říjen data'!V12+P13</f>
        <v>2.5749999999999999E-2</v>
      </c>
      <c r="D13" s="42">
        <f t="shared" si="5"/>
        <v>0</v>
      </c>
      <c r="E13">
        <f t="shared" si="6"/>
        <v>0</v>
      </c>
      <c r="F13" s="42">
        <f t="shared" si="7"/>
        <v>0</v>
      </c>
      <c r="G13" s="42">
        <f t="shared" si="8"/>
        <v>0</v>
      </c>
      <c r="H13" s="42">
        <f t="shared" si="9"/>
        <v>2.5749999999999999E-2</v>
      </c>
      <c r="I13" s="42">
        <f t="shared" si="0"/>
        <v>-2.5749999999999999E-2</v>
      </c>
      <c r="J13" s="43">
        <f>MIN('Výpočty '!$B$1*0.9, MAX('Výpočty '!$B$1*0.05, J12 + M13 - MIN(O13, MAX(0, J12 - ('Výpočty '!$B$1*0.1))) - P13))</f>
        <v>11.094805555555558</v>
      </c>
      <c r="K13" s="46">
        <f>J13/'Výpočty '!$B$1</f>
        <v>0.5547402777777779</v>
      </c>
      <c r="L13" s="42">
        <f t="shared" si="1"/>
        <v>0</v>
      </c>
      <c r="M13" s="42">
        <f t="shared" si="2"/>
        <v>0</v>
      </c>
      <c r="N13" s="42">
        <f t="shared" si="3"/>
        <v>4.3999999999999997E-2</v>
      </c>
      <c r="O13" s="42">
        <f t="shared" si="10"/>
        <v>4.8888888888888885E-2</v>
      </c>
      <c r="P13" s="42">
        <f t="shared" si="4"/>
        <v>1.8249999999999999E-2</v>
      </c>
    </row>
    <row r="14" spans="1:16" x14ac:dyDescent="0.3">
      <c r="A14" s="47">
        <f t="shared" si="11"/>
        <v>46303</v>
      </c>
      <c r="B14" s="49">
        <f t="shared" si="12"/>
        <v>0.11458333333333334</v>
      </c>
      <c r="C14" s="42">
        <f>'Říjen data'!V13+P14</f>
        <v>2.5749999999999999E-2</v>
      </c>
      <c r="D14" s="42">
        <f t="shared" si="5"/>
        <v>0</v>
      </c>
      <c r="E14">
        <f t="shared" si="6"/>
        <v>0</v>
      </c>
      <c r="F14" s="42">
        <f t="shared" si="7"/>
        <v>0</v>
      </c>
      <c r="G14" s="42">
        <f t="shared" si="8"/>
        <v>0</v>
      </c>
      <c r="H14" s="42">
        <f t="shared" si="9"/>
        <v>2.5749999999999999E-2</v>
      </c>
      <c r="I14" s="42">
        <f t="shared" si="0"/>
        <v>-2.5749999999999999E-2</v>
      </c>
      <c r="J14" s="43">
        <f>MIN('Výpočty '!$B$1*0.9, MAX('Výpočty '!$B$1*0.05, J13 + M14 - MIN(O14, MAX(0, J13 - ('Výpočty '!$B$1*0.1))) - P14))</f>
        <v>11.027666666666669</v>
      </c>
      <c r="K14" s="46">
        <f>J14/'Výpočty '!$B$1</f>
        <v>0.55138333333333345</v>
      </c>
      <c r="L14" s="42">
        <f t="shared" si="1"/>
        <v>0</v>
      </c>
      <c r="M14" s="42">
        <f t="shared" si="2"/>
        <v>0</v>
      </c>
      <c r="N14" s="42">
        <f t="shared" si="3"/>
        <v>4.3999999999999997E-2</v>
      </c>
      <c r="O14" s="42">
        <f t="shared" si="10"/>
        <v>4.8888888888888885E-2</v>
      </c>
      <c r="P14" s="42">
        <f t="shared" si="4"/>
        <v>1.8249999999999999E-2</v>
      </c>
    </row>
    <row r="15" spans="1:16" x14ac:dyDescent="0.3">
      <c r="A15" s="47">
        <f t="shared" si="11"/>
        <v>46303</v>
      </c>
      <c r="B15" s="49">
        <f t="shared" si="12"/>
        <v>0.125</v>
      </c>
      <c r="C15" s="42">
        <f>'Říjen data'!V14+P15</f>
        <v>2.5749999999999999E-2</v>
      </c>
      <c r="D15" s="42">
        <f t="shared" si="5"/>
        <v>0</v>
      </c>
      <c r="E15">
        <f t="shared" si="6"/>
        <v>0</v>
      </c>
      <c r="F15" s="42">
        <f t="shared" si="7"/>
        <v>0</v>
      </c>
      <c r="G15" s="42">
        <f t="shared" si="8"/>
        <v>0</v>
      </c>
      <c r="H15" s="42">
        <f t="shared" si="9"/>
        <v>2.5749999999999999E-2</v>
      </c>
      <c r="I15" s="42">
        <f t="shared" si="0"/>
        <v>-2.5749999999999999E-2</v>
      </c>
      <c r="J15" s="43">
        <f>MIN('Výpočty '!$B$1*0.9, MAX('Výpočty '!$B$1*0.05, J14 + M15 - MIN(O15, MAX(0, J14 - ('Výpočty '!$B$1*0.1))) - P15))</f>
        <v>10.960527777777779</v>
      </c>
      <c r="K15" s="46">
        <f>J15/'Výpočty '!$B$1</f>
        <v>0.54802638888888899</v>
      </c>
      <c r="L15" s="42">
        <f t="shared" si="1"/>
        <v>0</v>
      </c>
      <c r="M15" s="42">
        <f t="shared" si="2"/>
        <v>0</v>
      </c>
      <c r="N15" s="42">
        <f t="shared" si="3"/>
        <v>4.3999999999999997E-2</v>
      </c>
      <c r="O15" s="42">
        <f t="shared" si="10"/>
        <v>4.8888888888888885E-2</v>
      </c>
      <c r="P15" s="42">
        <f t="shared" si="4"/>
        <v>1.8249999999999999E-2</v>
      </c>
    </row>
    <row r="16" spans="1:16" x14ac:dyDescent="0.3">
      <c r="A16" s="47">
        <f t="shared" si="11"/>
        <v>46303</v>
      </c>
      <c r="B16" s="49">
        <f t="shared" si="12"/>
        <v>0.13541666666666666</v>
      </c>
      <c r="C16" s="42">
        <f>'Říjen data'!V15+P16</f>
        <v>2.5749999999999999E-2</v>
      </c>
      <c r="D16" s="42">
        <f t="shared" si="5"/>
        <v>0</v>
      </c>
      <c r="E16">
        <f t="shared" si="6"/>
        <v>0</v>
      </c>
      <c r="F16" s="42">
        <f t="shared" si="7"/>
        <v>0</v>
      </c>
      <c r="G16" s="42">
        <f t="shared" si="8"/>
        <v>0</v>
      </c>
      <c r="H16" s="42">
        <f t="shared" si="9"/>
        <v>2.5749999999999999E-2</v>
      </c>
      <c r="I16" s="42">
        <f t="shared" si="0"/>
        <v>-2.5749999999999999E-2</v>
      </c>
      <c r="J16" s="43">
        <f>MIN('Výpočty '!$B$1*0.9, MAX('Výpočty '!$B$1*0.05, J15 + M16 - MIN(O16, MAX(0, J15 - ('Výpočty '!$B$1*0.1))) - P16))</f>
        <v>10.893388888888889</v>
      </c>
      <c r="K16" s="46">
        <f>J16/'Výpočty '!$B$1</f>
        <v>0.54466944444444443</v>
      </c>
      <c r="L16" s="42">
        <f t="shared" si="1"/>
        <v>0</v>
      </c>
      <c r="M16" s="42">
        <f t="shared" si="2"/>
        <v>0</v>
      </c>
      <c r="N16" s="42">
        <f t="shared" si="3"/>
        <v>4.3999999999999997E-2</v>
      </c>
      <c r="O16" s="42">
        <f t="shared" si="10"/>
        <v>4.8888888888888885E-2</v>
      </c>
      <c r="P16" s="42">
        <f t="shared" si="4"/>
        <v>1.8249999999999999E-2</v>
      </c>
    </row>
    <row r="17" spans="1:16" x14ac:dyDescent="0.3">
      <c r="A17" s="47">
        <f t="shared" si="11"/>
        <v>46303</v>
      </c>
      <c r="B17" s="49">
        <f t="shared" si="12"/>
        <v>0.14583333333333331</v>
      </c>
      <c r="C17" s="42">
        <f>'Říjen data'!V16+P17</f>
        <v>2.5749999999999999E-2</v>
      </c>
      <c r="D17" s="42">
        <f t="shared" si="5"/>
        <v>0</v>
      </c>
      <c r="E17">
        <f t="shared" si="6"/>
        <v>0</v>
      </c>
      <c r="F17" s="42">
        <f t="shared" si="7"/>
        <v>0</v>
      </c>
      <c r="G17" s="42">
        <f t="shared" si="8"/>
        <v>0</v>
      </c>
      <c r="H17" s="42">
        <f t="shared" si="9"/>
        <v>2.5749999999999999E-2</v>
      </c>
      <c r="I17" s="42">
        <f t="shared" si="0"/>
        <v>-2.5749999999999999E-2</v>
      </c>
      <c r="J17" s="43">
        <f>MIN('Výpočty '!$B$1*0.9, MAX('Výpočty '!$B$1*0.05, J16 + M17 - MIN(O17, MAX(0, J16 - ('Výpočty '!$B$1*0.1))) - P17))</f>
        <v>10.82625</v>
      </c>
      <c r="K17" s="46">
        <f>J17/'Výpočty '!$B$1</f>
        <v>0.54131249999999997</v>
      </c>
      <c r="L17" s="42">
        <f t="shared" si="1"/>
        <v>0</v>
      </c>
      <c r="M17" s="42">
        <f t="shared" si="2"/>
        <v>0</v>
      </c>
      <c r="N17" s="42">
        <f t="shared" si="3"/>
        <v>4.3999999999999997E-2</v>
      </c>
      <c r="O17" s="42">
        <f t="shared" si="10"/>
        <v>4.8888888888888885E-2</v>
      </c>
      <c r="P17" s="42">
        <f t="shared" si="4"/>
        <v>1.8249999999999999E-2</v>
      </c>
    </row>
    <row r="18" spans="1:16" x14ac:dyDescent="0.3">
      <c r="A18" s="47">
        <f t="shared" si="11"/>
        <v>46303</v>
      </c>
      <c r="B18" s="49">
        <f t="shared" si="12"/>
        <v>0.15624999999999997</v>
      </c>
      <c r="C18" s="42">
        <f>'Říjen data'!V17+P18</f>
        <v>2.5749999999999999E-2</v>
      </c>
      <c r="D18" s="42">
        <f t="shared" si="5"/>
        <v>0</v>
      </c>
      <c r="E18">
        <f t="shared" si="6"/>
        <v>0</v>
      </c>
      <c r="F18" s="42">
        <f t="shared" si="7"/>
        <v>0</v>
      </c>
      <c r="G18" s="42">
        <f t="shared" si="8"/>
        <v>0</v>
      </c>
      <c r="H18" s="42">
        <f t="shared" si="9"/>
        <v>2.5749999999999999E-2</v>
      </c>
      <c r="I18" s="42">
        <f t="shared" si="0"/>
        <v>-2.5749999999999999E-2</v>
      </c>
      <c r="J18" s="43">
        <f>MIN('Výpočty '!$B$1*0.9, MAX('Výpočty '!$B$1*0.05, J17 + M18 - MIN(O18, MAX(0, J17 - ('Výpočty '!$B$1*0.1))) - P18))</f>
        <v>10.75911111111111</v>
      </c>
      <c r="K18" s="46">
        <f>J18/'Výpočty '!$B$1</f>
        <v>0.53795555555555552</v>
      </c>
      <c r="L18" s="42">
        <f t="shared" si="1"/>
        <v>0</v>
      </c>
      <c r="M18" s="42">
        <f t="shared" si="2"/>
        <v>0</v>
      </c>
      <c r="N18" s="42">
        <f t="shared" si="3"/>
        <v>4.3999999999999997E-2</v>
      </c>
      <c r="O18" s="42">
        <f t="shared" si="10"/>
        <v>4.8888888888888885E-2</v>
      </c>
      <c r="P18" s="42">
        <f t="shared" si="4"/>
        <v>1.8249999999999999E-2</v>
      </c>
    </row>
    <row r="19" spans="1:16" x14ac:dyDescent="0.3">
      <c r="A19" s="47">
        <f t="shared" si="11"/>
        <v>46303</v>
      </c>
      <c r="B19" s="49">
        <f t="shared" si="12"/>
        <v>0.16666666666666663</v>
      </c>
      <c r="C19" s="42">
        <f>'Říjen data'!V18+P19</f>
        <v>2.5749999999999999E-2</v>
      </c>
      <c r="D19" s="42">
        <f t="shared" si="5"/>
        <v>0</v>
      </c>
      <c r="E19">
        <f t="shared" si="6"/>
        <v>0</v>
      </c>
      <c r="F19" s="42">
        <f t="shared" si="7"/>
        <v>0</v>
      </c>
      <c r="G19" s="42">
        <f t="shared" si="8"/>
        <v>0</v>
      </c>
      <c r="H19" s="42">
        <f t="shared" si="9"/>
        <v>2.5749999999999999E-2</v>
      </c>
      <c r="I19" s="42">
        <f t="shared" si="0"/>
        <v>-2.5749999999999999E-2</v>
      </c>
      <c r="J19" s="43">
        <f>MIN('Výpočty '!$B$1*0.9, MAX('Výpočty '!$B$1*0.05, J18 + M19 - MIN(O19, MAX(0, J18 - ('Výpočty '!$B$1*0.1))) - P19))</f>
        <v>10.691972222222221</v>
      </c>
      <c r="K19" s="46">
        <f>J19/'Výpočty '!$B$1</f>
        <v>0.53459861111111107</v>
      </c>
      <c r="L19" s="42">
        <f t="shared" si="1"/>
        <v>0</v>
      </c>
      <c r="M19" s="42">
        <f t="shared" si="2"/>
        <v>0</v>
      </c>
      <c r="N19" s="42">
        <f t="shared" si="3"/>
        <v>4.3999999999999997E-2</v>
      </c>
      <c r="O19" s="42">
        <f t="shared" si="10"/>
        <v>4.8888888888888885E-2</v>
      </c>
      <c r="P19" s="42">
        <f t="shared" si="4"/>
        <v>1.8249999999999999E-2</v>
      </c>
    </row>
    <row r="20" spans="1:16" x14ac:dyDescent="0.3">
      <c r="A20" s="47">
        <f t="shared" si="11"/>
        <v>46303</v>
      </c>
      <c r="B20" s="49">
        <f t="shared" si="12"/>
        <v>0.17708333333333329</v>
      </c>
      <c r="C20" s="42">
        <f>'Říjen data'!V19+P20</f>
        <v>2.5749999999999999E-2</v>
      </c>
      <c r="D20" s="42">
        <f t="shared" si="5"/>
        <v>0</v>
      </c>
      <c r="E20">
        <f t="shared" si="6"/>
        <v>0</v>
      </c>
      <c r="F20" s="42">
        <f t="shared" si="7"/>
        <v>0</v>
      </c>
      <c r="G20" s="42">
        <f t="shared" si="8"/>
        <v>0</v>
      </c>
      <c r="H20" s="42">
        <f t="shared" si="9"/>
        <v>2.5749999999999999E-2</v>
      </c>
      <c r="I20" s="42">
        <f t="shared" si="0"/>
        <v>-2.5749999999999999E-2</v>
      </c>
      <c r="J20" s="43">
        <f>MIN('Výpočty '!$B$1*0.9, MAX('Výpočty '!$B$1*0.05, J19 + M20 - MIN(O20, MAX(0, J19 - ('Výpočty '!$B$1*0.1))) - P20))</f>
        <v>10.624833333333331</v>
      </c>
      <c r="K20" s="46">
        <f>J20/'Výpočty '!$B$1</f>
        <v>0.53124166666666661</v>
      </c>
      <c r="L20" s="42">
        <f t="shared" si="1"/>
        <v>0</v>
      </c>
      <c r="M20" s="42">
        <f t="shared" si="2"/>
        <v>0</v>
      </c>
      <c r="N20" s="42">
        <f t="shared" si="3"/>
        <v>4.3999999999999997E-2</v>
      </c>
      <c r="O20" s="42">
        <f t="shared" si="10"/>
        <v>4.8888888888888885E-2</v>
      </c>
      <c r="P20" s="42">
        <f t="shared" si="4"/>
        <v>1.8249999999999999E-2</v>
      </c>
    </row>
    <row r="21" spans="1:16" x14ac:dyDescent="0.3">
      <c r="A21" s="47">
        <f t="shared" si="11"/>
        <v>46303</v>
      </c>
      <c r="B21" s="49">
        <f t="shared" si="12"/>
        <v>0.18749999999999994</v>
      </c>
      <c r="C21" s="42">
        <f>'Říjen data'!V20+P21</f>
        <v>2.5749999999999999E-2</v>
      </c>
      <c r="D21" s="42">
        <f t="shared" si="5"/>
        <v>0</v>
      </c>
      <c r="E21">
        <f t="shared" si="6"/>
        <v>0</v>
      </c>
      <c r="F21" s="42">
        <f t="shared" si="7"/>
        <v>0</v>
      </c>
      <c r="G21" s="42">
        <f t="shared" si="8"/>
        <v>0</v>
      </c>
      <c r="H21" s="42">
        <f t="shared" si="9"/>
        <v>2.5749999999999999E-2</v>
      </c>
      <c r="I21" s="42">
        <f t="shared" si="0"/>
        <v>-2.5749999999999999E-2</v>
      </c>
      <c r="J21" s="43">
        <f>MIN('Výpočty '!$B$1*0.9, MAX('Výpočty '!$B$1*0.05, J20 + M21 - MIN(O21, MAX(0, J20 - ('Výpočty '!$B$1*0.1))) - P21))</f>
        <v>10.557694444444442</v>
      </c>
      <c r="K21" s="46">
        <f>J21/'Výpočty '!$B$1</f>
        <v>0.52788472222222205</v>
      </c>
      <c r="L21" s="42">
        <f t="shared" si="1"/>
        <v>0</v>
      </c>
      <c r="M21" s="42">
        <f t="shared" si="2"/>
        <v>0</v>
      </c>
      <c r="N21" s="42">
        <f t="shared" si="3"/>
        <v>4.3999999999999997E-2</v>
      </c>
      <c r="O21" s="42">
        <f t="shared" si="10"/>
        <v>4.8888888888888885E-2</v>
      </c>
      <c r="P21" s="42">
        <f t="shared" si="4"/>
        <v>1.8249999999999999E-2</v>
      </c>
    </row>
    <row r="22" spans="1:16" x14ac:dyDescent="0.3">
      <c r="A22" s="47">
        <f t="shared" si="11"/>
        <v>46303</v>
      </c>
      <c r="B22" s="49">
        <f t="shared" si="12"/>
        <v>0.1979166666666666</v>
      </c>
      <c r="C22" s="42">
        <f>'Říjen data'!V21+P22</f>
        <v>2.5749999999999999E-2</v>
      </c>
      <c r="D22" s="42">
        <f t="shared" si="5"/>
        <v>0</v>
      </c>
      <c r="E22">
        <f t="shared" si="6"/>
        <v>0</v>
      </c>
      <c r="F22" s="42">
        <f t="shared" si="7"/>
        <v>0</v>
      </c>
      <c r="G22" s="42">
        <f t="shared" si="8"/>
        <v>0</v>
      </c>
      <c r="H22" s="42">
        <f t="shared" si="9"/>
        <v>2.5749999999999999E-2</v>
      </c>
      <c r="I22" s="42">
        <f t="shared" si="0"/>
        <v>-2.5749999999999999E-2</v>
      </c>
      <c r="J22" s="43">
        <f>MIN('Výpočty '!$B$1*0.9, MAX('Výpočty '!$B$1*0.05, J21 + M22 - MIN(O22, MAX(0, J21 - ('Výpočty '!$B$1*0.1))) - P22))</f>
        <v>10.490555555555552</v>
      </c>
      <c r="K22" s="46">
        <f>J22/'Výpočty '!$B$1</f>
        <v>0.52452777777777759</v>
      </c>
      <c r="L22" s="42">
        <f t="shared" si="1"/>
        <v>0</v>
      </c>
      <c r="M22" s="42">
        <f t="shared" si="2"/>
        <v>0</v>
      </c>
      <c r="N22" s="42">
        <f t="shared" si="3"/>
        <v>4.3999999999999997E-2</v>
      </c>
      <c r="O22" s="42">
        <f t="shared" si="10"/>
        <v>4.8888888888888885E-2</v>
      </c>
      <c r="P22" s="42">
        <f t="shared" si="4"/>
        <v>1.8249999999999999E-2</v>
      </c>
    </row>
    <row r="23" spans="1:16" x14ac:dyDescent="0.3">
      <c r="A23" s="47">
        <f t="shared" si="11"/>
        <v>46303</v>
      </c>
      <c r="B23" s="49">
        <f t="shared" si="12"/>
        <v>0.20833333333333326</v>
      </c>
      <c r="C23" s="42">
        <f>'Říjen data'!V22+P23</f>
        <v>2.5749999999999999E-2</v>
      </c>
      <c r="D23" s="42">
        <f t="shared" si="5"/>
        <v>0</v>
      </c>
      <c r="E23">
        <f t="shared" si="6"/>
        <v>0</v>
      </c>
      <c r="F23" s="42">
        <f t="shared" si="7"/>
        <v>0</v>
      </c>
      <c r="G23" s="42">
        <f t="shared" si="8"/>
        <v>0</v>
      </c>
      <c r="H23" s="42">
        <f t="shared" si="9"/>
        <v>2.5749999999999999E-2</v>
      </c>
      <c r="I23" s="42">
        <f t="shared" si="0"/>
        <v>-2.5749999999999999E-2</v>
      </c>
      <c r="J23" s="43">
        <f>MIN('Výpočty '!$B$1*0.9, MAX('Výpočty '!$B$1*0.05, J22 + M23 - MIN(O23, MAX(0, J22 - ('Výpočty '!$B$1*0.1))) - P23))</f>
        <v>10.423416666666663</v>
      </c>
      <c r="K23" s="46">
        <f>J23/'Výpočty '!$B$1</f>
        <v>0.52117083333333314</v>
      </c>
      <c r="L23" s="42">
        <f t="shared" si="1"/>
        <v>0</v>
      </c>
      <c r="M23" s="42">
        <f t="shared" si="2"/>
        <v>0</v>
      </c>
      <c r="N23" s="42">
        <f t="shared" si="3"/>
        <v>4.3999999999999997E-2</v>
      </c>
      <c r="O23" s="42">
        <f t="shared" si="10"/>
        <v>4.8888888888888885E-2</v>
      </c>
      <c r="P23" s="42">
        <f t="shared" si="4"/>
        <v>1.8249999999999999E-2</v>
      </c>
    </row>
    <row r="24" spans="1:16" x14ac:dyDescent="0.3">
      <c r="A24" s="47">
        <f t="shared" si="11"/>
        <v>46303</v>
      </c>
      <c r="B24" s="49">
        <f t="shared" si="12"/>
        <v>0.21874999999999992</v>
      </c>
      <c r="C24" s="42">
        <f>'Říjen data'!V23+P24</f>
        <v>2.5749999999999999E-2</v>
      </c>
      <c r="D24" s="42">
        <f t="shared" si="5"/>
        <v>0</v>
      </c>
      <c r="E24">
        <f t="shared" si="6"/>
        <v>0</v>
      </c>
      <c r="F24" s="42">
        <f t="shared" si="7"/>
        <v>0</v>
      </c>
      <c r="G24" s="42">
        <f t="shared" si="8"/>
        <v>0</v>
      </c>
      <c r="H24" s="42">
        <f t="shared" si="9"/>
        <v>2.5749999999999999E-2</v>
      </c>
      <c r="I24" s="42">
        <f t="shared" si="0"/>
        <v>-2.5749999999999999E-2</v>
      </c>
      <c r="J24" s="43">
        <f>MIN('Výpočty '!$B$1*0.9, MAX('Výpočty '!$B$1*0.05, J23 + M24 - MIN(O24, MAX(0, J23 - ('Výpočty '!$B$1*0.1))) - P24))</f>
        <v>10.356277777777773</v>
      </c>
      <c r="K24" s="46">
        <f>J24/'Výpočty '!$B$1</f>
        <v>0.51781388888888868</v>
      </c>
      <c r="L24" s="42">
        <f t="shared" si="1"/>
        <v>0</v>
      </c>
      <c r="M24" s="42">
        <f t="shared" si="2"/>
        <v>0</v>
      </c>
      <c r="N24" s="42">
        <f t="shared" si="3"/>
        <v>4.3999999999999997E-2</v>
      </c>
      <c r="O24" s="42">
        <f t="shared" si="10"/>
        <v>4.8888888888888885E-2</v>
      </c>
      <c r="P24" s="42">
        <f t="shared" si="4"/>
        <v>1.8249999999999999E-2</v>
      </c>
    </row>
    <row r="25" spans="1:16" x14ac:dyDescent="0.3">
      <c r="A25" s="47">
        <f t="shared" si="11"/>
        <v>46303</v>
      </c>
      <c r="B25" s="49">
        <f t="shared" si="12"/>
        <v>0.22916666666666657</v>
      </c>
      <c r="C25" s="42">
        <f>'Říjen data'!V24+P25</f>
        <v>2.5749999999999999E-2</v>
      </c>
      <c r="D25" s="42">
        <f t="shared" si="5"/>
        <v>1E-3</v>
      </c>
      <c r="E25">
        <f t="shared" si="6"/>
        <v>1E-3</v>
      </c>
      <c r="F25" s="42">
        <f t="shared" si="7"/>
        <v>0</v>
      </c>
      <c r="G25" s="42">
        <f t="shared" si="8"/>
        <v>0</v>
      </c>
      <c r="H25" s="42">
        <f t="shared" si="9"/>
        <v>2.4749999999999998E-2</v>
      </c>
      <c r="I25" s="42">
        <f t="shared" si="0"/>
        <v>-2.4749999999999998E-2</v>
      </c>
      <c r="J25" s="43">
        <f>MIN('Výpočty '!$B$1*0.9, MAX('Výpočty '!$B$1*0.05, J24 + M25 - MIN(O25, MAX(0, J24 - ('Výpočty '!$B$1*0.1))) - P25))</f>
        <v>10.290249999999995</v>
      </c>
      <c r="K25" s="46">
        <f>J25/'Výpočty '!$B$1</f>
        <v>0.51451249999999971</v>
      </c>
      <c r="L25" s="42">
        <f t="shared" si="1"/>
        <v>0</v>
      </c>
      <c r="M25" s="42">
        <f t="shared" si="2"/>
        <v>0</v>
      </c>
      <c r="N25" s="42">
        <f t="shared" si="3"/>
        <v>4.2999999999999997E-2</v>
      </c>
      <c r="O25" s="42">
        <f t="shared" si="10"/>
        <v>4.7777777777777773E-2</v>
      </c>
      <c r="P25" s="42">
        <f t="shared" si="4"/>
        <v>1.8249999999999999E-2</v>
      </c>
    </row>
    <row r="26" spans="1:16" x14ac:dyDescent="0.3">
      <c r="A26" s="47">
        <f t="shared" si="11"/>
        <v>46303</v>
      </c>
      <c r="B26" s="49">
        <f t="shared" si="12"/>
        <v>0.23958333333333323</v>
      </c>
      <c r="C26" s="42">
        <f>'Říjen data'!V25+P26</f>
        <v>2.5749999999999999E-2</v>
      </c>
      <c r="D26" s="42">
        <f t="shared" si="5"/>
        <v>1E-3</v>
      </c>
      <c r="E26">
        <f t="shared" si="6"/>
        <v>1E-3</v>
      </c>
      <c r="F26" s="42">
        <f t="shared" si="7"/>
        <v>0</v>
      </c>
      <c r="G26" s="42">
        <f t="shared" si="8"/>
        <v>0</v>
      </c>
      <c r="H26" s="42">
        <f t="shared" si="9"/>
        <v>2.4749999999999998E-2</v>
      </c>
      <c r="I26" s="42">
        <f t="shared" si="0"/>
        <v>-2.4749999999999998E-2</v>
      </c>
      <c r="J26" s="43">
        <f>MIN('Výpočty '!$B$1*0.9, MAX('Výpočty '!$B$1*0.05, J25 + M26 - MIN(O26, MAX(0, J25 - ('Výpočty '!$B$1*0.1))) - P26))</f>
        <v>10.224222222222217</v>
      </c>
      <c r="K26" s="46">
        <f>J26/'Výpočty '!$B$1</f>
        <v>0.51121111111111084</v>
      </c>
      <c r="L26" s="42">
        <f t="shared" si="1"/>
        <v>0</v>
      </c>
      <c r="M26" s="42">
        <f t="shared" si="2"/>
        <v>0</v>
      </c>
      <c r="N26" s="42">
        <f t="shared" si="3"/>
        <v>4.2999999999999997E-2</v>
      </c>
      <c r="O26" s="42">
        <f t="shared" si="10"/>
        <v>4.7777777777777773E-2</v>
      </c>
      <c r="P26" s="42">
        <f t="shared" si="4"/>
        <v>1.8249999999999999E-2</v>
      </c>
    </row>
    <row r="27" spans="1:16" x14ac:dyDescent="0.3">
      <c r="A27" s="47">
        <f t="shared" si="11"/>
        <v>46303</v>
      </c>
      <c r="B27" s="49">
        <f t="shared" si="12"/>
        <v>0.24999999999999989</v>
      </c>
      <c r="C27" s="42">
        <f>'Říjen data'!V26+P27</f>
        <v>3.3750000000000002E-2</v>
      </c>
      <c r="D27" s="42">
        <f t="shared" si="5"/>
        <v>2E-3</v>
      </c>
      <c r="E27">
        <f t="shared" si="6"/>
        <v>2E-3</v>
      </c>
      <c r="F27" s="42">
        <f t="shared" si="7"/>
        <v>0</v>
      </c>
      <c r="G27" s="42">
        <f t="shared" si="8"/>
        <v>0</v>
      </c>
      <c r="H27" s="42">
        <f t="shared" si="9"/>
        <v>3.175E-2</v>
      </c>
      <c r="I27" s="42">
        <f t="shared" si="0"/>
        <v>-3.175E-2</v>
      </c>
      <c r="J27" s="43">
        <f>MIN('Výpočty '!$B$1*0.9, MAX('Výpočty '!$B$1*0.05, J26 + M27 - MIN(O27, MAX(0, J26 - ('Výpočty '!$B$1*0.1))) - P27))</f>
        <v>10.150416666666661</v>
      </c>
      <c r="K27" s="46">
        <f>J27/'Výpočty '!$B$1</f>
        <v>0.50752083333333309</v>
      </c>
      <c r="L27" s="42">
        <f t="shared" si="1"/>
        <v>0</v>
      </c>
      <c r="M27" s="42">
        <f t="shared" si="2"/>
        <v>0</v>
      </c>
      <c r="N27" s="42">
        <f t="shared" si="3"/>
        <v>0.05</v>
      </c>
      <c r="O27" s="42">
        <f t="shared" si="10"/>
        <v>5.5555555555555559E-2</v>
      </c>
      <c r="P27" s="42">
        <f t="shared" si="4"/>
        <v>1.8249999999999999E-2</v>
      </c>
    </row>
    <row r="28" spans="1:16" x14ac:dyDescent="0.3">
      <c r="A28" s="47">
        <f t="shared" si="11"/>
        <v>46303</v>
      </c>
      <c r="B28" s="49">
        <f t="shared" si="12"/>
        <v>0.26041666666666657</v>
      </c>
      <c r="C28" s="42">
        <f>'Říjen data'!V27+P28</f>
        <v>3.3750000000000002E-2</v>
      </c>
      <c r="D28" s="42">
        <f t="shared" si="5"/>
        <v>4.0000000000000001E-3</v>
      </c>
      <c r="E28">
        <f t="shared" si="6"/>
        <v>4.0000000000000001E-3</v>
      </c>
      <c r="F28" s="42">
        <f t="shared" si="7"/>
        <v>0</v>
      </c>
      <c r="G28" s="42">
        <f t="shared" si="8"/>
        <v>0</v>
      </c>
      <c r="H28" s="42">
        <f t="shared" si="9"/>
        <v>2.9750000000000002E-2</v>
      </c>
      <c r="I28" s="42">
        <f t="shared" si="0"/>
        <v>-2.9750000000000002E-2</v>
      </c>
      <c r="J28" s="43">
        <f>MIN('Výpočty '!$B$1*0.9, MAX('Výpočty '!$B$1*0.05, J27 + M28 - MIN(O28, MAX(0, J27 - ('Výpočty '!$B$1*0.1))) - P28))</f>
        <v>10.078833333333328</v>
      </c>
      <c r="K28" s="46">
        <f>J28/'Výpočty '!$B$1</f>
        <v>0.5039416666666664</v>
      </c>
      <c r="L28" s="42">
        <f t="shared" si="1"/>
        <v>0</v>
      </c>
      <c r="M28" s="42">
        <f t="shared" si="2"/>
        <v>0</v>
      </c>
      <c r="N28" s="42">
        <f t="shared" si="3"/>
        <v>4.8000000000000001E-2</v>
      </c>
      <c r="O28" s="42">
        <f t="shared" si="10"/>
        <v>5.333333333333333E-2</v>
      </c>
      <c r="P28" s="42">
        <f t="shared" si="4"/>
        <v>1.8249999999999999E-2</v>
      </c>
    </row>
    <row r="29" spans="1:16" x14ac:dyDescent="0.3">
      <c r="A29" s="47">
        <f t="shared" si="11"/>
        <v>46303</v>
      </c>
      <c r="B29" s="49">
        <f t="shared" si="12"/>
        <v>0.27083333333333326</v>
      </c>
      <c r="C29" s="42">
        <f>'Říjen data'!V28+P29</f>
        <v>0.41775000000000001</v>
      </c>
      <c r="D29" s="42">
        <f t="shared" si="5"/>
        <v>6.0000000000000001E-3</v>
      </c>
      <c r="E29">
        <f t="shared" si="6"/>
        <v>6.0000000000000001E-3</v>
      </c>
      <c r="F29" s="42">
        <f t="shared" si="7"/>
        <v>0</v>
      </c>
      <c r="G29" s="42">
        <f t="shared" si="8"/>
        <v>0</v>
      </c>
      <c r="H29" s="42">
        <f t="shared" si="9"/>
        <v>0.41175</v>
      </c>
      <c r="I29" s="42">
        <f t="shared" si="0"/>
        <v>-0.41175</v>
      </c>
      <c r="J29" s="43">
        <f>MIN('Výpočty '!$B$1*0.9, MAX('Výpočty '!$B$1*0.05, J28 + M29 - MIN(O29, MAX(0, J28 - ('Výpočty '!$B$1*0.1))) - P29))</f>
        <v>9.5828055555555505</v>
      </c>
      <c r="K29" s="46">
        <f>J29/'Výpočty '!$B$1</f>
        <v>0.47914027777777751</v>
      </c>
      <c r="L29" s="42">
        <f t="shared" si="1"/>
        <v>0</v>
      </c>
      <c r="M29" s="42">
        <f t="shared" si="2"/>
        <v>0</v>
      </c>
      <c r="N29" s="42">
        <f t="shared" si="3"/>
        <v>0.43</v>
      </c>
      <c r="O29" s="42">
        <f t="shared" si="10"/>
        <v>0.47777777777777775</v>
      </c>
      <c r="P29" s="42">
        <f t="shared" si="4"/>
        <v>1.8249999999999999E-2</v>
      </c>
    </row>
    <row r="30" spans="1:16" x14ac:dyDescent="0.3">
      <c r="A30" s="47">
        <f t="shared" si="11"/>
        <v>46303</v>
      </c>
      <c r="B30" s="49">
        <f t="shared" si="12"/>
        <v>0.28124999999999994</v>
      </c>
      <c r="C30" s="42">
        <f>'Říjen data'!V29+P30</f>
        <v>0.61025000000000007</v>
      </c>
      <c r="D30" s="42">
        <f t="shared" si="5"/>
        <v>0.01</v>
      </c>
      <c r="E30">
        <f t="shared" si="6"/>
        <v>0.01</v>
      </c>
      <c r="F30" s="42">
        <f t="shared" si="7"/>
        <v>0</v>
      </c>
      <c r="G30" s="42">
        <f t="shared" si="8"/>
        <v>0</v>
      </c>
      <c r="H30" s="42">
        <f t="shared" si="9"/>
        <v>0.60025000000000006</v>
      </c>
      <c r="I30" s="42">
        <f t="shared" si="0"/>
        <v>-0.60025000000000006</v>
      </c>
      <c r="J30" s="43">
        <f>MIN('Výpočty '!$B$1*0.9, MAX('Výpočty '!$B$1*0.05, J29 + M30 - MIN(O30, MAX(0, J29 - ('Výpočty '!$B$1*0.1))) - P30))</f>
        <v>8.8773333333333273</v>
      </c>
      <c r="K30" s="46">
        <f>J30/'Výpočty '!$B$1</f>
        <v>0.44386666666666635</v>
      </c>
      <c r="L30" s="42">
        <f t="shared" si="1"/>
        <v>0</v>
      </c>
      <c r="M30" s="42">
        <f t="shared" si="2"/>
        <v>0</v>
      </c>
      <c r="N30" s="42">
        <f t="shared" si="3"/>
        <v>0.61850000000000005</v>
      </c>
      <c r="O30" s="42">
        <f t="shared" si="10"/>
        <v>0.68722222222222229</v>
      </c>
      <c r="P30" s="42">
        <f t="shared" si="4"/>
        <v>1.8249999999999999E-2</v>
      </c>
    </row>
    <row r="31" spans="1:16" x14ac:dyDescent="0.3">
      <c r="A31" s="47">
        <f t="shared" si="11"/>
        <v>46303</v>
      </c>
      <c r="B31" s="49">
        <f t="shared" si="12"/>
        <v>0.29166666666666663</v>
      </c>
      <c r="C31" s="42">
        <f>'Říjen data'!V30+P31</f>
        <v>2.2927499999999998</v>
      </c>
      <c r="D31" s="42">
        <f t="shared" si="5"/>
        <v>1.4999999999999999E-2</v>
      </c>
      <c r="E31">
        <f t="shared" si="6"/>
        <v>1.4999999999999999E-2</v>
      </c>
      <c r="F31" s="42">
        <f t="shared" si="7"/>
        <v>0</v>
      </c>
      <c r="G31" s="42">
        <f t="shared" si="8"/>
        <v>0</v>
      </c>
      <c r="H31" s="42">
        <f t="shared" si="9"/>
        <v>2.2777499999999997</v>
      </c>
      <c r="I31" s="42">
        <f t="shared" si="0"/>
        <v>-2.2777499999999997</v>
      </c>
      <c r="J31" s="43">
        <f>MIN('Výpočty '!$B$1*0.9, MAX('Výpočty '!$B$1*0.05, J30 + M31 - MIN(O31, MAX(0, J30 - ('Výpočty '!$B$1*0.1))) - P31))</f>
        <v>6.307972222222217</v>
      </c>
      <c r="K31" s="46">
        <f>J31/'Výpočty '!$B$1</f>
        <v>0.31539861111111084</v>
      </c>
      <c r="L31" s="42">
        <f t="shared" si="1"/>
        <v>0</v>
      </c>
      <c r="M31" s="42">
        <f t="shared" si="2"/>
        <v>0</v>
      </c>
      <c r="N31" s="42">
        <f t="shared" si="3"/>
        <v>2.2959999999999998</v>
      </c>
      <c r="O31" s="42">
        <f t="shared" si="10"/>
        <v>2.5511111111111107</v>
      </c>
      <c r="P31" s="42">
        <f t="shared" si="4"/>
        <v>1.8249999999999999E-2</v>
      </c>
    </row>
    <row r="32" spans="1:16" x14ac:dyDescent="0.3">
      <c r="A32" s="47">
        <f t="shared" si="11"/>
        <v>46303</v>
      </c>
      <c r="B32" s="49">
        <f t="shared" si="12"/>
        <v>0.30208333333333331</v>
      </c>
      <c r="C32" s="42">
        <f>'Říjen data'!V31+P32</f>
        <v>2.6557499999999998</v>
      </c>
      <c r="D32" s="42">
        <f t="shared" si="5"/>
        <v>2.4E-2</v>
      </c>
      <c r="E32">
        <f t="shared" si="6"/>
        <v>2.4E-2</v>
      </c>
      <c r="F32" s="42">
        <f t="shared" si="7"/>
        <v>0</v>
      </c>
      <c r="G32" s="42">
        <f t="shared" si="8"/>
        <v>0</v>
      </c>
      <c r="H32" s="42">
        <f t="shared" si="9"/>
        <v>2.6317499999999998</v>
      </c>
      <c r="I32" s="42">
        <f t="shared" si="0"/>
        <v>-2.6317499999999998</v>
      </c>
      <c r="J32" s="43">
        <f>MIN('Výpočty '!$B$1*0.9, MAX('Výpočty '!$B$1*0.05, J31 + M32 - MIN(O32, MAX(0, J31 - ('Výpočty '!$B$1*0.1))) - P32))</f>
        <v>3.3452777777777727</v>
      </c>
      <c r="K32" s="46">
        <f>J32/'Výpočty '!$B$1</f>
        <v>0.16726388888888863</v>
      </c>
      <c r="L32" s="42">
        <f t="shared" si="1"/>
        <v>0</v>
      </c>
      <c r="M32" s="42">
        <f t="shared" si="2"/>
        <v>0</v>
      </c>
      <c r="N32" s="42">
        <f t="shared" si="3"/>
        <v>2.65</v>
      </c>
      <c r="O32" s="42">
        <f t="shared" si="10"/>
        <v>2.9444444444444442</v>
      </c>
      <c r="P32" s="42">
        <f t="shared" si="4"/>
        <v>1.8249999999999999E-2</v>
      </c>
    </row>
    <row r="33" spans="1:16" x14ac:dyDescent="0.3">
      <c r="A33" s="47">
        <f t="shared" si="11"/>
        <v>46303</v>
      </c>
      <c r="B33" s="49">
        <f t="shared" si="12"/>
        <v>0.3125</v>
      </c>
      <c r="C33" s="42">
        <f>'Říjen data'!V32+P33</f>
        <v>2.3307499999999997</v>
      </c>
      <c r="D33" s="42">
        <f t="shared" si="5"/>
        <v>3.5999999999999997E-2</v>
      </c>
      <c r="E33">
        <f t="shared" si="6"/>
        <v>3.5999999999999997E-2</v>
      </c>
      <c r="F33" s="42">
        <f t="shared" si="7"/>
        <v>0</v>
      </c>
      <c r="G33" s="42">
        <f t="shared" si="8"/>
        <v>0</v>
      </c>
      <c r="H33" s="42">
        <f t="shared" si="9"/>
        <v>2.2947499999999996</v>
      </c>
      <c r="I33" s="42">
        <f t="shared" si="0"/>
        <v>-2.2947499999999996</v>
      </c>
      <c r="J33" s="43">
        <f>MIN('Výpočty '!$B$1*0.9, MAX('Výpočty '!$B$1*0.05, J32 + M33 - MIN(O33, MAX(0, J32 - ('Výpočty '!$B$1*0.1))) - P33))</f>
        <v>1.9817499999999999</v>
      </c>
      <c r="K33" s="46">
        <f>J33/'Výpočty '!$B$1</f>
        <v>9.9087499999999995E-2</v>
      </c>
      <c r="L33" s="42">
        <f t="shared" si="1"/>
        <v>0</v>
      </c>
      <c r="M33" s="42">
        <f t="shared" si="2"/>
        <v>0</v>
      </c>
      <c r="N33" s="42">
        <f t="shared" si="3"/>
        <v>2.3129999999999997</v>
      </c>
      <c r="O33" s="42">
        <f t="shared" si="10"/>
        <v>2.57</v>
      </c>
      <c r="P33" s="42">
        <f t="shared" si="4"/>
        <v>1.8249999999999999E-2</v>
      </c>
    </row>
    <row r="34" spans="1:16" x14ac:dyDescent="0.3">
      <c r="A34" s="47">
        <f t="shared" si="11"/>
        <v>46303</v>
      </c>
      <c r="B34" s="49">
        <f t="shared" si="12"/>
        <v>0.32291666666666669</v>
      </c>
      <c r="C34" s="42">
        <f>'Říjen data'!V33+P34</f>
        <v>0.40075</v>
      </c>
      <c r="D34" s="42">
        <f t="shared" si="5"/>
        <v>5.2999999999999999E-2</v>
      </c>
      <c r="E34">
        <f t="shared" si="6"/>
        <v>5.2999999999999999E-2</v>
      </c>
      <c r="F34" s="42">
        <f t="shared" si="7"/>
        <v>0</v>
      </c>
      <c r="G34" s="42">
        <f t="shared" si="8"/>
        <v>0</v>
      </c>
      <c r="H34" s="42">
        <f t="shared" si="9"/>
        <v>0.34775</v>
      </c>
      <c r="I34" s="42">
        <f t="shared" si="0"/>
        <v>-0.34775</v>
      </c>
      <c r="J34" s="43">
        <f>MIN('Výpočty '!$B$1*0.9, MAX('Výpočty '!$B$1*0.05, J33 + M34 - MIN(O34, MAX(0, J33 - ('Výpočty '!$B$1*0.1))) - P34))</f>
        <v>1.9634999999999998</v>
      </c>
      <c r="K34" s="46">
        <f>J34/'Výpočty '!$B$1</f>
        <v>9.8174999999999985E-2</v>
      </c>
      <c r="L34" s="42">
        <f t="shared" si="1"/>
        <v>0</v>
      </c>
      <c r="M34" s="42">
        <f t="shared" si="2"/>
        <v>0</v>
      </c>
      <c r="N34" s="42">
        <f t="shared" si="3"/>
        <v>0.36599999999999999</v>
      </c>
      <c r="O34" s="42">
        <f t="shared" si="10"/>
        <v>0.40666666666666662</v>
      </c>
      <c r="P34" s="42">
        <f t="shared" si="4"/>
        <v>1.8249999999999999E-2</v>
      </c>
    </row>
    <row r="35" spans="1:16" x14ac:dyDescent="0.3">
      <c r="A35" s="47">
        <f t="shared" si="11"/>
        <v>46303</v>
      </c>
      <c r="B35" s="49">
        <f t="shared" si="12"/>
        <v>0.33333333333333337</v>
      </c>
      <c r="C35" s="42">
        <f>'Říjen data'!V34+P35</f>
        <v>0.40075</v>
      </c>
      <c r="D35" s="42">
        <f t="shared" si="5"/>
        <v>7.8E-2</v>
      </c>
      <c r="E35">
        <f t="shared" si="6"/>
        <v>7.8E-2</v>
      </c>
      <c r="F35" s="42">
        <f t="shared" si="7"/>
        <v>0</v>
      </c>
      <c r="G35" s="42">
        <f t="shared" si="8"/>
        <v>0</v>
      </c>
      <c r="H35" s="42">
        <f t="shared" si="9"/>
        <v>0.32274999999999998</v>
      </c>
      <c r="I35" s="42">
        <f t="shared" si="0"/>
        <v>-0.32274999999999998</v>
      </c>
      <c r="J35" s="43">
        <f>MIN('Výpočty '!$B$1*0.9, MAX('Výpočty '!$B$1*0.05, J34 + M35 - MIN(O35, MAX(0, J34 - ('Výpočty '!$B$1*0.1))) - P35))</f>
        <v>1.9452499999999997</v>
      </c>
      <c r="K35" s="46">
        <f>J35/'Výpočty '!$B$1</f>
        <v>9.7262499999999988E-2</v>
      </c>
      <c r="L35" s="42">
        <f t="shared" si="1"/>
        <v>0</v>
      </c>
      <c r="M35" s="42">
        <f t="shared" si="2"/>
        <v>0</v>
      </c>
      <c r="N35" s="42">
        <f t="shared" si="3"/>
        <v>0.34099999999999997</v>
      </c>
      <c r="O35" s="42">
        <f t="shared" si="10"/>
        <v>0.37888888888888883</v>
      </c>
      <c r="P35" s="42">
        <f t="shared" si="4"/>
        <v>1.8249999999999999E-2</v>
      </c>
    </row>
    <row r="36" spans="1:16" x14ac:dyDescent="0.3">
      <c r="A36" s="47">
        <f t="shared" si="11"/>
        <v>46303</v>
      </c>
      <c r="B36" s="49">
        <f t="shared" si="12"/>
        <v>0.34375000000000006</v>
      </c>
      <c r="C36" s="42">
        <f>'Říjen data'!V35+P36</f>
        <v>2.5749999999999999E-2</v>
      </c>
      <c r="D36" s="42">
        <f t="shared" si="5"/>
        <v>2.5749999999999999E-2</v>
      </c>
      <c r="E36">
        <f t="shared" si="6"/>
        <v>0.111</v>
      </c>
      <c r="F36" s="42">
        <f t="shared" si="7"/>
        <v>0</v>
      </c>
      <c r="G36" s="42">
        <f t="shared" si="8"/>
        <v>0</v>
      </c>
      <c r="H36" s="42">
        <f t="shared" si="9"/>
        <v>0</v>
      </c>
      <c r="I36" s="42">
        <f t="shared" si="0"/>
        <v>8.5250000000000006E-2</v>
      </c>
      <c r="J36" s="43">
        <f>MIN('Výpočty '!$B$1*0.9, MAX('Výpočty '!$B$1*0.05, J35 + M36 - MIN(O36, MAX(0, J35 - ('Výpočty '!$B$1*0.1))) - P36))</f>
        <v>2.0122499999999994</v>
      </c>
      <c r="K36" s="46">
        <f>J36/'Výpočty '!$B$1</f>
        <v>0.10061249999999997</v>
      </c>
      <c r="L36" s="42">
        <f t="shared" si="1"/>
        <v>7.6725000000000002E-2</v>
      </c>
      <c r="M36" s="42">
        <f t="shared" si="2"/>
        <v>8.5250000000000006E-2</v>
      </c>
      <c r="N36" s="42">
        <f t="shared" si="3"/>
        <v>1.8249999999999999E-2</v>
      </c>
      <c r="O36" s="42">
        <f t="shared" si="10"/>
        <v>2.0277777777777777E-2</v>
      </c>
      <c r="P36" s="42">
        <f t="shared" si="4"/>
        <v>1.8249999999999999E-2</v>
      </c>
    </row>
    <row r="37" spans="1:16" x14ac:dyDescent="0.3">
      <c r="A37" s="47">
        <f t="shared" si="11"/>
        <v>46303</v>
      </c>
      <c r="B37" s="49">
        <f t="shared" si="12"/>
        <v>0.35416666666666674</v>
      </c>
      <c r="C37" s="42">
        <f>'Říjen data'!V36+P37</f>
        <v>2.5749999999999999E-2</v>
      </c>
      <c r="D37" s="42">
        <f t="shared" si="5"/>
        <v>2.5749999999999999E-2</v>
      </c>
      <c r="E37">
        <f t="shared" si="6"/>
        <v>0.155</v>
      </c>
      <c r="F37" s="42">
        <f t="shared" si="7"/>
        <v>0</v>
      </c>
      <c r="G37" s="42">
        <f t="shared" si="8"/>
        <v>0</v>
      </c>
      <c r="H37" s="42">
        <f t="shared" si="9"/>
        <v>0</v>
      </c>
      <c r="I37" s="42">
        <f t="shared" si="0"/>
        <v>0.12925</v>
      </c>
      <c r="J37" s="43">
        <f>MIN('Výpočty '!$B$1*0.9, MAX('Výpočty '!$B$1*0.05, J36 + M37 - MIN(O37, MAX(0, J36 - ('Výpočty '!$B$1*0.1))) - P37))</f>
        <v>2.1109999999999998</v>
      </c>
      <c r="K37" s="46">
        <f>J37/'Výpočty '!$B$1</f>
        <v>0.10554999999999999</v>
      </c>
      <c r="L37" s="42">
        <f t="shared" si="1"/>
        <v>0.11632500000000001</v>
      </c>
      <c r="M37" s="42">
        <f t="shared" si="2"/>
        <v>0.12925</v>
      </c>
      <c r="N37" s="42">
        <f t="shared" si="3"/>
        <v>1.8249999999999999E-2</v>
      </c>
      <c r="O37" s="42">
        <f t="shared" si="10"/>
        <v>2.0277777777777777E-2</v>
      </c>
      <c r="P37" s="42">
        <f t="shared" si="4"/>
        <v>1.8249999999999999E-2</v>
      </c>
    </row>
    <row r="38" spans="1:16" x14ac:dyDescent="0.3">
      <c r="A38" s="47">
        <f t="shared" si="11"/>
        <v>46303</v>
      </c>
      <c r="B38" s="49">
        <f t="shared" si="12"/>
        <v>0.36458333333333343</v>
      </c>
      <c r="C38" s="42">
        <f>'Říjen data'!V37+P38</f>
        <v>2.5749999999999999E-2</v>
      </c>
      <c r="D38" s="42">
        <f t="shared" si="5"/>
        <v>2.5749999999999999E-2</v>
      </c>
      <c r="E38">
        <f t="shared" si="6"/>
        <v>0.21299999999999999</v>
      </c>
      <c r="F38" s="42">
        <f t="shared" si="7"/>
        <v>0</v>
      </c>
      <c r="G38" s="42">
        <f t="shared" si="8"/>
        <v>0</v>
      </c>
      <c r="H38" s="42">
        <f t="shared" si="9"/>
        <v>0</v>
      </c>
      <c r="I38" s="42">
        <f t="shared" si="0"/>
        <v>0.18725</v>
      </c>
      <c r="J38" s="43">
        <f>MIN('Výpočty '!$B$1*0.9, MAX('Výpočty '!$B$1*0.05, J37 + M38 - MIN(O38, MAX(0, J37 - ('Výpočty '!$B$1*0.1))) - P38))</f>
        <v>2.259722222222222</v>
      </c>
      <c r="K38" s="46">
        <f>J38/'Výpočty '!$B$1</f>
        <v>0.11298611111111109</v>
      </c>
      <c r="L38" s="42">
        <f t="shared" si="1"/>
        <v>0.16852500000000001</v>
      </c>
      <c r="M38" s="42">
        <f t="shared" si="2"/>
        <v>0.18725</v>
      </c>
      <c r="N38" s="42">
        <f t="shared" si="3"/>
        <v>1.8249999999999999E-2</v>
      </c>
      <c r="O38" s="42">
        <f t="shared" si="10"/>
        <v>2.0277777777777777E-2</v>
      </c>
      <c r="P38" s="42">
        <f t="shared" si="4"/>
        <v>1.8249999999999999E-2</v>
      </c>
    </row>
    <row r="39" spans="1:16" x14ac:dyDescent="0.3">
      <c r="A39" s="47">
        <f t="shared" si="11"/>
        <v>46303</v>
      </c>
      <c r="B39" s="49">
        <f t="shared" si="12"/>
        <v>0.37500000000000011</v>
      </c>
      <c r="C39" s="42">
        <f>'Říjen data'!V38+P39</f>
        <v>2.5749999999999999E-2</v>
      </c>
      <c r="D39" s="42">
        <f t="shared" si="5"/>
        <v>2.5749999999999999E-2</v>
      </c>
      <c r="E39">
        <f t="shared" si="6"/>
        <v>0.28699999999999998</v>
      </c>
      <c r="F39" s="42">
        <f t="shared" si="7"/>
        <v>0</v>
      </c>
      <c r="G39" s="42">
        <f t="shared" si="8"/>
        <v>0</v>
      </c>
      <c r="H39" s="42">
        <f t="shared" si="9"/>
        <v>0</v>
      </c>
      <c r="I39" s="42">
        <f t="shared" si="0"/>
        <v>0.26124999999999998</v>
      </c>
      <c r="J39" s="43">
        <f>MIN('Výpočty '!$B$1*0.9, MAX('Výpočty '!$B$1*0.05, J38 + M39 - MIN(O39, MAX(0, J38 - ('Výpočty '!$B$1*0.1))) - P39))</f>
        <v>2.482444444444444</v>
      </c>
      <c r="K39" s="46">
        <f>J39/'Výpočty '!$B$1</f>
        <v>0.1241222222222222</v>
      </c>
      <c r="L39" s="42">
        <f t="shared" si="1"/>
        <v>0.235125</v>
      </c>
      <c r="M39" s="42">
        <f t="shared" si="2"/>
        <v>0.26124999999999998</v>
      </c>
      <c r="N39" s="42">
        <f t="shared" si="3"/>
        <v>1.8249999999999999E-2</v>
      </c>
      <c r="O39" s="42">
        <f t="shared" si="10"/>
        <v>2.0277777777777777E-2</v>
      </c>
      <c r="P39" s="42">
        <f t="shared" si="4"/>
        <v>1.8249999999999999E-2</v>
      </c>
    </row>
    <row r="40" spans="1:16" x14ac:dyDescent="0.3">
      <c r="A40" s="47">
        <f t="shared" si="11"/>
        <v>46303</v>
      </c>
      <c r="B40" s="49">
        <f t="shared" si="12"/>
        <v>0.3854166666666668</v>
      </c>
      <c r="C40" s="42">
        <f>'Říjen data'!V39+P40</f>
        <v>2.5749999999999999E-2</v>
      </c>
      <c r="D40" s="42">
        <f t="shared" si="5"/>
        <v>2.5749999999999999E-2</v>
      </c>
      <c r="E40">
        <f t="shared" si="6"/>
        <v>0.38</v>
      </c>
      <c r="F40" s="42">
        <f t="shared" si="7"/>
        <v>0</v>
      </c>
      <c r="G40" s="42">
        <f t="shared" si="8"/>
        <v>0</v>
      </c>
      <c r="H40" s="42">
        <f t="shared" si="9"/>
        <v>0</v>
      </c>
      <c r="I40" s="42">
        <f t="shared" si="0"/>
        <v>0.35425000000000001</v>
      </c>
      <c r="J40" s="43">
        <f>MIN('Výpočty '!$B$1*0.9, MAX('Výpočty '!$B$1*0.05, J39 + M40 - MIN(O40, MAX(0, J39 - ('Výpočty '!$B$1*0.1))) - P40))</f>
        <v>2.798166666666666</v>
      </c>
      <c r="K40" s="46">
        <f>J40/'Výpočty '!$B$1</f>
        <v>0.1399083333333333</v>
      </c>
      <c r="L40" s="42">
        <f t="shared" si="1"/>
        <v>0.31882500000000003</v>
      </c>
      <c r="M40" s="42">
        <f t="shared" si="2"/>
        <v>0.35425000000000001</v>
      </c>
      <c r="N40" s="42">
        <f t="shared" si="3"/>
        <v>1.8249999999999999E-2</v>
      </c>
      <c r="O40" s="42">
        <f t="shared" si="10"/>
        <v>2.0277777777777777E-2</v>
      </c>
      <c r="P40" s="42">
        <f t="shared" si="4"/>
        <v>1.8249999999999999E-2</v>
      </c>
    </row>
    <row r="41" spans="1:16" x14ac:dyDescent="0.3">
      <c r="A41" s="47">
        <f t="shared" si="11"/>
        <v>46303</v>
      </c>
      <c r="B41" s="49">
        <f t="shared" si="12"/>
        <v>0.39583333333333348</v>
      </c>
      <c r="C41" s="42">
        <f>'Říjen data'!V40+P41</f>
        <v>2.5749999999999999E-2</v>
      </c>
      <c r="D41" s="42">
        <f t="shared" si="5"/>
        <v>2.5749999999999999E-2</v>
      </c>
      <c r="E41">
        <f t="shared" si="6"/>
        <v>0.49199999999999999</v>
      </c>
      <c r="F41" s="42">
        <f t="shared" si="7"/>
        <v>0</v>
      </c>
      <c r="G41" s="42">
        <f t="shared" si="8"/>
        <v>0</v>
      </c>
      <c r="H41" s="42">
        <f t="shared" si="9"/>
        <v>0</v>
      </c>
      <c r="I41" s="42">
        <f t="shared" si="0"/>
        <v>0.46625</v>
      </c>
      <c r="J41" s="43">
        <f>MIN('Výpočty '!$B$1*0.9, MAX('Výpočty '!$B$1*0.05, J40 + M41 - MIN(O41, MAX(0, J40 - ('Výpočty '!$B$1*0.1))) - P41))</f>
        <v>3.2258888888888881</v>
      </c>
      <c r="K41" s="46">
        <f>J41/'Výpočty '!$B$1</f>
        <v>0.16129444444444441</v>
      </c>
      <c r="L41" s="42">
        <f t="shared" si="1"/>
        <v>0.41962500000000003</v>
      </c>
      <c r="M41" s="42">
        <f t="shared" si="2"/>
        <v>0.46625</v>
      </c>
      <c r="N41" s="42">
        <f t="shared" si="3"/>
        <v>1.8249999999999999E-2</v>
      </c>
      <c r="O41" s="42">
        <f t="shared" si="10"/>
        <v>2.0277777777777777E-2</v>
      </c>
      <c r="P41" s="42">
        <f t="shared" si="4"/>
        <v>1.8249999999999999E-2</v>
      </c>
    </row>
    <row r="42" spans="1:16" x14ac:dyDescent="0.3">
      <c r="A42" s="47">
        <f t="shared" si="11"/>
        <v>46303</v>
      </c>
      <c r="B42" s="49">
        <f t="shared" si="12"/>
        <v>0.40625000000000017</v>
      </c>
      <c r="C42" s="42">
        <f>'Říjen data'!V41+P42</f>
        <v>2.5749999999999999E-2</v>
      </c>
      <c r="D42" s="42">
        <f t="shared" si="5"/>
        <v>2.5749999999999999E-2</v>
      </c>
      <c r="E42">
        <f t="shared" si="6"/>
        <v>0.626</v>
      </c>
      <c r="F42" s="42">
        <f t="shared" si="7"/>
        <v>0</v>
      </c>
      <c r="G42" s="42">
        <f t="shared" si="8"/>
        <v>0</v>
      </c>
      <c r="H42" s="42">
        <f t="shared" si="9"/>
        <v>0</v>
      </c>
      <c r="I42" s="42">
        <f t="shared" si="0"/>
        <v>0.60024999999999995</v>
      </c>
      <c r="J42" s="43">
        <f>MIN('Výpočty '!$B$1*0.9, MAX('Výpočty '!$B$1*0.05, J41 + M42 - MIN(O42, MAX(0, J41 - ('Výpočty '!$B$1*0.1))) - P42))</f>
        <v>3.7876111111111102</v>
      </c>
      <c r="K42" s="46">
        <f>J42/'Výpočty '!$B$1</f>
        <v>0.1893805555555555</v>
      </c>
      <c r="L42" s="42">
        <f t="shared" si="1"/>
        <v>0.54022499999999996</v>
      </c>
      <c r="M42" s="42">
        <f t="shared" si="2"/>
        <v>0.60024999999999995</v>
      </c>
      <c r="N42" s="42">
        <f t="shared" si="3"/>
        <v>1.8249999999999999E-2</v>
      </c>
      <c r="O42" s="42">
        <f t="shared" si="10"/>
        <v>2.0277777777777777E-2</v>
      </c>
      <c r="P42" s="42">
        <f t="shared" si="4"/>
        <v>1.8249999999999999E-2</v>
      </c>
    </row>
    <row r="43" spans="1:16" x14ac:dyDescent="0.3">
      <c r="A43" s="47">
        <f t="shared" si="11"/>
        <v>46303</v>
      </c>
      <c r="B43" s="49">
        <f t="shared" si="12"/>
        <v>0.41666666666666685</v>
      </c>
      <c r="C43" s="42">
        <f>'Říjen data'!V42+P43</f>
        <v>2.5749999999999999E-2</v>
      </c>
      <c r="D43" s="42">
        <f t="shared" si="5"/>
        <v>2.5749999999999999E-2</v>
      </c>
      <c r="E43">
        <f t="shared" si="6"/>
        <v>0.78100000000000003</v>
      </c>
      <c r="F43" s="42">
        <f t="shared" si="7"/>
        <v>0</v>
      </c>
      <c r="G43" s="42">
        <f t="shared" si="8"/>
        <v>0</v>
      </c>
      <c r="H43" s="42">
        <f t="shared" si="9"/>
        <v>0</v>
      </c>
      <c r="I43" s="42">
        <f t="shared" si="0"/>
        <v>0.75524999999999998</v>
      </c>
      <c r="J43" s="43">
        <f>MIN('Výpočty '!$B$1*0.9, MAX('Výpočty '!$B$1*0.05, J42 + M43 - MIN(O43, MAX(0, J42 - ('Výpočty '!$B$1*0.1))) - P43))</f>
        <v>4.5043333333333324</v>
      </c>
      <c r="K43" s="46">
        <f>J43/'Výpočty '!$B$1</f>
        <v>0.22521666666666662</v>
      </c>
      <c r="L43" s="42">
        <f t="shared" si="1"/>
        <v>0.67972500000000002</v>
      </c>
      <c r="M43" s="42">
        <f t="shared" si="2"/>
        <v>0.75524999999999998</v>
      </c>
      <c r="N43" s="42">
        <f t="shared" si="3"/>
        <v>1.8249999999999999E-2</v>
      </c>
      <c r="O43" s="42">
        <f t="shared" si="10"/>
        <v>2.0277777777777777E-2</v>
      </c>
      <c r="P43" s="42">
        <f t="shared" si="4"/>
        <v>1.8249999999999999E-2</v>
      </c>
    </row>
    <row r="44" spans="1:16" x14ac:dyDescent="0.3">
      <c r="A44" s="47">
        <f t="shared" si="11"/>
        <v>46303</v>
      </c>
      <c r="B44" s="49">
        <f t="shared" si="12"/>
        <v>0.42708333333333354</v>
      </c>
      <c r="C44" s="42">
        <f>'Říjen data'!V43+P44</f>
        <v>2.5749999999999999E-2</v>
      </c>
      <c r="D44" s="42">
        <f t="shared" si="5"/>
        <v>2.5749999999999999E-2</v>
      </c>
      <c r="E44">
        <f t="shared" si="6"/>
        <v>0.95599999999999996</v>
      </c>
      <c r="F44" s="42">
        <f t="shared" si="7"/>
        <v>0</v>
      </c>
      <c r="G44" s="42">
        <f t="shared" si="8"/>
        <v>0</v>
      </c>
      <c r="H44" s="42">
        <f t="shared" si="9"/>
        <v>0</v>
      </c>
      <c r="I44" s="42">
        <f t="shared" si="0"/>
        <v>0.93024999999999991</v>
      </c>
      <c r="J44" s="43">
        <f>MIN('Výpočty '!$B$1*0.9, MAX('Výpočty '!$B$1*0.05, J43 + M44 - MIN(O44, MAX(0, J43 - ('Výpočty '!$B$1*0.1))) - P44))</f>
        <v>5.3960555555555549</v>
      </c>
      <c r="K44" s="46">
        <f>J44/'Výpočty '!$B$1</f>
        <v>0.26980277777777772</v>
      </c>
      <c r="L44" s="42">
        <f t="shared" si="1"/>
        <v>0.83722499999999989</v>
      </c>
      <c r="M44" s="42">
        <f t="shared" si="2"/>
        <v>0.93024999999999991</v>
      </c>
      <c r="N44" s="42">
        <f t="shared" si="3"/>
        <v>1.8249999999999999E-2</v>
      </c>
      <c r="O44" s="42">
        <f t="shared" si="10"/>
        <v>2.0277777777777777E-2</v>
      </c>
      <c r="P44" s="42">
        <f t="shared" si="4"/>
        <v>1.8249999999999999E-2</v>
      </c>
    </row>
    <row r="45" spans="1:16" x14ac:dyDescent="0.3">
      <c r="A45" s="47">
        <f t="shared" si="11"/>
        <v>46303</v>
      </c>
      <c r="B45" s="49">
        <f t="shared" si="12"/>
        <v>0.43750000000000022</v>
      </c>
      <c r="C45" s="42">
        <f>'Říjen data'!V44+P45</f>
        <v>2.5749999999999999E-2</v>
      </c>
      <c r="D45" s="42">
        <f t="shared" si="5"/>
        <v>2.5749999999999999E-2</v>
      </c>
      <c r="E45">
        <f t="shared" si="6"/>
        <v>1.147</v>
      </c>
      <c r="F45" s="42">
        <f t="shared" si="7"/>
        <v>0</v>
      </c>
      <c r="G45" s="42">
        <f t="shared" si="8"/>
        <v>0</v>
      </c>
      <c r="H45" s="42">
        <f t="shared" si="9"/>
        <v>0</v>
      </c>
      <c r="I45" s="42">
        <f t="shared" si="0"/>
        <v>1.1212500000000001</v>
      </c>
      <c r="J45" s="43">
        <f>MIN('Výpočty '!$B$1*0.9, MAX('Výpočty '!$B$1*0.05, J44 + M45 - MIN(O45, MAX(0, J44 - ('Výpočty '!$B$1*0.1))) - P45))</f>
        <v>6.4787777777777773</v>
      </c>
      <c r="K45" s="46">
        <f>J45/'Výpočty '!$B$1</f>
        <v>0.32393888888888889</v>
      </c>
      <c r="L45" s="42">
        <f t="shared" si="1"/>
        <v>1.009125</v>
      </c>
      <c r="M45" s="42">
        <f t="shared" si="2"/>
        <v>1.1212500000000001</v>
      </c>
      <c r="N45" s="42">
        <f t="shared" si="3"/>
        <v>1.8249999999999999E-2</v>
      </c>
      <c r="O45" s="42">
        <f t="shared" si="10"/>
        <v>2.0277777777777777E-2</v>
      </c>
      <c r="P45" s="42">
        <f t="shared" si="4"/>
        <v>1.8249999999999999E-2</v>
      </c>
    </row>
    <row r="46" spans="1:16" x14ac:dyDescent="0.3">
      <c r="A46" s="47">
        <f t="shared" si="11"/>
        <v>46303</v>
      </c>
      <c r="B46" s="49">
        <f t="shared" si="12"/>
        <v>0.44791666666666691</v>
      </c>
      <c r="C46" s="42">
        <f>'Říjen data'!V45+P46</f>
        <v>2.5749999999999999E-2</v>
      </c>
      <c r="D46" s="42">
        <f t="shared" si="5"/>
        <v>2.5749999999999999E-2</v>
      </c>
      <c r="E46">
        <f t="shared" si="6"/>
        <v>1.351</v>
      </c>
      <c r="F46" s="42">
        <f t="shared" si="7"/>
        <v>0</v>
      </c>
      <c r="G46" s="42">
        <f t="shared" si="8"/>
        <v>0</v>
      </c>
      <c r="H46" s="42">
        <f t="shared" si="9"/>
        <v>0</v>
      </c>
      <c r="I46" s="42">
        <f t="shared" si="0"/>
        <v>1.32525</v>
      </c>
      <c r="J46" s="43">
        <f>MIN('Výpočty '!$B$1*0.9, MAX('Výpočty '!$B$1*0.05, J45 + M46 - MIN(O46, MAX(0, J45 - ('Výpočty '!$B$1*0.1))) - P46))</f>
        <v>7.7655000000000003</v>
      </c>
      <c r="K46" s="46">
        <f>J46/'Výpočty '!$B$1</f>
        <v>0.38827500000000004</v>
      </c>
      <c r="L46" s="42">
        <f t="shared" si="1"/>
        <v>1.192725</v>
      </c>
      <c r="M46" s="42">
        <f t="shared" si="2"/>
        <v>1.32525</v>
      </c>
      <c r="N46" s="42">
        <f t="shared" si="3"/>
        <v>1.8249999999999999E-2</v>
      </c>
      <c r="O46" s="42">
        <f t="shared" si="10"/>
        <v>2.0277777777777777E-2</v>
      </c>
      <c r="P46" s="42">
        <f t="shared" si="4"/>
        <v>1.8249999999999999E-2</v>
      </c>
    </row>
    <row r="47" spans="1:16" x14ac:dyDescent="0.3">
      <c r="A47" s="47">
        <f t="shared" si="11"/>
        <v>46303</v>
      </c>
      <c r="B47" s="49">
        <f t="shared" si="12"/>
        <v>0.45833333333333359</v>
      </c>
      <c r="C47" s="42">
        <f>'Říjen data'!V46+P47</f>
        <v>2.5749999999999999E-2</v>
      </c>
      <c r="D47" s="42">
        <f t="shared" si="5"/>
        <v>2.5749999999999999E-2</v>
      </c>
      <c r="E47">
        <f t="shared" si="6"/>
        <v>1.5609999999999999</v>
      </c>
      <c r="F47" s="42">
        <f t="shared" si="7"/>
        <v>0</v>
      </c>
      <c r="G47" s="42">
        <f t="shared" si="8"/>
        <v>0</v>
      </c>
      <c r="H47" s="42">
        <f t="shared" si="9"/>
        <v>0</v>
      </c>
      <c r="I47" s="42">
        <f t="shared" si="0"/>
        <v>1.53525</v>
      </c>
      <c r="J47" s="43">
        <f>MIN('Výpočty '!$B$1*0.9, MAX('Výpočty '!$B$1*0.05, J46 + M47 - MIN(O47, MAX(0, J46 - ('Výpočty '!$B$1*0.1))) - P47))</f>
        <v>9.2622222222222224</v>
      </c>
      <c r="K47" s="46">
        <f>J47/'Výpočty '!$B$1</f>
        <v>0.46311111111111114</v>
      </c>
      <c r="L47" s="42">
        <f t="shared" si="1"/>
        <v>1.3817250000000001</v>
      </c>
      <c r="M47" s="42">
        <f t="shared" si="2"/>
        <v>1.53525</v>
      </c>
      <c r="N47" s="42">
        <f t="shared" si="3"/>
        <v>1.8249999999999999E-2</v>
      </c>
      <c r="O47" s="42">
        <f t="shared" si="10"/>
        <v>2.0277777777777777E-2</v>
      </c>
      <c r="P47" s="42">
        <f t="shared" si="4"/>
        <v>1.8249999999999999E-2</v>
      </c>
    </row>
    <row r="48" spans="1:16" x14ac:dyDescent="0.3">
      <c r="A48" s="47">
        <f t="shared" si="11"/>
        <v>46303</v>
      </c>
      <c r="B48" s="49">
        <f t="shared" si="12"/>
        <v>0.46875000000000028</v>
      </c>
      <c r="C48" s="42">
        <f>'Říjen data'!V47+P48</f>
        <v>2.5749999999999999E-2</v>
      </c>
      <c r="D48" s="42">
        <f t="shared" si="5"/>
        <v>2.5749999999999999E-2</v>
      </c>
      <c r="E48">
        <f t="shared" si="6"/>
        <v>1.7689999999999999</v>
      </c>
      <c r="F48" s="42">
        <f t="shared" si="7"/>
        <v>0</v>
      </c>
      <c r="G48" s="42">
        <f t="shared" si="8"/>
        <v>0</v>
      </c>
      <c r="H48" s="42">
        <f t="shared" si="9"/>
        <v>0</v>
      </c>
      <c r="I48" s="42">
        <f t="shared" si="0"/>
        <v>1.74325</v>
      </c>
      <c r="J48" s="43">
        <f>MIN('Výpočty '!$B$1*0.9, MAX('Výpočty '!$B$1*0.05, J47 + M48 - MIN(O48, MAX(0, J47 - ('Výpočty '!$B$1*0.1))) - P48))</f>
        <v>10.966944444444444</v>
      </c>
      <c r="K48" s="46">
        <f>J48/'Výpočty '!$B$1</f>
        <v>0.54834722222222221</v>
      </c>
      <c r="L48" s="42">
        <f t="shared" si="1"/>
        <v>1.5689249999999999</v>
      </c>
      <c r="M48" s="42">
        <f t="shared" si="2"/>
        <v>1.74325</v>
      </c>
      <c r="N48" s="42">
        <f t="shared" si="3"/>
        <v>1.8249999999999999E-2</v>
      </c>
      <c r="O48" s="42">
        <f t="shared" si="10"/>
        <v>2.0277777777777777E-2</v>
      </c>
      <c r="P48" s="42">
        <f t="shared" si="4"/>
        <v>1.8249999999999999E-2</v>
      </c>
    </row>
    <row r="49" spans="1:16" x14ac:dyDescent="0.3">
      <c r="A49" s="47">
        <f t="shared" si="11"/>
        <v>46303</v>
      </c>
      <c r="B49" s="49">
        <f t="shared" si="12"/>
        <v>0.47916666666666696</v>
      </c>
      <c r="C49" s="42">
        <f>'Říjen data'!V48+P49</f>
        <v>2.5749999999999999E-2</v>
      </c>
      <c r="D49" s="42">
        <f t="shared" si="5"/>
        <v>2.5749999999999999E-2</v>
      </c>
      <c r="E49">
        <f t="shared" si="6"/>
        <v>1.966</v>
      </c>
      <c r="F49" s="42">
        <f t="shared" si="7"/>
        <v>0</v>
      </c>
      <c r="G49" s="42">
        <f t="shared" si="8"/>
        <v>0</v>
      </c>
      <c r="H49" s="42">
        <f t="shared" si="9"/>
        <v>0</v>
      </c>
      <c r="I49" s="42">
        <f t="shared" si="0"/>
        <v>1.94025</v>
      </c>
      <c r="J49" s="43">
        <f>MIN('Výpočty '!$B$1*0.9, MAX('Výpočty '!$B$1*0.05, J48 + M49 - MIN(O49, MAX(0, J48 - ('Výpočty '!$B$1*0.1))) - P49))</f>
        <v>12.868666666666666</v>
      </c>
      <c r="K49" s="46">
        <f>J49/'Výpočty '!$B$1</f>
        <v>0.6434333333333333</v>
      </c>
      <c r="L49" s="42">
        <f t="shared" si="1"/>
        <v>1.7462250000000001</v>
      </c>
      <c r="M49" s="42">
        <f t="shared" si="2"/>
        <v>1.94025</v>
      </c>
      <c r="N49" s="42">
        <f t="shared" si="3"/>
        <v>1.8249999999999999E-2</v>
      </c>
      <c r="O49" s="42">
        <f t="shared" si="10"/>
        <v>2.0277777777777777E-2</v>
      </c>
      <c r="P49" s="42">
        <f t="shared" si="4"/>
        <v>1.8249999999999999E-2</v>
      </c>
    </row>
    <row r="50" spans="1:16" x14ac:dyDescent="0.3">
      <c r="A50" s="47">
        <f t="shared" si="11"/>
        <v>46303</v>
      </c>
      <c r="B50" s="49">
        <f t="shared" si="12"/>
        <v>0.48958333333333365</v>
      </c>
      <c r="C50" s="42">
        <f>'Říjen data'!V49+P50</f>
        <v>2.5749999999999999E-2</v>
      </c>
      <c r="D50" s="42">
        <f t="shared" si="5"/>
        <v>2.5749999999999999E-2</v>
      </c>
      <c r="E50">
        <f t="shared" si="6"/>
        <v>2.1440000000000001</v>
      </c>
      <c r="F50" s="42">
        <f t="shared" si="7"/>
        <v>0</v>
      </c>
      <c r="G50" s="42">
        <f t="shared" si="8"/>
        <v>0</v>
      </c>
      <c r="H50" s="42">
        <f t="shared" si="9"/>
        <v>0</v>
      </c>
      <c r="I50" s="42">
        <f t="shared" si="0"/>
        <v>2.1182500000000002</v>
      </c>
      <c r="J50" s="43">
        <f>MIN('Výpočty '!$B$1*0.9, MAX('Výpočty '!$B$1*0.05, J49 + M50 - MIN(O50, MAX(0, J49 - ('Výpočty '!$B$1*0.1))) - P50))</f>
        <v>14.948388888888887</v>
      </c>
      <c r="K50" s="46">
        <f>J50/'Výpočty '!$B$1</f>
        <v>0.74741944444444441</v>
      </c>
      <c r="L50" s="42">
        <f t="shared" si="1"/>
        <v>1.9064250000000003</v>
      </c>
      <c r="M50" s="42">
        <f t="shared" si="2"/>
        <v>2.1182500000000002</v>
      </c>
      <c r="N50" s="42">
        <f t="shared" si="3"/>
        <v>1.8249999999999999E-2</v>
      </c>
      <c r="O50" s="42">
        <f t="shared" si="10"/>
        <v>2.0277777777777777E-2</v>
      </c>
      <c r="P50" s="42">
        <f t="shared" si="4"/>
        <v>1.8249999999999999E-2</v>
      </c>
    </row>
    <row r="51" spans="1:16" x14ac:dyDescent="0.3">
      <c r="A51" s="47">
        <f t="shared" si="11"/>
        <v>46303</v>
      </c>
      <c r="B51" s="49">
        <f t="shared" si="12"/>
        <v>0.50000000000000033</v>
      </c>
      <c r="C51" s="42">
        <f>'Říjen data'!V50+P51</f>
        <v>2.5749999999999999E-2</v>
      </c>
      <c r="D51" s="42">
        <f t="shared" si="5"/>
        <v>2.5749999999999999E-2</v>
      </c>
      <c r="E51">
        <f t="shared" si="6"/>
        <v>2.2930000000000001</v>
      </c>
      <c r="F51" s="42">
        <f t="shared" si="7"/>
        <v>0</v>
      </c>
      <c r="G51" s="42">
        <f t="shared" si="8"/>
        <v>0</v>
      </c>
      <c r="H51" s="42">
        <f t="shared" si="9"/>
        <v>0</v>
      </c>
      <c r="I51" s="42">
        <f t="shared" si="0"/>
        <v>2.2672500000000002</v>
      </c>
      <c r="J51" s="43">
        <f>MIN('Výpočty '!$B$1*0.9, MAX('Výpočty '!$B$1*0.05, J50 + M51 - MIN(O51, MAX(0, J50 - ('Výpočty '!$B$1*0.1))) - P51))</f>
        <v>17.17711111111111</v>
      </c>
      <c r="K51" s="46">
        <f>J51/'Výpočty '!$B$1</f>
        <v>0.85885555555555548</v>
      </c>
      <c r="L51" s="42">
        <f t="shared" si="1"/>
        <v>2.0405250000000001</v>
      </c>
      <c r="M51" s="42">
        <f t="shared" si="2"/>
        <v>2.2672500000000002</v>
      </c>
      <c r="N51" s="42">
        <f t="shared" si="3"/>
        <v>1.8249999999999999E-2</v>
      </c>
      <c r="O51" s="42">
        <f t="shared" si="10"/>
        <v>2.0277777777777777E-2</v>
      </c>
      <c r="P51" s="42">
        <f t="shared" si="4"/>
        <v>1.8249999999999999E-2</v>
      </c>
    </row>
    <row r="52" spans="1:16" x14ac:dyDescent="0.3">
      <c r="A52" s="47">
        <f t="shared" si="11"/>
        <v>46303</v>
      </c>
      <c r="B52" s="49">
        <f t="shared" si="12"/>
        <v>0.51041666666666696</v>
      </c>
      <c r="C52" s="42">
        <f>'Říjen data'!V51+P52</f>
        <v>2.5749999999999999E-2</v>
      </c>
      <c r="D52" s="42">
        <f t="shared" si="5"/>
        <v>2.5749999999999999E-2</v>
      </c>
      <c r="E52">
        <f t="shared" si="6"/>
        <v>2.4060000000000001</v>
      </c>
      <c r="F52" s="42">
        <f t="shared" si="7"/>
        <v>0</v>
      </c>
      <c r="G52" s="42">
        <f t="shared" si="8"/>
        <v>1.4659290123456776</v>
      </c>
      <c r="H52" s="42">
        <f t="shared" si="9"/>
        <v>0</v>
      </c>
      <c r="I52" s="42">
        <f t="shared" si="0"/>
        <v>2.3802500000000002</v>
      </c>
      <c r="J52" s="43">
        <f>MIN('Výpočty '!$B$1*0.9, MAX('Výpočty '!$B$1*0.05, J51 + M52 - MIN(O52, MAX(0, J51 - ('Výpočty '!$B$1*0.1))) - P52))</f>
        <v>18</v>
      </c>
      <c r="K52" s="46">
        <f>J52/'Výpočty '!$B$1</f>
        <v>0.9</v>
      </c>
      <c r="L52" s="42">
        <f t="shared" si="1"/>
        <v>0.82288888888889034</v>
      </c>
      <c r="M52" s="42">
        <f t="shared" si="2"/>
        <v>0.91432098765432257</v>
      </c>
      <c r="N52" s="42">
        <f t="shared" si="3"/>
        <v>1.8249999999999999E-2</v>
      </c>
      <c r="O52" s="42">
        <f t="shared" si="10"/>
        <v>2.0277777777777777E-2</v>
      </c>
      <c r="P52" s="42">
        <f t="shared" si="4"/>
        <v>1.8249999999999999E-2</v>
      </c>
    </row>
    <row r="53" spans="1:16" x14ac:dyDescent="0.3">
      <c r="A53" s="47">
        <f t="shared" si="11"/>
        <v>46303</v>
      </c>
      <c r="B53" s="49">
        <f t="shared" si="12"/>
        <v>0.52083333333333359</v>
      </c>
      <c r="C53" s="42">
        <f>'Říjen data'!V52+P53</f>
        <v>2.5749999999999999E-2</v>
      </c>
      <c r="D53" s="42">
        <f t="shared" si="5"/>
        <v>2.5749999999999999E-2</v>
      </c>
      <c r="E53">
        <f t="shared" si="6"/>
        <v>2.476</v>
      </c>
      <c r="F53" s="42">
        <f t="shared" si="7"/>
        <v>0</v>
      </c>
      <c r="G53" s="42">
        <f t="shared" si="8"/>
        <v>2.45025</v>
      </c>
      <c r="H53" s="42">
        <f t="shared" si="9"/>
        <v>0</v>
      </c>
      <c r="I53" s="42">
        <f t="shared" si="0"/>
        <v>2.45025</v>
      </c>
      <c r="J53" s="43">
        <f>MIN('Výpočty '!$B$1*0.9, MAX('Výpočty '!$B$1*0.05, J52 + M53 - MIN(O53, MAX(0, J52 - ('Výpočty '!$B$1*0.1))) - P53))</f>
        <v>17.961472222222223</v>
      </c>
      <c r="K53" s="46">
        <f>J53/'Výpočty '!$B$1</f>
        <v>0.89807361111111117</v>
      </c>
      <c r="L53" s="42">
        <f t="shared" si="1"/>
        <v>0</v>
      </c>
      <c r="M53" s="42">
        <f t="shared" si="2"/>
        <v>0</v>
      </c>
      <c r="N53" s="42">
        <f t="shared" si="3"/>
        <v>1.8249999999999999E-2</v>
      </c>
      <c r="O53" s="42">
        <f t="shared" si="10"/>
        <v>2.0277777777777777E-2</v>
      </c>
      <c r="P53" s="42">
        <f t="shared" si="4"/>
        <v>1.8249999999999999E-2</v>
      </c>
    </row>
    <row r="54" spans="1:16" x14ac:dyDescent="0.3">
      <c r="A54" s="47">
        <f t="shared" si="11"/>
        <v>46303</v>
      </c>
      <c r="B54" s="49">
        <f t="shared" si="12"/>
        <v>0.53125000000000022</v>
      </c>
      <c r="C54" s="42">
        <f>'Říjen data'!V53+P54</f>
        <v>2.5749999999999999E-2</v>
      </c>
      <c r="D54" s="42">
        <f t="shared" si="5"/>
        <v>2.5749999999999999E-2</v>
      </c>
      <c r="E54">
        <f t="shared" si="6"/>
        <v>2.5</v>
      </c>
      <c r="F54" s="42">
        <f t="shared" si="7"/>
        <v>0</v>
      </c>
      <c r="G54" s="42">
        <f t="shared" si="8"/>
        <v>2.4314413580246925</v>
      </c>
      <c r="H54" s="42">
        <f t="shared" si="9"/>
        <v>0</v>
      </c>
      <c r="I54" s="42">
        <f t="shared" si="0"/>
        <v>2.4742500000000001</v>
      </c>
      <c r="J54" s="43">
        <f>MIN('Výpočty '!$B$1*0.9, MAX('Výpočty '!$B$1*0.05, J53 + M54 - MIN(O54, MAX(0, J53 - ('Výpočty '!$B$1*0.1))) - P54))</f>
        <v>17.965753086419753</v>
      </c>
      <c r="K54" s="46">
        <f>J54/'Výpočty '!$B$1</f>
        <v>0.89828765432098767</v>
      </c>
      <c r="L54" s="42">
        <f t="shared" si="1"/>
        <v>3.8527777777776606E-2</v>
      </c>
      <c r="M54" s="42">
        <f t="shared" si="2"/>
        <v>4.2808641975307336E-2</v>
      </c>
      <c r="N54" s="42">
        <f t="shared" si="3"/>
        <v>1.8249999999999999E-2</v>
      </c>
      <c r="O54" s="42">
        <f t="shared" si="10"/>
        <v>2.0277777777777777E-2</v>
      </c>
      <c r="P54" s="42">
        <f t="shared" si="4"/>
        <v>1.8249999999999999E-2</v>
      </c>
    </row>
    <row r="55" spans="1:16" x14ac:dyDescent="0.3">
      <c r="A55" s="47">
        <f t="shared" si="11"/>
        <v>46303</v>
      </c>
      <c r="B55" s="49">
        <f t="shared" si="12"/>
        <v>0.54166666666666685</v>
      </c>
      <c r="C55" s="42">
        <f>'Říjen data'!V54+P55</f>
        <v>2.5749999999999999E-2</v>
      </c>
      <c r="D55" s="42">
        <f t="shared" si="5"/>
        <v>2.5749999999999999E-2</v>
      </c>
      <c r="E55">
        <f t="shared" si="6"/>
        <v>2.476</v>
      </c>
      <c r="F55" s="42">
        <f t="shared" si="7"/>
        <v>0</v>
      </c>
      <c r="G55" s="42">
        <f t="shared" si="8"/>
        <v>2.4121978737997249</v>
      </c>
      <c r="H55" s="42">
        <f t="shared" si="9"/>
        <v>0</v>
      </c>
      <c r="I55" s="42">
        <f t="shared" si="0"/>
        <v>2.45025</v>
      </c>
      <c r="J55" s="43">
        <f>MIN('Výpočty '!$B$1*0.9, MAX('Výpočty '!$B$1*0.05, J54 + M55 - MIN(O55, MAX(0, J54 - ('Výpočty '!$B$1*0.1))) - P55))</f>
        <v>17.96527743484225</v>
      </c>
      <c r="K55" s="46">
        <f>J55/'Výpočty '!$B$1</f>
        <v>0.89826387174211253</v>
      </c>
      <c r="L55" s="42">
        <f t="shared" si="1"/>
        <v>3.4246913580247451E-2</v>
      </c>
      <c r="M55" s="42">
        <f t="shared" si="2"/>
        <v>3.8052126200274948E-2</v>
      </c>
      <c r="N55" s="42">
        <f t="shared" si="3"/>
        <v>1.8249999999999999E-2</v>
      </c>
      <c r="O55" s="42">
        <f t="shared" si="10"/>
        <v>2.0277777777777777E-2</v>
      </c>
      <c r="P55" s="42">
        <f t="shared" si="4"/>
        <v>1.8249999999999999E-2</v>
      </c>
    </row>
    <row r="56" spans="1:16" x14ac:dyDescent="0.3">
      <c r="A56" s="47">
        <f t="shared" si="11"/>
        <v>46303</v>
      </c>
      <c r="B56" s="49">
        <f t="shared" si="12"/>
        <v>0.55208333333333348</v>
      </c>
      <c r="C56" s="42">
        <f>'Říjen data'!V55+P56</f>
        <v>2.5749999999999999E-2</v>
      </c>
      <c r="D56" s="42">
        <f t="shared" si="5"/>
        <v>2.5749999999999999E-2</v>
      </c>
      <c r="E56">
        <f t="shared" si="6"/>
        <v>2.4060000000000001</v>
      </c>
      <c r="F56" s="42">
        <f t="shared" si="7"/>
        <v>0</v>
      </c>
      <c r="G56" s="42">
        <f t="shared" si="8"/>
        <v>2.3416693720469444</v>
      </c>
      <c r="H56" s="42">
        <f t="shared" si="9"/>
        <v>0</v>
      </c>
      <c r="I56" s="42">
        <f t="shared" si="0"/>
        <v>2.3802500000000002</v>
      </c>
      <c r="J56" s="43">
        <f>MIN('Výpočty '!$B$1*0.9, MAX('Výpočty '!$B$1*0.05, J55 + M56 - MIN(O56, MAX(0, J55 - ('Výpočty '!$B$1*0.1))) - P56))</f>
        <v>17.965330285017529</v>
      </c>
      <c r="K56" s="46">
        <f>J56/'Výpočty '!$B$1</f>
        <v>0.89826651425087645</v>
      </c>
      <c r="L56" s="42">
        <f t="shared" si="1"/>
        <v>3.4722565157750296E-2</v>
      </c>
      <c r="M56" s="42">
        <f t="shared" si="2"/>
        <v>3.8580627953055883E-2</v>
      </c>
      <c r="N56" s="42">
        <f t="shared" si="3"/>
        <v>1.8249999999999999E-2</v>
      </c>
      <c r="O56" s="42">
        <f t="shared" si="10"/>
        <v>2.0277777777777777E-2</v>
      </c>
      <c r="P56" s="42">
        <f t="shared" si="4"/>
        <v>1.8249999999999999E-2</v>
      </c>
    </row>
    <row r="57" spans="1:16" x14ac:dyDescent="0.3">
      <c r="A57" s="47">
        <f t="shared" si="11"/>
        <v>46303</v>
      </c>
      <c r="B57" s="49">
        <f t="shared" si="12"/>
        <v>0.56250000000000011</v>
      </c>
      <c r="C57" s="42">
        <f>'Říjen data'!V56+P57</f>
        <v>2.5749999999999999E-2</v>
      </c>
      <c r="D57" s="42">
        <f t="shared" si="5"/>
        <v>2.5749999999999999E-2</v>
      </c>
      <c r="E57">
        <f t="shared" si="6"/>
        <v>2.2930000000000001</v>
      </c>
      <c r="F57" s="42">
        <f t="shared" si="7"/>
        <v>0</v>
      </c>
      <c r="G57" s="42">
        <f t="shared" si="8"/>
        <v>2.2287280944639218</v>
      </c>
      <c r="H57" s="42">
        <f t="shared" si="9"/>
        <v>0</v>
      </c>
      <c r="I57" s="42">
        <f t="shared" si="0"/>
        <v>2.2672500000000002</v>
      </c>
      <c r="J57" s="43">
        <f>MIN('Výpočty '!$B$1*0.9, MAX('Výpočty '!$B$1*0.05, J56 + M57 - MIN(O57, MAX(0, J56 - ('Výpočty '!$B$1*0.1))) - P57))</f>
        <v>17.965324412775832</v>
      </c>
      <c r="K57" s="46">
        <f>J57/'Výpočty '!$B$1</f>
        <v>0.89826622063879158</v>
      </c>
      <c r="L57" s="42">
        <f t="shared" si="1"/>
        <v>3.4669714982470623E-2</v>
      </c>
      <c r="M57" s="42">
        <f t="shared" si="2"/>
        <v>3.8521905536078468E-2</v>
      </c>
      <c r="N57" s="42">
        <f t="shared" si="3"/>
        <v>1.8249999999999999E-2</v>
      </c>
      <c r="O57" s="42">
        <f t="shared" si="10"/>
        <v>2.0277777777777777E-2</v>
      </c>
      <c r="P57" s="42">
        <f t="shared" si="4"/>
        <v>1.8249999999999999E-2</v>
      </c>
    </row>
    <row r="58" spans="1:16" x14ac:dyDescent="0.3">
      <c r="A58" s="47">
        <f t="shared" si="11"/>
        <v>46303</v>
      </c>
      <c r="B58" s="49">
        <f t="shared" si="12"/>
        <v>0.57291666666666674</v>
      </c>
      <c r="C58" s="42">
        <f>'Říjen data'!V57+P58</f>
        <v>2.5749999999999999E-2</v>
      </c>
      <c r="D58" s="42">
        <f t="shared" si="5"/>
        <v>2.5749999999999999E-2</v>
      </c>
      <c r="E58">
        <f t="shared" si="6"/>
        <v>2.1440000000000001</v>
      </c>
      <c r="F58" s="42">
        <f t="shared" si="7"/>
        <v>0</v>
      </c>
      <c r="G58" s="42">
        <f t="shared" si="8"/>
        <v>2.0797215697509248</v>
      </c>
      <c r="H58" s="42">
        <f t="shared" si="9"/>
        <v>0</v>
      </c>
      <c r="I58" s="42">
        <f t="shared" si="0"/>
        <v>2.1182500000000002</v>
      </c>
      <c r="J58" s="43">
        <f>MIN('Výpočty '!$B$1*0.9, MAX('Výpočty '!$B$1*0.05, J57 + M58 - MIN(O58, MAX(0, J57 - ('Výpočty '!$B$1*0.1))) - P58))</f>
        <v>17.965325065247132</v>
      </c>
      <c r="K58" s="46">
        <f>J58/'Výpočty '!$B$1</f>
        <v>0.89826625326235665</v>
      </c>
      <c r="L58" s="42">
        <f t="shared" si="1"/>
        <v>3.467558722416797E-2</v>
      </c>
      <c r="M58" s="42">
        <f t="shared" si="2"/>
        <v>3.852843024907552E-2</v>
      </c>
      <c r="N58" s="42">
        <f t="shared" si="3"/>
        <v>1.8249999999999999E-2</v>
      </c>
      <c r="O58" s="42">
        <f t="shared" si="10"/>
        <v>2.0277777777777777E-2</v>
      </c>
      <c r="P58" s="42">
        <f t="shared" si="4"/>
        <v>1.8249999999999999E-2</v>
      </c>
    </row>
    <row r="59" spans="1:16" x14ac:dyDescent="0.3">
      <c r="A59" s="47">
        <f t="shared" si="11"/>
        <v>46303</v>
      </c>
      <c r="B59" s="49">
        <f t="shared" si="12"/>
        <v>0.58333333333333337</v>
      </c>
      <c r="C59" s="42">
        <f>'Říjen data'!V58+P59</f>
        <v>2.5749999999999999E-2</v>
      </c>
      <c r="D59" s="42">
        <f t="shared" si="5"/>
        <v>2.5749999999999999E-2</v>
      </c>
      <c r="E59">
        <f t="shared" si="6"/>
        <v>1.966</v>
      </c>
      <c r="F59" s="42">
        <f t="shared" si="7"/>
        <v>0</v>
      </c>
      <c r="G59" s="42">
        <f t="shared" si="8"/>
        <v>1.9017222947190358</v>
      </c>
      <c r="H59" s="42">
        <f t="shared" si="9"/>
        <v>0</v>
      </c>
      <c r="I59" s="42">
        <f t="shared" si="0"/>
        <v>1.94025</v>
      </c>
      <c r="J59" s="43">
        <f>MIN('Výpočty '!$B$1*0.9, MAX('Výpočty '!$B$1*0.05, J58 + M59 - MIN(O59, MAX(0, J58 - ('Výpočty '!$B$1*0.1))) - P59))</f>
        <v>17.965324992750318</v>
      </c>
      <c r="K59" s="46">
        <f>J59/'Výpočty '!$B$1</f>
        <v>0.89826624963751589</v>
      </c>
      <c r="L59" s="42">
        <f t="shared" si="1"/>
        <v>3.467493475286787E-2</v>
      </c>
      <c r="M59" s="42">
        <f t="shared" si="2"/>
        <v>3.8527705280964296E-2</v>
      </c>
      <c r="N59" s="42">
        <f t="shared" si="3"/>
        <v>1.8249999999999999E-2</v>
      </c>
      <c r="O59" s="42">
        <f t="shared" si="10"/>
        <v>2.0277777777777777E-2</v>
      </c>
      <c r="P59" s="42">
        <f t="shared" si="4"/>
        <v>1.8249999999999999E-2</v>
      </c>
    </row>
    <row r="60" spans="1:16" x14ac:dyDescent="0.3">
      <c r="A60" s="47">
        <f t="shared" si="11"/>
        <v>46303</v>
      </c>
      <c r="B60" s="49">
        <f t="shared" si="12"/>
        <v>0.59375</v>
      </c>
      <c r="C60" s="42">
        <f>'Říjen data'!V59+P60</f>
        <v>2.5749999999999999E-2</v>
      </c>
      <c r="D60" s="42">
        <f t="shared" si="5"/>
        <v>2.5749999999999999E-2</v>
      </c>
      <c r="E60">
        <f t="shared" si="6"/>
        <v>1.7689999999999999</v>
      </c>
      <c r="F60" s="42">
        <f t="shared" si="7"/>
        <v>0</v>
      </c>
      <c r="G60" s="42">
        <f t="shared" si="8"/>
        <v>1.7047222141670202</v>
      </c>
      <c r="H60" s="42">
        <f t="shared" si="9"/>
        <v>0</v>
      </c>
      <c r="I60" s="42">
        <f t="shared" si="0"/>
        <v>1.74325</v>
      </c>
      <c r="J60" s="43">
        <f>MIN('Výpočty '!$B$1*0.9, MAX('Výpočty '!$B$1*0.05, J59 + M60 - MIN(O60, MAX(0, J59 - ('Výpočty '!$B$1*0.1))) - P60))</f>
        <v>17.965325000805521</v>
      </c>
      <c r="K60" s="46">
        <f>J60/'Výpočty '!$B$1</f>
        <v>0.89826625004027605</v>
      </c>
      <c r="L60" s="42">
        <f t="shared" si="1"/>
        <v>3.4675007249681755E-2</v>
      </c>
      <c r="M60" s="42">
        <f t="shared" si="2"/>
        <v>3.8527785832979729E-2</v>
      </c>
      <c r="N60" s="42">
        <f t="shared" si="3"/>
        <v>1.8249999999999999E-2</v>
      </c>
      <c r="O60" s="42">
        <f t="shared" si="10"/>
        <v>2.0277777777777777E-2</v>
      </c>
      <c r="P60" s="42">
        <f t="shared" si="4"/>
        <v>1.8249999999999999E-2</v>
      </c>
    </row>
    <row r="61" spans="1:16" x14ac:dyDescent="0.3">
      <c r="A61" s="47">
        <f t="shared" si="11"/>
        <v>46303</v>
      </c>
      <c r="B61" s="49">
        <f t="shared" si="12"/>
        <v>0.60416666666666663</v>
      </c>
      <c r="C61" s="42">
        <f>'Říjen data'!V60+P61</f>
        <v>2.5749999999999999E-2</v>
      </c>
      <c r="D61" s="42">
        <f t="shared" si="5"/>
        <v>2.5749999999999999E-2</v>
      </c>
      <c r="E61">
        <f t="shared" si="6"/>
        <v>1.5609999999999999</v>
      </c>
      <c r="F61" s="42">
        <f t="shared" si="7"/>
        <v>0</v>
      </c>
      <c r="G61" s="42">
        <f t="shared" si="8"/>
        <v>1.4967222231172455</v>
      </c>
      <c r="H61" s="42">
        <f t="shared" si="9"/>
        <v>0</v>
      </c>
      <c r="I61" s="42">
        <f t="shared" si="0"/>
        <v>1.53525</v>
      </c>
      <c r="J61" s="43">
        <f>MIN('Výpočty '!$B$1*0.9, MAX('Výpočty '!$B$1*0.05, J60 + M61 - MIN(O61, MAX(0, J60 - ('Výpočty '!$B$1*0.1))) - P61))</f>
        <v>17.9653249999105</v>
      </c>
      <c r="K61" s="46">
        <f>J61/'Výpočty '!$B$1</f>
        <v>0.89826624999552496</v>
      </c>
      <c r="L61" s="42">
        <f t="shared" si="1"/>
        <v>3.4674999194479028E-2</v>
      </c>
      <c r="M61" s="42">
        <f t="shared" si="2"/>
        <v>3.8527776882754473E-2</v>
      </c>
      <c r="N61" s="42">
        <f t="shared" si="3"/>
        <v>1.8249999999999999E-2</v>
      </c>
      <c r="O61" s="42">
        <f t="shared" si="10"/>
        <v>2.0277777777777777E-2</v>
      </c>
      <c r="P61" s="42">
        <f t="shared" si="4"/>
        <v>1.8249999999999999E-2</v>
      </c>
    </row>
    <row r="62" spans="1:16" x14ac:dyDescent="0.3">
      <c r="A62" s="47">
        <f t="shared" si="11"/>
        <v>46303</v>
      </c>
      <c r="B62" s="49">
        <f t="shared" si="12"/>
        <v>0.61458333333333326</v>
      </c>
      <c r="C62" s="42">
        <f>'Říjen data'!V61+P62</f>
        <v>2.5749999999999999E-2</v>
      </c>
      <c r="D62" s="42">
        <f t="shared" si="5"/>
        <v>2.5749999999999999E-2</v>
      </c>
      <c r="E62">
        <f t="shared" si="6"/>
        <v>1.351</v>
      </c>
      <c r="F62" s="42">
        <f t="shared" si="7"/>
        <v>0</v>
      </c>
      <c r="G62" s="42">
        <f t="shared" si="8"/>
        <v>1.2867222221227779</v>
      </c>
      <c r="H62" s="42">
        <f t="shared" si="9"/>
        <v>0</v>
      </c>
      <c r="I62" s="42">
        <f t="shared" si="0"/>
        <v>1.32525</v>
      </c>
      <c r="J62" s="43">
        <f>MIN('Výpočty '!$B$1*0.9, MAX('Výpočty '!$B$1*0.05, J61 + M62 - MIN(O62, MAX(0, J61 - ('Výpočty '!$B$1*0.1))) - P62))</f>
        <v>17.965325000009944</v>
      </c>
      <c r="K62" s="46">
        <f>J62/'Výpočty '!$B$1</f>
        <v>0.8982662500004972</v>
      </c>
      <c r="L62" s="42">
        <f t="shared" si="1"/>
        <v>3.4675000089499974E-2</v>
      </c>
      <c r="M62" s="42">
        <f t="shared" si="2"/>
        <v>3.852777787722219E-2</v>
      </c>
      <c r="N62" s="42">
        <f t="shared" si="3"/>
        <v>1.8249999999999999E-2</v>
      </c>
      <c r="O62" s="42">
        <f t="shared" si="10"/>
        <v>2.0277777777777777E-2</v>
      </c>
      <c r="P62" s="42">
        <f t="shared" si="4"/>
        <v>1.8249999999999999E-2</v>
      </c>
    </row>
    <row r="63" spans="1:16" x14ac:dyDescent="0.3">
      <c r="A63" s="47">
        <f t="shared" si="11"/>
        <v>46303</v>
      </c>
      <c r="B63" s="49">
        <f t="shared" si="12"/>
        <v>0.62499999999999989</v>
      </c>
      <c r="C63" s="42">
        <f>'Říjen data'!V62+P63</f>
        <v>2.5749999999999999E-2</v>
      </c>
      <c r="D63" s="42">
        <f t="shared" si="5"/>
        <v>2.5749999999999999E-2</v>
      </c>
      <c r="E63">
        <f t="shared" si="6"/>
        <v>1.147</v>
      </c>
      <c r="F63" s="42">
        <f t="shared" si="7"/>
        <v>0</v>
      </c>
      <c r="G63" s="42">
        <f t="shared" si="8"/>
        <v>1.0827222222332713</v>
      </c>
      <c r="H63" s="42">
        <f t="shared" si="9"/>
        <v>0</v>
      </c>
      <c r="I63" s="42">
        <f t="shared" si="0"/>
        <v>1.1212500000000001</v>
      </c>
      <c r="J63" s="43">
        <f>MIN('Výpočty '!$B$1*0.9, MAX('Výpočty '!$B$1*0.05, J62 + M63 - MIN(O63, MAX(0, J62 - ('Výpočty '!$B$1*0.1))) - P63))</f>
        <v>17.965324999998895</v>
      </c>
      <c r="K63" s="46">
        <f>J63/'Výpočty '!$B$1</f>
        <v>0.89826624999994475</v>
      </c>
      <c r="L63" s="42">
        <f t="shared" si="1"/>
        <v>3.4674999990055966E-2</v>
      </c>
      <c r="M63" s="42">
        <f t="shared" si="2"/>
        <v>3.8527777766728853E-2</v>
      </c>
      <c r="N63" s="42">
        <f t="shared" si="3"/>
        <v>1.8249999999999999E-2</v>
      </c>
      <c r="O63" s="42">
        <f t="shared" si="10"/>
        <v>2.0277777777777777E-2</v>
      </c>
      <c r="P63" s="42">
        <f t="shared" si="4"/>
        <v>1.8249999999999999E-2</v>
      </c>
    </row>
    <row r="64" spans="1:16" x14ac:dyDescent="0.3">
      <c r="A64" s="47">
        <f t="shared" si="11"/>
        <v>46303</v>
      </c>
      <c r="B64" s="49">
        <f t="shared" si="12"/>
        <v>0.63541666666666652</v>
      </c>
      <c r="C64" s="42">
        <f>'Říjen data'!V63+P64</f>
        <v>2.5749999999999999E-2</v>
      </c>
      <c r="D64" s="42">
        <f t="shared" si="5"/>
        <v>2.5749999999999999E-2</v>
      </c>
      <c r="E64">
        <f t="shared" si="6"/>
        <v>0.95599999999999996</v>
      </c>
      <c r="F64" s="42">
        <f t="shared" si="7"/>
        <v>0</v>
      </c>
      <c r="G64" s="42">
        <f t="shared" si="8"/>
        <v>0.89172222222099451</v>
      </c>
      <c r="H64" s="42">
        <f t="shared" si="9"/>
        <v>0</v>
      </c>
      <c r="I64" s="42">
        <f t="shared" si="0"/>
        <v>0.93024999999999991</v>
      </c>
      <c r="J64" s="43">
        <f>MIN('Výpočty '!$B$1*0.9, MAX('Výpočty '!$B$1*0.05, J63 + M64 - MIN(O64, MAX(0, J63 - ('Výpočty '!$B$1*0.1))) - P64))</f>
        <v>17.965325000000124</v>
      </c>
      <c r="K64" s="46">
        <f>J64/'Výpočty '!$B$1</f>
        <v>0.89826625000000626</v>
      </c>
      <c r="L64" s="42">
        <f t="shared" si="1"/>
        <v>3.4675000001104905E-2</v>
      </c>
      <c r="M64" s="42">
        <f t="shared" si="2"/>
        <v>3.852777777900545E-2</v>
      </c>
      <c r="N64" s="42">
        <f t="shared" si="3"/>
        <v>1.8249999999999999E-2</v>
      </c>
      <c r="O64" s="42">
        <f t="shared" si="10"/>
        <v>2.0277777777777777E-2</v>
      </c>
      <c r="P64" s="42">
        <f t="shared" si="4"/>
        <v>1.8249999999999999E-2</v>
      </c>
    </row>
    <row r="65" spans="1:16" x14ac:dyDescent="0.3">
      <c r="A65" s="47">
        <f t="shared" si="11"/>
        <v>46303</v>
      </c>
      <c r="B65" s="49">
        <f t="shared" si="12"/>
        <v>0.64583333333333315</v>
      </c>
      <c r="C65" s="42">
        <f>'Říjen data'!V64+P65</f>
        <v>2.5749999999999999E-2</v>
      </c>
      <c r="D65" s="42">
        <f t="shared" si="5"/>
        <v>2.5749999999999999E-2</v>
      </c>
      <c r="E65">
        <f t="shared" si="6"/>
        <v>0.78100000000000003</v>
      </c>
      <c r="F65" s="42">
        <f t="shared" si="7"/>
        <v>0</v>
      </c>
      <c r="G65" s="42">
        <f t="shared" si="8"/>
        <v>0.71672222222236037</v>
      </c>
      <c r="H65" s="42">
        <f t="shared" si="9"/>
        <v>0</v>
      </c>
      <c r="I65" s="42">
        <f t="shared" si="0"/>
        <v>0.75524999999999998</v>
      </c>
      <c r="J65" s="43">
        <f>MIN('Výpočty '!$B$1*0.9, MAX('Výpočty '!$B$1*0.05, J64 + M65 - MIN(O65, MAX(0, J64 - ('Výpočty '!$B$1*0.1))) - P65))</f>
        <v>17.965324999999986</v>
      </c>
      <c r="K65" s="46">
        <f>J65/'Výpočty '!$B$1</f>
        <v>0.89826624999999927</v>
      </c>
      <c r="L65" s="42">
        <f t="shared" si="1"/>
        <v>3.4674999999875666E-2</v>
      </c>
      <c r="M65" s="42">
        <f t="shared" si="2"/>
        <v>3.8527777777639625E-2</v>
      </c>
      <c r="N65" s="42">
        <f t="shared" si="3"/>
        <v>1.8249999999999999E-2</v>
      </c>
      <c r="O65" s="42">
        <f t="shared" si="10"/>
        <v>2.0277777777777777E-2</v>
      </c>
      <c r="P65" s="42">
        <f t="shared" si="4"/>
        <v>1.8249999999999999E-2</v>
      </c>
    </row>
    <row r="66" spans="1:16" x14ac:dyDescent="0.3">
      <c r="A66" s="47">
        <f t="shared" si="11"/>
        <v>46303</v>
      </c>
      <c r="B66" s="49">
        <f t="shared" si="12"/>
        <v>0.65624999999999978</v>
      </c>
      <c r="C66" s="42">
        <f>'Říjen data'!V65+P66</f>
        <v>2.5749999999999999E-2</v>
      </c>
      <c r="D66" s="42">
        <f t="shared" si="5"/>
        <v>2.5749999999999999E-2</v>
      </c>
      <c r="E66">
        <f t="shared" si="6"/>
        <v>0.626</v>
      </c>
      <c r="F66" s="42">
        <f t="shared" si="7"/>
        <v>0</v>
      </c>
      <c r="G66" s="42">
        <f t="shared" si="8"/>
        <v>0.56172222222220636</v>
      </c>
      <c r="H66" s="42">
        <f t="shared" si="9"/>
        <v>0</v>
      </c>
      <c r="I66" s="42">
        <f t="shared" si="0"/>
        <v>0.60024999999999995</v>
      </c>
      <c r="J66" s="43">
        <f>MIN('Výpočty '!$B$1*0.9, MAX('Výpočty '!$B$1*0.05, J65 + M66 - MIN(O66, MAX(0, J65 - ('Výpočty '!$B$1*0.1))) - P66))</f>
        <v>17.965325000000004</v>
      </c>
      <c r="K66" s="46">
        <f>J66/'Výpočty '!$B$1</f>
        <v>0.89826625000000015</v>
      </c>
      <c r="L66" s="42">
        <f t="shared" si="1"/>
        <v>3.4675000000014222E-2</v>
      </c>
      <c r="M66" s="42">
        <f t="shared" si="2"/>
        <v>3.8527777777793579E-2</v>
      </c>
      <c r="N66" s="42">
        <f t="shared" si="3"/>
        <v>1.8249999999999999E-2</v>
      </c>
      <c r="O66" s="42">
        <f t="shared" si="10"/>
        <v>2.0277777777777777E-2</v>
      </c>
      <c r="P66" s="42">
        <f t="shared" si="4"/>
        <v>1.8249999999999999E-2</v>
      </c>
    </row>
    <row r="67" spans="1:16" x14ac:dyDescent="0.3">
      <c r="A67" s="47">
        <f t="shared" si="11"/>
        <v>46303</v>
      </c>
      <c r="B67" s="49">
        <f t="shared" si="12"/>
        <v>0.66666666666666641</v>
      </c>
      <c r="C67" s="42">
        <f>'Říjen data'!V66+P67</f>
        <v>2.5749999999999999E-2</v>
      </c>
      <c r="D67" s="42">
        <f t="shared" si="5"/>
        <v>2.5749999999999999E-2</v>
      </c>
      <c r="E67">
        <f t="shared" si="6"/>
        <v>0.49199999999999999</v>
      </c>
      <c r="F67" s="42">
        <f t="shared" si="7"/>
        <v>0</v>
      </c>
      <c r="G67" s="42">
        <f t="shared" si="8"/>
        <v>0.42772222222222617</v>
      </c>
      <c r="H67" s="42">
        <f t="shared" si="9"/>
        <v>0</v>
      </c>
      <c r="I67" s="42">
        <f t="shared" ref="I67:I98" si="13">E67-C67</f>
        <v>0.46625</v>
      </c>
      <c r="J67" s="43">
        <f>MIN('Výpočty '!$B$1*0.9, MAX('Výpočty '!$B$1*0.05, J66 + M67 - MIN(O67, MAX(0, J66 - ('Výpočty '!$B$1*0.1))) - P67))</f>
        <v>17.965325</v>
      </c>
      <c r="K67" s="46">
        <f>J67/'Výpočty '!$B$1</f>
        <v>0.89826625000000004</v>
      </c>
      <c r="L67" s="42">
        <f t="shared" ref="L67:L98" si="14">M67 * Účinnost_cyklu</f>
        <v>3.4674999999996459E-2</v>
      </c>
      <c r="M67" s="42">
        <f t="shared" ref="M67:M98" si="15">MIN(MAX(0, I67), MAX(0, Kapacita_baterie * Soc_Max - J66) / Účinnost_cyklu, Stridac_limit)</f>
        <v>3.8527777777773844E-2</v>
      </c>
      <c r="N67" s="42">
        <f t="shared" ref="N67:N98" si="16">MAX(0, MIN(J66 - (Kapacita_baterie * Soc_Kriticke), C67 - D67 + P67))</f>
        <v>1.8249999999999999E-2</v>
      </c>
      <c r="O67" s="42">
        <f t="shared" si="10"/>
        <v>2.0277777777777777E-2</v>
      </c>
      <c r="P67" s="42">
        <f t="shared" ref="P67:P98" si="17">Vlastní_Spotřeba_kWh</f>
        <v>1.8249999999999999E-2</v>
      </c>
    </row>
    <row r="68" spans="1:16" x14ac:dyDescent="0.3">
      <c r="A68" s="47">
        <f t="shared" si="11"/>
        <v>46303</v>
      </c>
      <c r="B68" s="49">
        <f t="shared" si="12"/>
        <v>0.67708333333333304</v>
      </c>
      <c r="C68" s="42">
        <f>'Říjen data'!V67+P68</f>
        <v>2.5749999999999999E-2</v>
      </c>
      <c r="D68" s="42">
        <f t="shared" ref="D68:D98" si="18">MIN(C68, E68)</f>
        <v>2.5749999999999999E-2</v>
      </c>
      <c r="E68">
        <f t="shared" ref="E68:E98" si="19">ROUND(MAX(0, 10 * EXP(-((HOUR(B68)+MINUTE(B68)/60 - 12.75)^2) / 6.5) * 0.25), 3)</f>
        <v>0.38</v>
      </c>
      <c r="F68" s="42">
        <f t="shared" ref="F68:F98" si="20">MAX(0, C68 - D68 - H68 )</f>
        <v>0</v>
      </c>
      <c r="G68" s="42">
        <f t="shared" ref="G68:G98" si="21">MAX(0, E68 - D68 - M68)</f>
        <v>0.31572222222222224</v>
      </c>
      <c r="H68" s="42">
        <f t="shared" ref="H68:H97" si="22">MAX(0, MIN(C68 - D68, N68 ))</f>
        <v>0</v>
      </c>
      <c r="I68" s="42">
        <f t="shared" si="13"/>
        <v>0.35425000000000001</v>
      </c>
      <c r="J68" s="43">
        <f>MIN('Výpočty '!$B$1*0.9, MAX('Výpočty '!$B$1*0.05, J67 + M68 - MIN(O68, MAX(0, J67 - ('Výpočty '!$B$1*0.1))) - P68))</f>
        <v>17.965325</v>
      </c>
      <c r="K68" s="46">
        <f>J68/'Výpočty '!$B$1</f>
        <v>0.89826625000000004</v>
      </c>
      <c r="L68" s="42">
        <f t="shared" si="14"/>
        <v>3.4675000000000011E-2</v>
      </c>
      <c r="M68" s="42">
        <f t="shared" si="15"/>
        <v>3.8527777777777793E-2</v>
      </c>
      <c r="N68" s="42">
        <f t="shared" si="16"/>
        <v>1.8249999999999999E-2</v>
      </c>
      <c r="O68" s="42">
        <f t="shared" ref="O68:O98" si="23">N68 / Účinnost_cyklu</f>
        <v>2.0277777777777777E-2</v>
      </c>
      <c r="P68" s="42">
        <f t="shared" si="17"/>
        <v>1.8249999999999999E-2</v>
      </c>
    </row>
    <row r="69" spans="1:16" x14ac:dyDescent="0.3">
      <c r="A69" s="47">
        <f t="shared" ref="A69:A98" si="24">DATE(2026,10,8)</f>
        <v>46303</v>
      </c>
      <c r="B69" s="49">
        <f t="shared" ref="B69:B98" si="25">B68+TIME(0,15,0)</f>
        <v>0.68749999999999967</v>
      </c>
      <c r="C69" s="42">
        <f>'Říjen data'!V68+P69</f>
        <v>0.40075</v>
      </c>
      <c r="D69" s="42">
        <f t="shared" si="18"/>
        <v>0.28699999999999998</v>
      </c>
      <c r="E69">
        <f t="shared" si="19"/>
        <v>0.28699999999999998</v>
      </c>
      <c r="F69" s="42">
        <f t="shared" si="20"/>
        <v>0</v>
      </c>
      <c r="G69" s="42">
        <f t="shared" si="21"/>
        <v>0</v>
      </c>
      <c r="H69" s="42">
        <f t="shared" si="22"/>
        <v>0.11375000000000002</v>
      </c>
      <c r="I69" s="42">
        <f t="shared" si="13"/>
        <v>-0.11375000000000002</v>
      </c>
      <c r="J69" s="43">
        <f>MIN('Výpočty '!$B$1*0.9, MAX('Výpočty '!$B$1*0.05, J68 + M69 - MIN(O69, MAX(0, J68 - ('Výpočty '!$B$1*0.1))) - P69))</f>
        <v>17.800408333333333</v>
      </c>
      <c r="K69" s="46">
        <f>J69/'Výpočty '!$B$1</f>
        <v>0.89002041666666665</v>
      </c>
      <c r="L69" s="42">
        <f t="shared" si="14"/>
        <v>0</v>
      </c>
      <c r="M69" s="42">
        <f t="shared" si="15"/>
        <v>0</v>
      </c>
      <c r="N69" s="42">
        <f t="shared" si="16"/>
        <v>0.13200000000000001</v>
      </c>
      <c r="O69" s="42">
        <f t="shared" si="23"/>
        <v>0.14666666666666667</v>
      </c>
      <c r="P69" s="42">
        <f t="shared" si="17"/>
        <v>1.8249999999999999E-2</v>
      </c>
    </row>
    <row r="70" spans="1:16" x14ac:dyDescent="0.3">
      <c r="A70" s="47">
        <f t="shared" si="24"/>
        <v>46303</v>
      </c>
      <c r="B70" s="49">
        <f t="shared" si="25"/>
        <v>0.6979166666666663</v>
      </c>
      <c r="C70" s="42">
        <f>'Říjen data'!V69+P70</f>
        <v>0.43325000000000002</v>
      </c>
      <c r="D70" s="42">
        <f t="shared" si="18"/>
        <v>0.21299999999999999</v>
      </c>
      <c r="E70">
        <f t="shared" si="19"/>
        <v>0.21299999999999999</v>
      </c>
      <c r="F70" s="42">
        <f t="shared" si="20"/>
        <v>0</v>
      </c>
      <c r="G70" s="42">
        <f t="shared" si="21"/>
        <v>0</v>
      </c>
      <c r="H70" s="42">
        <f t="shared" si="22"/>
        <v>0.22025000000000003</v>
      </c>
      <c r="I70" s="42">
        <f t="shared" si="13"/>
        <v>-0.22025000000000003</v>
      </c>
      <c r="J70" s="43">
        <f>MIN('Výpočty '!$B$1*0.9, MAX('Výpočty '!$B$1*0.05, J69 + M70 - MIN(O70, MAX(0, J69 - ('Výpočty '!$B$1*0.1))) - P70))</f>
        <v>17.517158333333334</v>
      </c>
      <c r="K70" s="46">
        <f>J70/'Výpočty '!$B$1</f>
        <v>0.87585791666666668</v>
      </c>
      <c r="L70" s="42">
        <f t="shared" si="14"/>
        <v>0</v>
      </c>
      <c r="M70" s="42">
        <f t="shared" si="15"/>
        <v>0</v>
      </c>
      <c r="N70" s="42">
        <f t="shared" si="16"/>
        <v>0.23850000000000002</v>
      </c>
      <c r="O70" s="42">
        <f t="shared" si="23"/>
        <v>0.26500000000000001</v>
      </c>
      <c r="P70" s="42">
        <f t="shared" si="17"/>
        <v>1.8249999999999999E-2</v>
      </c>
    </row>
    <row r="71" spans="1:16" x14ac:dyDescent="0.3">
      <c r="A71" s="47">
        <f t="shared" si="24"/>
        <v>46303</v>
      </c>
      <c r="B71" s="49">
        <f t="shared" si="25"/>
        <v>0.70833333333333293</v>
      </c>
      <c r="C71" s="42">
        <f>'Říjen data'!V70+P71</f>
        <v>0.81574999999999998</v>
      </c>
      <c r="D71" s="42">
        <f t="shared" si="18"/>
        <v>0.155</v>
      </c>
      <c r="E71">
        <f t="shared" si="19"/>
        <v>0.155</v>
      </c>
      <c r="F71" s="42">
        <f t="shared" si="20"/>
        <v>0</v>
      </c>
      <c r="G71" s="42">
        <f t="shared" si="21"/>
        <v>0</v>
      </c>
      <c r="H71" s="42">
        <f t="shared" si="22"/>
        <v>0.66074999999999995</v>
      </c>
      <c r="I71" s="42">
        <f t="shared" si="13"/>
        <v>-0.66074999999999995</v>
      </c>
      <c r="J71" s="43">
        <f>MIN('Výpočty '!$B$1*0.9, MAX('Výpočty '!$B$1*0.05, J70 + M71 - MIN(O71, MAX(0, J70 - ('Výpočty '!$B$1*0.1))) - P71))</f>
        <v>16.744463888888891</v>
      </c>
      <c r="K71" s="46">
        <f>J71/'Výpočty '!$B$1</f>
        <v>0.8372231944444446</v>
      </c>
      <c r="L71" s="42">
        <f t="shared" si="14"/>
        <v>0</v>
      </c>
      <c r="M71" s="42">
        <f t="shared" si="15"/>
        <v>0</v>
      </c>
      <c r="N71" s="42">
        <f t="shared" si="16"/>
        <v>0.67899999999999994</v>
      </c>
      <c r="O71" s="42">
        <f t="shared" si="23"/>
        <v>0.75444444444444436</v>
      </c>
      <c r="P71" s="42">
        <f t="shared" si="17"/>
        <v>1.8249999999999999E-2</v>
      </c>
    </row>
    <row r="72" spans="1:16" x14ac:dyDescent="0.3">
      <c r="A72" s="47">
        <f t="shared" si="24"/>
        <v>46303</v>
      </c>
      <c r="B72" s="49">
        <f t="shared" si="25"/>
        <v>0.71874999999999956</v>
      </c>
      <c r="C72" s="42">
        <f>'Říjen data'!V71+P72</f>
        <v>0.81574999999999998</v>
      </c>
      <c r="D72" s="42">
        <f t="shared" si="18"/>
        <v>0.111</v>
      </c>
      <c r="E72">
        <f t="shared" si="19"/>
        <v>0.111</v>
      </c>
      <c r="F72" s="42">
        <f t="shared" si="20"/>
        <v>0</v>
      </c>
      <c r="G72" s="42">
        <f t="shared" si="21"/>
        <v>0</v>
      </c>
      <c r="H72" s="42">
        <f t="shared" si="22"/>
        <v>0.70474999999999999</v>
      </c>
      <c r="I72" s="42">
        <f t="shared" si="13"/>
        <v>-0.70474999999999999</v>
      </c>
      <c r="J72" s="43">
        <f>MIN('Výpočty '!$B$1*0.9, MAX('Výpočty '!$B$1*0.05, J71 + M72 - MIN(O72, MAX(0, J71 - ('Výpočty '!$B$1*0.1))) - P72))</f>
        <v>15.922880555555558</v>
      </c>
      <c r="K72" s="46">
        <f>J72/'Výpočty '!$B$1</f>
        <v>0.79614402777777793</v>
      </c>
      <c r="L72" s="42">
        <f t="shared" si="14"/>
        <v>0</v>
      </c>
      <c r="M72" s="42">
        <f t="shared" si="15"/>
        <v>0</v>
      </c>
      <c r="N72" s="42">
        <f t="shared" si="16"/>
        <v>0.72299999999999998</v>
      </c>
      <c r="O72" s="42">
        <f t="shared" si="23"/>
        <v>0.80333333333333323</v>
      </c>
      <c r="P72" s="42">
        <f t="shared" si="17"/>
        <v>1.8249999999999999E-2</v>
      </c>
    </row>
    <row r="73" spans="1:16" x14ac:dyDescent="0.3">
      <c r="A73" s="47">
        <f t="shared" si="24"/>
        <v>46303</v>
      </c>
      <c r="B73" s="49">
        <f t="shared" si="25"/>
        <v>0.72916666666666619</v>
      </c>
      <c r="C73" s="42">
        <f>'Říjen data'!V72+P73</f>
        <v>2.31575</v>
      </c>
      <c r="D73" s="42">
        <f t="shared" si="18"/>
        <v>7.8E-2</v>
      </c>
      <c r="E73">
        <f t="shared" si="19"/>
        <v>7.8E-2</v>
      </c>
      <c r="F73" s="42">
        <f t="shared" si="20"/>
        <v>0</v>
      </c>
      <c r="G73" s="42">
        <f t="shared" si="21"/>
        <v>0</v>
      </c>
      <c r="H73" s="42">
        <f t="shared" si="22"/>
        <v>2.2377500000000001</v>
      </c>
      <c r="I73" s="42">
        <f t="shared" si="13"/>
        <v>-2.2377500000000001</v>
      </c>
      <c r="J73" s="43">
        <f>MIN('Výpočty '!$B$1*0.9, MAX('Výpočty '!$B$1*0.05, J72 + M73 - MIN(O73, MAX(0, J72 - ('Výpočty '!$B$1*0.1))) - P73))</f>
        <v>13.39796388888889</v>
      </c>
      <c r="K73" s="46">
        <f>J73/'Výpočty '!$B$1</f>
        <v>0.66989819444444454</v>
      </c>
      <c r="L73" s="42">
        <f t="shared" si="14"/>
        <v>0</v>
      </c>
      <c r="M73" s="42">
        <f t="shared" si="15"/>
        <v>0</v>
      </c>
      <c r="N73" s="42">
        <f t="shared" si="16"/>
        <v>2.2560000000000002</v>
      </c>
      <c r="O73" s="42">
        <f t="shared" si="23"/>
        <v>2.5066666666666668</v>
      </c>
      <c r="P73" s="42">
        <f t="shared" si="17"/>
        <v>1.8249999999999999E-2</v>
      </c>
    </row>
    <row r="74" spans="1:16" x14ac:dyDescent="0.3">
      <c r="A74" s="47">
        <f t="shared" si="24"/>
        <v>46303</v>
      </c>
      <c r="B74" s="49">
        <f t="shared" si="25"/>
        <v>0.73958333333333282</v>
      </c>
      <c r="C74" s="42">
        <f>'Říjen data'!V73+P74</f>
        <v>3.06575</v>
      </c>
      <c r="D74" s="42">
        <f t="shared" si="18"/>
        <v>5.2999999999999999E-2</v>
      </c>
      <c r="E74">
        <f t="shared" si="19"/>
        <v>5.2999999999999999E-2</v>
      </c>
      <c r="F74" s="42">
        <f t="shared" si="20"/>
        <v>0</v>
      </c>
      <c r="G74" s="42">
        <f t="shared" si="21"/>
        <v>0</v>
      </c>
      <c r="H74" s="42">
        <f t="shared" si="22"/>
        <v>3.01275</v>
      </c>
      <c r="I74" s="42">
        <f t="shared" si="13"/>
        <v>-3.01275</v>
      </c>
      <c r="J74" s="43">
        <f>MIN('Výpočty '!$B$1*0.9, MAX('Výpočty '!$B$1*0.05, J73 + M74 - MIN(O74, MAX(0, J73 - ('Výpočty '!$B$1*0.1))) - P74))</f>
        <v>10.011936111111112</v>
      </c>
      <c r="K74" s="46">
        <f>J74/'Výpočty '!$B$1</f>
        <v>0.50059680555555564</v>
      </c>
      <c r="L74" s="42">
        <f t="shared" si="14"/>
        <v>0</v>
      </c>
      <c r="M74" s="42">
        <f t="shared" si="15"/>
        <v>0</v>
      </c>
      <c r="N74" s="42">
        <f t="shared" si="16"/>
        <v>3.0310000000000001</v>
      </c>
      <c r="O74" s="42">
        <f t="shared" si="23"/>
        <v>3.367777777777778</v>
      </c>
      <c r="P74" s="42">
        <f t="shared" si="17"/>
        <v>1.8249999999999999E-2</v>
      </c>
    </row>
    <row r="75" spans="1:16" x14ac:dyDescent="0.3">
      <c r="A75" s="47">
        <f t="shared" si="24"/>
        <v>46303</v>
      </c>
      <c r="B75" s="49">
        <f t="shared" si="25"/>
        <v>0.74999999999999944</v>
      </c>
      <c r="C75" s="42">
        <f>'Říjen data'!V74+P75</f>
        <v>3.4907499999999998</v>
      </c>
      <c r="D75" s="42">
        <f t="shared" si="18"/>
        <v>3.5999999999999997E-2</v>
      </c>
      <c r="E75">
        <f t="shared" si="19"/>
        <v>3.5999999999999997E-2</v>
      </c>
      <c r="F75" s="42">
        <f t="shared" si="20"/>
        <v>0</v>
      </c>
      <c r="G75" s="42">
        <f t="shared" si="21"/>
        <v>0</v>
      </c>
      <c r="H75" s="42">
        <f t="shared" si="22"/>
        <v>3.4547499999999998</v>
      </c>
      <c r="I75" s="42">
        <f t="shared" si="13"/>
        <v>-3.4547499999999998</v>
      </c>
      <c r="J75" s="43">
        <f>MIN('Výpočty '!$B$1*0.9, MAX('Výpočty '!$B$1*0.05, J74 + M75 - MIN(O75, MAX(0, J74 - ('Výpočty '!$B$1*0.1))) - P75))</f>
        <v>6.1347972222222236</v>
      </c>
      <c r="K75" s="46">
        <f>J75/'Výpočty '!$B$1</f>
        <v>0.30673986111111118</v>
      </c>
      <c r="L75" s="42">
        <f t="shared" si="14"/>
        <v>0</v>
      </c>
      <c r="M75" s="42">
        <f t="shared" si="15"/>
        <v>0</v>
      </c>
      <c r="N75" s="42">
        <f t="shared" si="16"/>
        <v>3.4729999999999999</v>
      </c>
      <c r="O75" s="42">
        <f t="shared" si="23"/>
        <v>3.8588888888888886</v>
      </c>
      <c r="P75" s="42">
        <f t="shared" si="17"/>
        <v>1.8249999999999999E-2</v>
      </c>
    </row>
    <row r="76" spans="1:16" x14ac:dyDescent="0.3">
      <c r="A76" s="47">
        <f t="shared" si="24"/>
        <v>46303</v>
      </c>
      <c r="B76" s="49">
        <f t="shared" si="25"/>
        <v>0.76041666666666607</v>
      </c>
      <c r="C76" s="42">
        <f>'Říjen data'!V75+P76</f>
        <v>3.0557499999999997</v>
      </c>
      <c r="D76" s="42">
        <f t="shared" si="18"/>
        <v>2.4E-2</v>
      </c>
      <c r="E76">
        <f t="shared" si="19"/>
        <v>2.4E-2</v>
      </c>
      <c r="F76" s="42">
        <f t="shared" si="20"/>
        <v>0</v>
      </c>
      <c r="G76" s="42">
        <f t="shared" si="21"/>
        <v>0</v>
      </c>
      <c r="H76" s="42">
        <f t="shared" si="22"/>
        <v>3.0317499999999997</v>
      </c>
      <c r="I76" s="42">
        <f t="shared" si="13"/>
        <v>-3.0317499999999997</v>
      </c>
      <c r="J76" s="43">
        <f>MIN('Výpočty '!$B$1*0.9, MAX('Výpočty '!$B$1*0.05, J75 + M76 - MIN(O76, MAX(0, J75 - ('Výpočty '!$B$1*0.1))) - P76))</f>
        <v>2.7276583333333351</v>
      </c>
      <c r="K76" s="46">
        <f>J76/'Výpočty '!$B$1</f>
        <v>0.13638291666666674</v>
      </c>
      <c r="L76" s="42">
        <f t="shared" si="14"/>
        <v>0</v>
      </c>
      <c r="M76" s="42">
        <f t="shared" si="15"/>
        <v>0</v>
      </c>
      <c r="N76" s="42">
        <f t="shared" si="16"/>
        <v>3.05</v>
      </c>
      <c r="O76" s="42">
        <f t="shared" si="23"/>
        <v>3.3888888888888884</v>
      </c>
      <c r="P76" s="42">
        <f t="shared" si="17"/>
        <v>1.8249999999999999E-2</v>
      </c>
    </row>
    <row r="77" spans="1:16" x14ac:dyDescent="0.3">
      <c r="A77" s="47">
        <f t="shared" si="24"/>
        <v>46303</v>
      </c>
      <c r="B77" s="49">
        <f t="shared" si="25"/>
        <v>0.7708333333333327</v>
      </c>
      <c r="C77" s="42">
        <f>'Říjen data'!V76+P77</f>
        <v>1.5557499999999997</v>
      </c>
      <c r="D77" s="42">
        <f t="shared" si="18"/>
        <v>1.4999999999999999E-2</v>
      </c>
      <c r="E77">
        <f t="shared" si="19"/>
        <v>1.4999999999999999E-2</v>
      </c>
      <c r="F77" s="42">
        <f t="shared" si="20"/>
        <v>0</v>
      </c>
      <c r="G77" s="42">
        <f t="shared" si="21"/>
        <v>0</v>
      </c>
      <c r="H77" s="42">
        <f t="shared" si="22"/>
        <v>1.5407499999999998</v>
      </c>
      <c r="I77" s="42">
        <f t="shared" si="13"/>
        <v>-1.5407499999999998</v>
      </c>
      <c r="J77" s="43">
        <f>MIN('Výpočty '!$B$1*0.9, MAX('Výpočty '!$B$1*0.05, J76 + M77 - MIN(O77, MAX(0, J76 - ('Výpočty '!$B$1*0.1))) - P77))</f>
        <v>1.9817499999999999</v>
      </c>
      <c r="K77" s="46">
        <f>J77/'Výpočty '!$B$1</f>
        <v>9.9087499999999995E-2</v>
      </c>
      <c r="L77" s="42">
        <f t="shared" si="14"/>
        <v>0</v>
      </c>
      <c r="M77" s="42">
        <f t="shared" si="15"/>
        <v>0</v>
      </c>
      <c r="N77" s="42">
        <f t="shared" si="16"/>
        <v>1.5589999999999999</v>
      </c>
      <c r="O77" s="42">
        <f t="shared" si="23"/>
        <v>1.7322222222222221</v>
      </c>
      <c r="P77" s="42">
        <f t="shared" si="17"/>
        <v>1.8249999999999999E-2</v>
      </c>
    </row>
    <row r="78" spans="1:16" x14ac:dyDescent="0.3">
      <c r="A78" s="47">
        <f t="shared" si="24"/>
        <v>46303</v>
      </c>
      <c r="B78" s="49">
        <f t="shared" si="25"/>
        <v>0.78124999999999933</v>
      </c>
      <c r="C78" s="42">
        <f>'Říjen data'!V77+P78</f>
        <v>1.5557499999999997</v>
      </c>
      <c r="D78" s="42">
        <f t="shared" si="18"/>
        <v>0.01</v>
      </c>
      <c r="E78">
        <f t="shared" si="19"/>
        <v>0.01</v>
      </c>
      <c r="F78" s="42">
        <f t="shared" si="20"/>
        <v>0.56399999999999983</v>
      </c>
      <c r="G78" s="42">
        <f t="shared" si="21"/>
        <v>0</v>
      </c>
      <c r="H78" s="42">
        <f t="shared" si="22"/>
        <v>0.9817499999999999</v>
      </c>
      <c r="I78" s="42">
        <f t="shared" si="13"/>
        <v>-1.5457499999999997</v>
      </c>
      <c r="J78" s="43">
        <f>MIN('Výpočty '!$B$1*0.9, MAX('Výpočty '!$B$1*0.05, J77 + M78 - MIN(O78, MAX(0, J77 - ('Výpočty '!$B$1*0.1))) - P78))</f>
        <v>1.9634999999999998</v>
      </c>
      <c r="K78" s="46">
        <f>J78/'Výpočty '!$B$1</f>
        <v>9.8174999999999985E-2</v>
      </c>
      <c r="L78" s="42">
        <f t="shared" si="14"/>
        <v>0</v>
      </c>
      <c r="M78" s="42">
        <f t="shared" si="15"/>
        <v>0</v>
      </c>
      <c r="N78" s="42">
        <f t="shared" si="16"/>
        <v>0.9817499999999999</v>
      </c>
      <c r="O78" s="42">
        <f t="shared" si="23"/>
        <v>1.0908333333333331</v>
      </c>
      <c r="P78" s="42">
        <f t="shared" si="17"/>
        <v>1.8249999999999999E-2</v>
      </c>
    </row>
    <row r="79" spans="1:16" x14ac:dyDescent="0.3">
      <c r="A79" s="47">
        <f t="shared" si="24"/>
        <v>46303</v>
      </c>
      <c r="B79" s="49">
        <f t="shared" si="25"/>
        <v>0.79166666666666596</v>
      </c>
      <c r="C79" s="42">
        <f>'Říjen data'!V78+P79</f>
        <v>0.45700000000000002</v>
      </c>
      <c r="D79" s="42">
        <f t="shared" si="18"/>
        <v>6.0000000000000001E-3</v>
      </c>
      <c r="E79">
        <f t="shared" si="19"/>
        <v>6.0000000000000001E-3</v>
      </c>
      <c r="F79" s="42">
        <f t="shared" si="20"/>
        <v>0</v>
      </c>
      <c r="G79" s="42">
        <f t="shared" si="21"/>
        <v>0</v>
      </c>
      <c r="H79" s="42">
        <f t="shared" si="22"/>
        <v>0.45100000000000001</v>
      </c>
      <c r="I79" s="42">
        <f t="shared" si="13"/>
        <v>-0.45100000000000001</v>
      </c>
      <c r="J79" s="43">
        <f>MIN('Výpočty '!$B$1*0.9, MAX('Výpočty '!$B$1*0.05, J78 + M79 - MIN(O79, MAX(0, J78 - ('Výpočty '!$B$1*0.1))) - P79))</f>
        <v>1.9452499999999997</v>
      </c>
      <c r="K79" s="46">
        <f>J79/'Výpočty '!$B$1</f>
        <v>9.7262499999999988E-2</v>
      </c>
      <c r="L79" s="42">
        <f t="shared" si="14"/>
        <v>0</v>
      </c>
      <c r="M79" s="42">
        <f t="shared" si="15"/>
        <v>0</v>
      </c>
      <c r="N79" s="42">
        <f t="shared" si="16"/>
        <v>0.46925</v>
      </c>
      <c r="O79" s="42">
        <f t="shared" si="23"/>
        <v>0.5213888888888889</v>
      </c>
      <c r="P79" s="42">
        <f t="shared" si="17"/>
        <v>1.8249999999999999E-2</v>
      </c>
    </row>
    <row r="80" spans="1:16" x14ac:dyDescent="0.3">
      <c r="A80" s="47">
        <f t="shared" si="24"/>
        <v>46303</v>
      </c>
      <c r="B80" s="49">
        <f t="shared" si="25"/>
        <v>0.80208333333333259</v>
      </c>
      <c r="C80" s="42">
        <f>'Říjen data'!V79+P80</f>
        <v>0.432</v>
      </c>
      <c r="D80" s="42">
        <f t="shared" si="18"/>
        <v>4.0000000000000001E-3</v>
      </c>
      <c r="E80">
        <f t="shared" si="19"/>
        <v>4.0000000000000001E-3</v>
      </c>
      <c r="F80" s="42">
        <f t="shared" si="20"/>
        <v>0</v>
      </c>
      <c r="G80" s="42">
        <f t="shared" si="21"/>
        <v>0</v>
      </c>
      <c r="H80" s="42">
        <f t="shared" si="22"/>
        <v>0.42799999999999999</v>
      </c>
      <c r="I80" s="42">
        <f t="shared" si="13"/>
        <v>-0.42799999999999999</v>
      </c>
      <c r="J80" s="43">
        <f>MIN('Výpočty '!$B$1*0.9, MAX('Výpočty '!$B$1*0.05, J79 + M80 - MIN(O80, MAX(0, J79 - ('Výpočty '!$B$1*0.1))) - P80))</f>
        <v>1.9269999999999996</v>
      </c>
      <c r="K80" s="46">
        <f>J80/'Výpočty '!$B$1</f>
        <v>9.6349999999999977E-2</v>
      </c>
      <c r="L80" s="42">
        <f t="shared" si="14"/>
        <v>0</v>
      </c>
      <c r="M80" s="42">
        <f t="shared" si="15"/>
        <v>0</v>
      </c>
      <c r="N80" s="42">
        <f t="shared" si="16"/>
        <v>0.44624999999999998</v>
      </c>
      <c r="O80" s="42">
        <f t="shared" si="23"/>
        <v>0.49583333333333329</v>
      </c>
      <c r="P80" s="42">
        <f t="shared" si="17"/>
        <v>1.8249999999999999E-2</v>
      </c>
    </row>
    <row r="81" spans="1:16" x14ac:dyDescent="0.3">
      <c r="A81" s="47">
        <f t="shared" si="24"/>
        <v>46303</v>
      </c>
      <c r="B81" s="49">
        <f t="shared" si="25"/>
        <v>0.81249999999999922</v>
      </c>
      <c r="C81" s="42">
        <f>'Říjen data'!V80+P81</f>
        <v>0.4985</v>
      </c>
      <c r="D81" s="42">
        <f t="shared" si="18"/>
        <v>2E-3</v>
      </c>
      <c r="E81">
        <f t="shared" si="19"/>
        <v>2E-3</v>
      </c>
      <c r="F81" s="42">
        <f t="shared" si="20"/>
        <v>0</v>
      </c>
      <c r="G81" s="42">
        <f t="shared" si="21"/>
        <v>0</v>
      </c>
      <c r="H81" s="42">
        <f t="shared" si="22"/>
        <v>0.4965</v>
      </c>
      <c r="I81" s="42">
        <f t="shared" si="13"/>
        <v>-0.4965</v>
      </c>
      <c r="J81" s="43">
        <f>MIN('Výpočty '!$B$1*0.9, MAX('Výpočty '!$B$1*0.05, J80 + M81 - MIN(O81, MAX(0, J80 - ('Výpočty '!$B$1*0.1))) - P81))</f>
        <v>1.9087499999999995</v>
      </c>
      <c r="K81" s="46">
        <f>J81/'Výpočty '!$B$1</f>
        <v>9.5437499999999981E-2</v>
      </c>
      <c r="L81" s="42">
        <f t="shared" si="14"/>
        <v>0</v>
      </c>
      <c r="M81" s="42">
        <f t="shared" si="15"/>
        <v>0</v>
      </c>
      <c r="N81" s="42">
        <f t="shared" si="16"/>
        <v>0.51475000000000004</v>
      </c>
      <c r="O81" s="42">
        <f t="shared" si="23"/>
        <v>0.57194444444444448</v>
      </c>
      <c r="P81" s="42">
        <f t="shared" si="17"/>
        <v>1.8249999999999999E-2</v>
      </c>
    </row>
    <row r="82" spans="1:16" x14ac:dyDescent="0.3">
      <c r="A82" s="47">
        <f t="shared" si="24"/>
        <v>46303</v>
      </c>
      <c r="B82" s="49">
        <f t="shared" si="25"/>
        <v>0.82291666666666585</v>
      </c>
      <c r="C82" s="42">
        <f>'Říjen data'!V81+P82</f>
        <v>0.4985</v>
      </c>
      <c r="D82" s="42">
        <f t="shared" si="18"/>
        <v>1E-3</v>
      </c>
      <c r="E82">
        <f t="shared" si="19"/>
        <v>1E-3</v>
      </c>
      <c r="F82" s="42">
        <f t="shared" si="20"/>
        <v>0</v>
      </c>
      <c r="G82" s="42">
        <f t="shared" si="21"/>
        <v>0</v>
      </c>
      <c r="H82" s="42">
        <f t="shared" si="22"/>
        <v>0.4975</v>
      </c>
      <c r="I82" s="42">
        <f t="shared" si="13"/>
        <v>-0.4975</v>
      </c>
      <c r="J82" s="43">
        <f>MIN('Výpočty '!$B$1*0.9, MAX('Výpočty '!$B$1*0.05, J81 + M82 - MIN(O82, MAX(0, J81 - ('Výpočty '!$B$1*0.1))) - P82))</f>
        <v>1.8904999999999994</v>
      </c>
      <c r="K82" s="46">
        <f>J82/'Výpočty '!$B$1</f>
        <v>9.452499999999997E-2</v>
      </c>
      <c r="L82" s="42">
        <f t="shared" si="14"/>
        <v>0</v>
      </c>
      <c r="M82" s="42">
        <f t="shared" si="15"/>
        <v>0</v>
      </c>
      <c r="N82" s="42">
        <f t="shared" si="16"/>
        <v>0.51575000000000004</v>
      </c>
      <c r="O82" s="42">
        <f t="shared" si="23"/>
        <v>0.57305555555555554</v>
      </c>
      <c r="P82" s="42">
        <f t="shared" si="17"/>
        <v>1.8249999999999999E-2</v>
      </c>
    </row>
    <row r="83" spans="1:16" x14ac:dyDescent="0.3">
      <c r="A83" s="47">
        <f t="shared" si="24"/>
        <v>46303</v>
      </c>
      <c r="B83" s="49">
        <f t="shared" si="25"/>
        <v>0.83333333333333248</v>
      </c>
      <c r="C83" s="42">
        <f>'Říjen data'!V82+P83</f>
        <v>0.50150000000000006</v>
      </c>
      <c r="D83" s="42">
        <f t="shared" si="18"/>
        <v>1E-3</v>
      </c>
      <c r="E83">
        <f t="shared" si="19"/>
        <v>1E-3</v>
      </c>
      <c r="F83" s="42">
        <f t="shared" si="20"/>
        <v>0</v>
      </c>
      <c r="G83" s="42">
        <f t="shared" si="21"/>
        <v>0</v>
      </c>
      <c r="H83" s="42">
        <f t="shared" si="22"/>
        <v>0.50050000000000006</v>
      </c>
      <c r="I83" s="42">
        <f t="shared" si="13"/>
        <v>-0.50050000000000006</v>
      </c>
      <c r="J83" s="43">
        <f>MIN('Výpočty '!$B$1*0.9, MAX('Výpočty '!$B$1*0.05, J82 + M83 - MIN(O83, MAX(0, J82 - ('Výpočty '!$B$1*0.1))) - P83))</f>
        <v>1.8722499999999993</v>
      </c>
      <c r="K83" s="46">
        <f>J83/'Výpočty '!$B$1</f>
        <v>9.361249999999996E-2</v>
      </c>
      <c r="L83" s="42">
        <f t="shared" si="14"/>
        <v>0</v>
      </c>
      <c r="M83" s="42">
        <f t="shared" si="15"/>
        <v>0</v>
      </c>
      <c r="N83" s="42">
        <f t="shared" si="16"/>
        <v>0.51875000000000004</v>
      </c>
      <c r="O83" s="42">
        <f t="shared" si="23"/>
        <v>0.57638888888888895</v>
      </c>
      <c r="P83" s="42">
        <f t="shared" si="17"/>
        <v>1.8249999999999999E-2</v>
      </c>
    </row>
    <row r="84" spans="1:16" x14ac:dyDescent="0.3">
      <c r="A84" s="47">
        <f t="shared" si="24"/>
        <v>46303</v>
      </c>
      <c r="B84" s="49">
        <f t="shared" si="25"/>
        <v>0.84374999999999911</v>
      </c>
      <c r="C84" s="42">
        <f>'Říjen data'!V83+P84</f>
        <v>0.50150000000000006</v>
      </c>
      <c r="D84" s="42">
        <f t="shared" si="18"/>
        <v>0</v>
      </c>
      <c r="E84">
        <f t="shared" si="19"/>
        <v>0</v>
      </c>
      <c r="F84" s="42">
        <f t="shared" si="20"/>
        <v>0</v>
      </c>
      <c r="G84" s="42">
        <f t="shared" si="21"/>
        <v>0</v>
      </c>
      <c r="H84" s="42">
        <f t="shared" si="22"/>
        <v>0.50150000000000006</v>
      </c>
      <c r="I84" s="42">
        <f t="shared" si="13"/>
        <v>-0.50150000000000006</v>
      </c>
      <c r="J84" s="43">
        <f>MIN('Výpočty '!$B$1*0.9, MAX('Výpočty '!$B$1*0.05, J83 + M84 - MIN(O84, MAX(0, J83 - ('Výpočty '!$B$1*0.1))) - P84))</f>
        <v>1.8539999999999992</v>
      </c>
      <c r="K84" s="46">
        <f>J84/'Výpočty '!$B$1</f>
        <v>9.2699999999999963E-2</v>
      </c>
      <c r="L84" s="42">
        <f t="shared" si="14"/>
        <v>0</v>
      </c>
      <c r="M84" s="42">
        <f t="shared" si="15"/>
        <v>0</v>
      </c>
      <c r="N84" s="42">
        <f t="shared" si="16"/>
        <v>0.51975000000000005</v>
      </c>
      <c r="O84" s="42">
        <f t="shared" si="23"/>
        <v>0.57750000000000001</v>
      </c>
      <c r="P84" s="42">
        <f t="shared" si="17"/>
        <v>1.8249999999999999E-2</v>
      </c>
    </row>
    <row r="85" spans="1:16" x14ac:dyDescent="0.3">
      <c r="A85" s="47">
        <f t="shared" si="24"/>
        <v>46303</v>
      </c>
      <c r="B85" s="49">
        <f t="shared" si="25"/>
        <v>0.85416666666666574</v>
      </c>
      <c r="C85" s="42">
        <f>'Říjen data'!V84+P85</f>
        <v>0.50150000000000006</v>
      </c>
      <c r="D85" s="42">
        <f t="shared" si="18"/>
        <v>0</v>
      </c>
      <c r="E85">
        <f t="shared" si="19"/>
        <v>0</v>
      </c>
      <c r="F85" s="42">
        <f t="shared" si="20"/>
        <v>0</v>
      </c>
      <c r="G85" s="42">
        <f t="shared" si="21"/>
        <v>0</v>
      </c>
      <c r="H85" s="42">
        <f t="shared" si="22"/>
        <v>0.50150000000000006</v>
      </c>
      <c r="I85" s="42">
        <f t="shared" si="13"/>
        <v>-0.50150000000000006</v>
      </c>
      <c r="J85" s="43">
        <f>MIN('Výpočty '!$B$1*0.9, MAX('Výpočty '!$B$1*0.05, J84 + M85 - MIN(O85, MAX(0, J84 - ('Výpočty '!$B$1*0.1))) - P85))</f>
        <v>1.8357499999999991</v>
      </c>
      <c r="K85" s="46">
        <f>J85/'Výpočty '!$B$1</f>
        <v>9.1787499999999952E-2</v>
      </c>
      <c r="L85" s="42">
        <f t="shared" si="14"/>
        <v>0</v>
      </c>
      <c r="M85" s="42">
        <f t="shared" si="15"/>
        <v>0</v>
      </c>
      <c r="N85" s="42">
        <f t="shared" si="16"/>
        <v>0.51975000000000005</v>
      </c>
      <c r="O85" s="42">
        <f t="shared" si="23"/>
        <v>0.57750000000000001</v>
      </c>
      <c r="P85" s="42">
        <f t="shared" si="17"/>
        <v>1.8249999999999999E-2</v>
      </c>
    </row>
    <row r="86" spans="1:16" x14ac:dyDescent="0.3">
      <c r="A86" s="47">
        <f t="shared" si="24"/>
        <v>46303</v>
      </c>
      <c r="B86" s="49">
        <f t="shared" si="25"/>
        <v>0.86458333333333237</v>
      </c>
      <c r="C86" s="42">
        <f>'Říjen data'!V85+P86</f>
        <v>0.50550000000000006</v>
      </c>
      <c r="D86" s="42">
        <f t="shared" si="18"/>
        <v>0</v>
      </c>
      <c r="E86">
        <f t="shared" si="19"/>
        <v>0</v>
      </c>
      <c r="F86" s="42">
        <f t="shared" si="20"/>
        <v>0</v>
      </c>
      <c r="G86" s="42">
        <f t="shared" si="21"/>
        <v>0</v>
      </c>
      <c r="H86" s="42">
        <f t="shared" si="22"/>
        <v>0.50550000000000006</v>
      </c>
      <c r="I86" s="42">
        <f t="shared" si="13"/>
        <v>-0.50550000000000006</v>
      </c>
      <c r="J86" s="43">
        <f>MIN('Výpočty '!$B$1*0.9, MAX('Výpočty '!$B$1*0.05, J85 + M86 - MIN(O86, MAX(0, J85 - ('Výpočty '!$B$1*0.1))) - P86))</f>
        <v>1.817499999999999</v>
      </c>
      <c r="K86" s="46">
        <f>J86/'Výpočty '!$B$1</f>
        <v>9.0874999999999956E-2</v>
      </c>
      <c r="L86" s="42">
        <f t="shared" si="14"/>
        <v>0</v>
      </c>
      <c r="M86" s="42">
        <f t="shared" si="15"/>
        <v>0</v>
      </c>
      <c r="N86" s="42">
        <f t="shared" si="16"/>
        <v>0.52375000000000005</v>
      </c>
      <c r="O86" s="42">
        <f t="shared" si="23"/>
        <v>0.58194444444444449</v>
      </c>
      <c r="P86" s="42">
        <f t="shared" si="17"/>
        <v>1.8249999999999999E-2</v>
      </c>
    </row>
    <row r="87" spans="1:16" x14ac:dyDescent="0.3">
      <c r="A87" s="47">
        <f t="shared" si="24"/>
        <v>46303</v>
      </c>
      <c r="B87" s="49">
        <f t="shared" si="25"/>
        <v>0.874999999999999</v>
      </c>
      <c r="C87" s="42">
        <f>'Říjen data'!V86+P87</f>
        <v>1.0555000000000001</v>
      </c>
      <c r="D87" s="42">
        <f t="shared" si="18"/>
        <v>0</v>
      </c>
      <c r="E87">
        <f t="shared" si="19"/>
        <v>0</v>
      </c>
      <c r="F87" s="42">
        <f t="shared" si="20"/>
        <v>0.2380000000000011</v>
      </c>
      <c r="G87" s="42">
        <f t="shared" si="21"/>
        <v>0</v>
      </c>
      <c r="H87" s="42">
        <f t="shared" si="22"/>
        <v>0.81749999999999901</v>
      </c>
      <c r="I87" s="42">
        <f t="shared" si="13"/>
        <v>-1.0555000000000001</v>
      </c>
      <c r="J87" s="43">
        <f>MIN('Výpočty '!$B$1*0.9, MAX('Výpočty '!$B$1*0.05, J86 + M87 - MIN(O87, MAX(0, J86 - ('Výpočty '!$B$1*0.1))) - P87))</f>
        <v>1.7992499999999989</v>
      </c>
      <c r="K87" s="46">
        <f>J87/'Výpočty '!$B$1</f>
        <v>8.9962499999999945E-2</v>
      </c>
      <c r="L87" s="42">
        <f t="shared" si="14"/>
        <v>0</v>
      </c>
      <c r="M87" s="42">
        <f t="shared" si="15"/>
        <v>0</v>
      </c>
      <c r="N87" s="42">
        <f t="shared" si="16"/>
        <v>0.81749999999999901</v>
      </c>
      <c r="O87" s="42">
        <f t="shared" si="23"/>
        <v>0.90833333333333222</v>
      </c>
      <c r="P87" s="42">
        <f t="shared" si="17"/>
        <v>1.8249999999999999E-2</v>
      </c>
    </row>
    <row r="88" spans="1:16" x14ac:dyDescent="0.3">
      <c r="A88" s="47">
        <f t="shared" si="24"/>
        <v>46303</v>
      </c>
      <c r="B88" s="49">
        <f t="shared" si="25"/>
        <v>0.88541666666666563</v>
      </c>
      <c r="C88" s="42">
        <f>'Říjen data'!V87+P88</f>
        <v>1.0555000000000001</v>
      </c>
      <c r="D88" s="42">
        <f t="shared" si="18"/>
        <v>0</v>
      </c>
      <c r="E88">
        <f t="shared" si="19"/>
        <v>0</v>
      </c>
      <c r="F88" s="42">
        <f t="shared" si="20"/>
        <v>0.2562500000000012</v>
      </c>
      <c r="G88" s="42">
        <f t="shared" si="21"/>
        <v>0</v>
      </c>
      <c r="H88" s="42">
        <f t="shared" si="22"/>
        <v>0.79924999999999891</v>
      </c>
      <c r="I88" s="42">
        <f t="shared" si="13"/>
        <v>-1.0555000000000001</v>
      </c>
      <c r="J88" s="43">
        <f>MIN('Výpočty '!$B$1*0.9, MAX('Výpočty '!$B$1*0.05, J87 + M88 - MIN(O88, MAX(0, J87 - ('Výpočty '!$B$1*0.1))) - P88))</f>
        <v>1.7809999999999988</v>
      </c>
      <c r="K88" s="46">
        <f>J88/'Výpočty '!$B$1</f>
        <v>8.9049999999999935E-2</v>
      </c>
      <c r="L88" s="42">
        <f t="shared" si="14"/>
        <v>0</v>
      </c>
      <c r="M88" s="42">
        <f t="shared" si="15"/>
        <v>0</v>
      </c>
      <c r="N88" s="42">
        <f t="shared" si="16"/>
        <v>0.79924999999999891</v>
      </c>
      <c r="O88" s="42">
        <f t="shared" si="23"/>
        <v>0.88805555555555427</v>
      </c>
      <c r="P88" s="42">
        <f t="shared" si="17"/>
        <v>1.8249999999999999E-2</v>
      </c>
    </row>
    <row r="89" spans="1:16" x14ac:dyDescent="0.3">
      <c r="A89" s="47">
        <f t="shared" si="24"/>
        <v>46303</v>
      </c>
      <c r="B89" s="49">
        <f t="shared" si="25"/>
        <v>0.89583333333333226</v>
      </c>
      <c r="C89" s="42">
        <f>'Říjen data'!V88+P89</f>
        <v>1.0630000000000002</v>
      </c>
      <c r="D89" s="42">
        <f t="shared" si="18"/>
        <v>0</v>
      </c>
      <c r="E89">
        <f t="shared" si="19"/>
        <v>0</v>
      </c>
      <c r="F89" s="42">
        <f t="shared" si="20"/>
        <v>0.28200000000000136</v>
      </c>
      <c r="G89" s="42">
        <f t="shared" si="21"/>
        <v>0</v>
      </c>
      <c r="H89" s="42">
        <f t="shared" si="22"/>
        <v>0.78099999999999881</v>
      </c>
      <c r="I89" s="42">
        <f t="shared" si="13"/>
        <v>-1.0630000000000002</v>
      </c>
      <c r="J89" s="43">
        <f>MIN('Výpočty '!$B$1*0.9, MAX('Výpočty '!$B$1*0.05, J88 + M89 - MIN(O89, MAX(0, J88 - ('Výpočty '!$B$1*0.1))) - P89))</f>
        <v>1.7627499999999987</v>
      </c>
      <c r="K89" s="46">
        <f>J89/'Výpočty '!$B$1</f>
        <v>8.8137499999999938E-2</v>
      </c>
      <c r="L89" s="42">
        <f t="shared" si="14"/>
        <v>0</v>
      </c>
      <c r="M89" s="42">
        <f t="shared" si="15"/>
        <v>0</v>
      </c>
      <c r="N89" s="42">
        <f t="shared" si="16"/>
        <v>0.78099999999999881</v>
      </c>
      <c r="O89" s="42">
        <f t="shared" si="23"/>
        <v>0.86777777777777643</v>
      </c>
      <c r="P89" s="42">
        <f t="shared" si="17"/>
        <v>1.8249999999999999E-2</v>
      </c>
    </row>
    <row r="90" spans="1:16" x14ac:dyDescent="0.3">
      <c r="A90" s="47">
        <f t="shared" si="24"/>
        <v>46303</v>
      </c>
      <c r="B90" s="49">
        <f t="shared" si="25"/>
        <v>0.90624999999999889</v>
      </c>
      <c r="C90" s="42">
        <f>'Říjen data'!V89+P90</f>
        <v>1.4379999999999999</v>
      </c>
      <c r="D90" s="42">
        <f t="shared" si="18"/>
        <v>0</v>
      </c>
      <c r="E90">
        <f t="shared" si="19"/>
        <v>0</v>
      </c>
      <c r="F90" s="42">
        <f t="shared" si="20"/>
        <v>0.67525000000000124</v>
      </c>
      <c r="G90" s="42">
        <f t="shared" si="21"/>
        <v>0</v>
      </c>
      <c r="H90" s="42">
        <f t="shared" si="22"/>
        <v>0.76274999999999871</v>
      </c>
      <c r="I90" s="42">
        <f t="shared" si="13"/>
        <v>-1.4379999999999999</v>
      </c>
      <c r="J90" s="43">
        <f>MIN('Výpočty '!$B$1*0.9, MAX('Výpočty '!$B$1*0.05, J89 + M90 - MIN(O90, MAX(0, J89 - ('Výpočty '!$B$1*0.1))) - P90))</f>
        <v>1.7444999999999986</v>
      </c>
      <c r="K90" s="46">
        <f>J90/'Výpočty '!$B$1</f>
        <v>8.7224999999999928E-2</v>
      </c>
      <c r="L90" s="42">
        <f t="shared" si="14"/>
        <v>0</v>
      </c>
      <c r="M90" s="42">
        <f t="shared" si="15"/>
        <v>0</v>
      </c>
      <c r="N90" s="42">
        <f t="shared" si="16"/>
        <v>0.76274999999999871</v>
      </c>
      <c r="O90" s="42">
        <f t="shared" si="23"/>
        <v>0.84749999999999859</v>
      </c>
      <c r="P90" s="42">
        <f t="shared" si="17"/>
        <v>1.8249999999999999E-2</v>
      </c>
    </row>
    <row r="91" spans="1:16" x14ac:dyDescent="0.3">
      <c r="A91" s="47">
        <f t="shared" si="24"/>
        <v>46303</v>
      </c>
      <c r="B91" s="49">
        <f t="shared" si="25"/>
        <v>0.91666666666666552</v>
      </c>
      <c r="C91" s="42">
        <f>'Říjen data'!V90+P91</f>
        <v>1.4379999999999999</v>
      </c>
      <c r="D91" s="42">
        <f t="shared" si="18"/>
        <v>0</v>
      </c>
      <c r="E91">
        <f t="shared" si="19"/>
        <v>0</v>
      </c>
      <c r="F91" s="42">
        <f t="shared" si="20"/>
        <v>0.69350000000000134</v>
      </c>
      <c r="G91" s="42">
        <f t="shared" si="21"/>
        <v>0</v>
      </c>
      <c r="H91" s="42">
        <f t="shared" si="22"/>
        <v>0.74449999999999861</v>
      </c>
      <c r="I91" s="42">
        <f t="shared" si="13"/>
        <v>-1.4379999999999999</v>
      </c>
      <c r="J91" s="43">
        <f>MIN('Výpočty '!$B$1*0.9, MAX('Výpočty '!$B$1*0.05, J90 + M91 - MIN(O91, MAX(0, J90 - ('Výpočty '!$B$1*0.1))) - P91))</f>
        <v>1.7262499999999985</v>
      </c>
      <c r="K91" s="46">
        <f>J91/'Výpočty '!$B$1</f>
        <v>8.6312499999999931E-2</v>
      </c>
      <c r="L91" s="42">
        <f t="shared" si="14"/>
        <v>0</v>
      </c>
      <c r="M91" s="42">
        <f t="shared" si="15"/>
        <v>0</v>
      </c>
      <c r="N91" s="42">
        <f t="shared" si="16"/>
        <v>0.74449999999999861</v>
      </c>
      <c r="O91" s="42">
        <f t="shared" si="23"/>
        <v>0.82722222222222064</v>
      </c>
      <c r="P91" s="42">
        <f t="shared" si="17"/>
        <v>1.8249999999999999E-2</v>
      </c>
    </row>
    <row r="92" spans="1:16" x14ac:dyDescent="0.3">
      <c r="A92" s="47">
        <f t="shared" si="24"/>
        <v>46303</v>
      </c>
      <c r="B92" s="49">
        <f t="shared" si="25"/>
        <v>0.92708333333333215</v>
      </c>
      <c r="C92" s="42">
        <f>'Říjen data'!V91+P92</f>
        <v>0.8254999999999999</v>
      </c>
      <c r="D92" s="42">
        <f t="shared" si="18"/>
        <v>0</v>
      </c>
      <c r="E92">
        <f t="shared" si="19"/>
        <v>0</v>
      </c>
      <c r="F92" s="42">
        <f t="shared" si="20"/>
        <v>9.9250000000001393E-2</v>
      </c>
      <c r="G92" s="42">
        <f t="shared" si="21"/>
        <v>0</v>
      </c>
      <c r="H92" s="42">
        <f t="shared" si="22"/>
        <v>0.72624999999999851</v>
      </c>
      <c r="I92" s="42">
        <f t="shared" si="13"/>
        <v>-0.8254999999999999</v>
      </c>
      <c r="J92" s="43">
        <f>MIN('Výpočty '!$B$1*0.9, MAX('Výpočty '!$B$1*0.05, J91 + M92 - MIN(O92, MAX(0, J91 - ('Výpočty '!$B$1*0.1))) - P92))</f>
        <v>1.7079999999999984</v>
      </c>
      <c r="K92" s="46">
        <f>J92/'Výpočty '!$B$1</f>
        <v>8.539999999999992E-2</v>
      </c>
      <c r="L92" s="42">
        <f t="shared" si="14"/>
        <v>0</v>
      </c>
      <c r="M92" s="42">
        <f t="shared" si="15"/>
        <v>0</v>
      </c>
      <c r="N92" s="42">
        <f t="shared" si="16"/>
        <v>0.72624999999999851</v>
      </c>
      <c r="O92" s="42">
        <f t="shared" si="23"/>
        <v>0.8069444444444428</v>
      </c>
      <c r="P92" s="42">
        <f t="shared" si="17"/>
        <v>1.8249999999999999E-2</v>
      </c>
    </row>
    <row r="93" spans="1:16" x14ac:dyDescent="0.3">
      <c r="A93" s="47">
        <f t="shared" si="24"/>
        <v>46303</v>
      </c>
      <c r="B93" s="49">
        <f t="shared" si="25"/>
        <v>0.93749999999999878</v>
      </c>
      <c r="C93" s="42">
        <f>'Říjen data'!V92+P93</f>
        <v>0.84049999999999991</v>
      </c>
      <c r="D93" s="42">
        <f t="shared" si="18"/>
        <v>0</v>
      </c>
      <c r="E93">
        <f t="shared" si="19"/>
        <v>0</v>
      </c>
      <c r="F93" s="42">
        <f t="shared" si="20"/>
        <v>0.13250000000000151</v>
      </c>
      <c r="G93" s="42">
        <f t="shared" si="21"/>
        <v>0</v>
      </c>
      <c r="H93" s="42">
        <f t="shared" si="22"/>
        <v>0.70799999999999841</v>
      </c>
      <c r="I93" s="42">
        <f t="shared" si="13"/>
        <v>-0.84049999999999991</v>
      </c>
      <c r="J93" s="43">
        <f>MIN('Výpočty '!$B$1*0.9, MAX('Výpočty '!$B$1*0.05, J92 + M93 - MIN(O93, MAX(0, J92 - ('Výpočty '!$B$1*0.1))) - P93))</f>
        <v>1.6897499999999983</v>
      </c>
      <c r="K93" s="46">
        <f>J93/'Výpočty '!$B$1</f>
        <v>8.448749999999991E-2</v>
      </c>
      <c r="L93" s="42">
        <f t="shared" si="14"/>
        <v>0</v>
      </c>
      <c r="M93" s="42">
        <f t="shared" si="15"/>
        <v>0</v>
      </c>
      <c r="N93" s="42">
        <f t="shared" si="16"/>
        <v>0.70799999999999841</v>
      </c>
      <c r="O93" s="42">
        <f t="shared" si="23"/>
        <v>0.78666666666666485</v>
      </c>
      <c r="P93" s="42">
        <f t="shared" si="17"/>
        <v>1.8249999999999999E-2</v>
      </c>
    </row>
    <row r="94" spans="1:16" x14ac:dyDescent="0.3">
      <c r="A94" s="47">
        <f t="shared" si="24"/>
        <v>46303</v>
      </c>
      <c r="B94" s="49">
        <f t="shared" si="25"/>
        <v>0.94791666666666541</v>
      </c>
      <c r="C94" s="42">
        <f>'Říjen data'!V93+P94</f>
        <v>0.81174999999999997</v>
      </c>
      <c r="D94" s="42">
        <f t="shared" si="18"/>
        <v>0</v>
      </c>
      <c r="E94">
        <f t="shared" si="19"/>
        <v>0</v>
      </c>
      <c r="F94" s="42">
        <f t="shared" si="20"/>
        <v>0.12200000000000166</v>
      </c>
      <c r="G94" s="42">
        <f t="shared" si="21"/>
        <v>0</v>
      </c>
      <c r="H94" s="42">
        <f t="shared" si="22"/>
        <v>0.68974999999999831</v>
      </c>
      <c r="I94" s="42">
        <f t="shared" si="13"/>
        <v>-0.81174999999999997</v>
      </c>
      <c r="J94" s="43">
        <f>MIN('Výpočty '!$B$1*0.9, MAX('Výpočty '!$B$1*0.05, J93 + M94 - MIN(O94, MAX(0, J93 - ('Výpočty '!$B$1*0.1))) - P94))</f>
        <v>1.6714999999999982</v>
      </c>
      <c r="K94" s="46">
        <f>J94/'Výpočty '!$B$1</f>
        <v>8.3574999999999913E-2</v>
      </c>
      <c r="L94" s="42">
        <f t="shared" si="14"/>
        <v>0</v>
      </c>
      <c r="M94" s="42">
        <f t="shared" si="15"/>
        <v>0</v>
      </c>
      <c r="N94" s="42">
        <f t="shared" si="16"/>
        <v>0.68974999999999831</v>
      </c>
      <c r="O94" s="42">
        <f t="shared" si="23"/>
        <v>0.76638888888888701</v>
      </c>
      <c r="P94" s="42">
        <f t="shared" si="17"/>
        <v>1.8249999999999999E-2</v>
      </c>
    </row>
    <row r="95" spans="1:16" x14ac:dyDescent="0.3">
      <c r="A95" s="47">
        <f t="shared" si="24"/>
        <v>46303</v>
      </c>
      <c r="B95" s="49">
        <f t="shared" si="25"/>
        <v>0.95833333333333204</v>
      </c>
      <c r="C95" s="42">
        <f>'Říjen data'!V94+P95</f>
        <v>5.9499999999999997E-2</v>
      </c>
      <c r="D95" s="42">
        <f t="shared" si="18"/>
        <v>0</v>
      </c>
      <c r="E95">
        <f t="shared" si="19"/>
        <v>0</v>
      </c>
      <c r="F95" s="42">
        <f t="shared" si="20"/>
        <v>0</v>
      </c>
      <c r="G95" s="42">
        <f t="shared" si="21"/>
        <v>0</v>
      </c>
      <c r="H95" s="42">
        <f t="shared" si="22"/>
        <v>5.9499999999999997E-2</v>
      </c>
      <c r="I95" s="42">
        <f t="shared" si="13"/>
        <v>-5.9499999999999997E-2</v>
      </c>
      <c r="J95" s="43">
        <f>MIN('Výpočty '!$B$1*0.9, MAX('Výpočty '!$B$1*0.05, J94 + M95 - MIN(O95, MAX(0, J94 - ('Výpočty '!$B$1*0.1))) - P95))</f>
        <v>1.6532499999999981</v>
      </c>
      <c r="K95" s="46">
        <f>J95/'Výpočty '!$B$1</f>
        <v>8.2662499999999903E-2</v>
      </c>
      <c r="L95" s="42">
        <f t="shared" si="14"/>
        <v>0</v>
      </c>
      <c r="M95" s="42">
        <f t="shared" si="15"/>
        <v>0</v>
      </c>
      <c r="N95" s="42">
        <f t="shared" si="16"/>
        <v>7.775E-2</v>
      </c>
      <c r="O95" s="42">
        <f t="shared" si="23"/>
        <v>8.638888888888889E-2</v>
      </c>
      <c r="P95" s="42">
        <f t="shared" si="17"/>
        <v>1.8249999999999999E-2</v>
      </c>
    </row>
    <row r="96" spans="1:16" x14ac:dyDescent="0.3">
      <c r="A96" s="47">
        <f t="shared" si="24"/>
        <v>46303</v>
      </c>
      <c r="B96" s="49">
        <f t="shared" si="25"/>
        <v>0.96874999999999867</v>
      </c>
      <c r="C96" s="42">
        <f>'Říjen data'!V95+P96</f>
        <v>5.9499999999999997E-2</v>
      </c>
      <c r="D96" s="42">
        <f t="shared" si="18"/>
        <v>0</v>
      </c>
      <c r="E96">
        <f t="shared" si="19"/>
        <v>0</v>
      </c>
      <c r="F96" s="42">
        <f t="shared" si="20"/>
        <v>0</v>
      </c>
      <c r="G96" s="42">
        <f t="shared" si="21"/>
        <v>0</v>
      </c>
      <c r="H96" s="42">
        <f t="shared" si="22"/>
        <v>5.9499999999999997E-2</v>
      </c>
      <c r="I96" s="42">
        <f t="shared" si="13"/>
        <v>-5.9499999999999997E-2</v>
      </c>
      <c r="J96" s="43">
        <f>MIN('Výpočty '!$B$1*0.9, MAX('Výpočty '!$B$1*0.05, J95 + M96 - MIN(O96, MAX(0, J95 - ('Výpočty '!$B$1*0.1))) - P96))</f>
        <v>1.634999999999998</v>
      </c>
      <c r="K96" s="46">
        <f>J96/'Výpočty '!$B$1</f>
        <v>8.1749999999999906E-2</v>
      </c>
      <c r="L96" s="42">
        <f t="shared" si="14"/>
        <v>0</v>
      </c>
      <c r="M96" s="42">
        <f t="shared" si="15"/>
        <v>0</v>
      </c>
      <c r="N96" s="42">
        <f t="shared" si="16"/>
        <v>7.775E-2</v>
      </c>
      <c r="O96" s="42">
        <f t="shared" si="23"/>
        <v>8.638888888888889E-2</v>
      </c>
      <c r="P96" s="42">
        <f t="shared" si="17"/>
        <v>1.8249999999999999E-2</v>
      </c>
    </row>
    <row r="97" spans="1:16" x14ac:dyDescent="0.3">
      <c r="A97" s="47">
        <f t="shared" si="24"/>
        <v>46303</v>
      </c>
      <c r="B97" s="49">
        <f t="shared" si="25"/>
        <v>0.9791666666666653</v>
      </c>
      <c r="C97" s="42">
        <f>'Říjen data'!V96+P97</f>
        <v>5.0500000000000003E-2</v>
      </c>
      <c r="D97" s="42">
        <f t="shared" si="18"/>
        <v>0</v>
      </c>
      <c r="E97">
        <f t="shared" si="19"/>
        <v>0</v>
      </c>
      <c r="F97" s="42">
        <f t="shared" si="20"/>
        <v>0</v>
      </c>
      <c r="G97" s="42">
        <f t="shared" si="21"/>
        <v>0</v>
      </c>
      <c r="H97" s="42">
        <f t="shared" si="22"/>
        <v>5.0500000000000003E-2</v>
      </c>
      <c r="I97" s="42">
        <f t="shared" si="13"/>
        <v>-5.0500000000000003E-2</v>
      </c>
      <c r="J97" s="43">
        <f>MIN('Výpočty '!$B$1*0.9, MAX('Výpočty '!$B$1*0.05, J96 + M97 - MIN(O97, MAX(0, J96 - ('Výpočty '!$B$1*0.1))) - P97))</f>
        <v>1.6167499999999979</v>
      </c>
      <c r="K97" s="46">
        <f>J97/'Výpočty '!$B$1</f>
        <v>8.0837499999999896E-2</v>
      </c>
      <c r="L97" s="42">
        <f t="shared" si="14"/>
        <v>0</v>
      </c>
      <c r="M97" s="42">
        <f t="shared" si="15"/>
        <v>0</v>
      </c>
      <c r="N97" s="42">
        <f t="shared" si="16"/>
        <v>6.8750000000000006E-2</v>
      </c>
      <c r="O97" s="42">
        <f t="shared" si="23"/>
        <v>7.6388888888888895E-2</v>
      </c>
      <c r="P97" s="42">
        <f t="shared" si="17"/>
        <v>1.8249999999999999E-2</v>
      </c>
    </row>
    <row r="98" spans="1:16" x14ac:dyDescent="0.3">
      <c r="A98" s="47">
        <f t="shared" si="24"/>
        <v>46303</v>
      </c>
      <c r="B98" s="49">
        <f t="shared" si="25"/>
        <v>0.98958333333333193</v>
      </c>
      <c r="C98" s="42">
        <f>'Říjen data'!V97+P98</f>
        <v>4.7500000000000001E-2</v>
      </c>
      <c r="D98" s="42">
        <f t="shared" si="18"/>
        <v>0</v>
      </c>
      <c r="E98">
        <f t="shared" si="19"/>
        <v>0</v>
      </c>
      <c r="F98" s="42">
        <f t="shared" si="20"/>
        <v>0</v>
      </c>
      <c r="G98" s="42">
        <f t="shared" si="21"/>
        <v>0</v>
      </c>
      <c r="H98" s="42">
        <f>MAX(0, MIN(C98 - D98, N98 ))</f>
        <v>4.7500000000000001E-2</v>
      </c>
      <c r="I98" s="42">
        <f t="shared" si="13"/>
        <v>-4.7500000000000001E-2</v>
      </c>
      <c r="J98" s="43">
        <f>MIN('Výpočty '!$B$1*0.9, MAX('Výpočty '!$B$1*0.05, J97 + M98 - MIN(O98, MAX(0, J97 - ('Výpočty '!$B$1*0.1))) - P98))</f>
        <v>1.5984999999999978</v>
      </c>
      <c r="K98" s="46">
        <f>J98/'Výpočty '!$B$1</f>
        <v>7.9924999999999885E-2</v>
      </c>
      <c r="L98" s="42">
        <f t="shared" si="14"/>
        <v>0</v>
      </c>
      <c r="M98" s="42">
        <f t="shared" si="15"/>
        <v>0</v>
      </c>
      <c r="N98" s="42">
        <f t="shared" si="16"/>
        <v>6.5750000000000003E-2</v>
      </c>
      <c r="O98" s="42">
        <f t="shared" si="23"/>
        <v>7.3055555555555554E-2</v>
      </c>
      <c r="P98" s="42">
        <f t="shared" si="17"/>
        <v>1.8249999999999999E-2</v>
      </c>
    </row>
    <row r="99" spans="1:16" x14ac:dyDescent="0.3">
      <c r="A99" s="48" t="s">
        <v>5</v>
      </c>
      <c r="B99" s="48" t="s">
        <v>268</v>
      </c>
      <c r="C99" s="44">
        <f t="shared" ref="C99:D99" si="26">SUM(C3:C98)</f>
        <v>40.939750000000018</v>
      </c>
      <c r="D99" s="44">
        <f t="shared" si="26"/>
        <v>2.0757499999999998</v>
      </c>
      <c r="E99" s="4">
        <f>SUM(E3:E98)</f>
        <v>45.187999999999988</v>
      </c>
      <c r="F99" s="44">
        <f t="shared" ref="F99:I99" si="27">SUM(F3:F98)</f>
        <v>3.0627500000000105</v>
      </c>
      <c r="G99" s="44">
        <f t="shared" si="27"/>
        <v>25.796159567901245</v>
      </c>
      <c r="H99" s="44">
        <f t="shared" si="27"/>
        <v>35.801249999999982</v>
      </c>
      <c r="I99" s="44">
        <f t="shared" si="27"/>
        <v>4.2482500000000041</v>
      </c>
      <c r="J99" s="45">
        <f>J98</f>
        <v>1.5984999999999978</v>
      </c>
      <c r="K99" s="51">
        <f>K98</f>
        <v>7.9924999999999885E-2</v>
      </c>
      <c r="L99" s="44">
        <f>SUM(L3:L98)</f>
        <v>15.58448138888888</v>
      </c>
      <c r="M99" s="44">
        <f t="shared" ref="M99:P99" si="28">SUM(M3:M98)</f>
        <v>17.316090432098747</v>
      </c>
      <c r="N99" s="44">
        <f t="shared" si="28"/>
        <v>37.388999999999996</v>
      </c>
      <c r="O99" s="44">
        <f t="shared" si="28"/>
        <v>41.543333333333322</v>
      </c>
      <c r="P99" s="44">
        <f t="shared" si="28"/>
        <v>1.7520000000000036</v>
      </c>
    </row>
    <row r="102" spans="1:16" ht="23.4" x14ac:dyDescent="0.45">
      <c r="J102" s="69" t="s">
        <v>312</v>
      </c>
      <c r="K102" s="71">
        <f>MAX(J3:J98)</f>
        <v>18</v>
      </c>
      <c r="L102" s="97" t="s">
        <v>316</v>
      </c>
    </row>
    <row r="103" spans="1:16" ht="23.4" x14ac:dyDescent="0.45">
      <c r="J103" s="69" t="s">
        <v>313</v>
      </c>
      <c r="K103" s="71">
        <f>MIN(J3:J98)</f>
        <v>1.5984999999999978</v>
      </c>
      <c r="L103" s="97"/>
    </row>
    <row r="104" spans="1:16" ht="23.4" x14ac:dyDescent="0.45">
      <c r="J104" s="69" t="s">
        <v>314</v>
      </c>
      <c r="K104" s="71">
        <f>J98 -J2</f>
        <v>-10.401500000000002</v>
      </c>
      <c r="L104" s="97"/>
    </row>
    <row r="105" spans="1:16" ht="23.4" x14ac:dyDescent="0.45">
      <c r="J105" s="69" t="s">
        <v>315</v>
      </c>
      <c r="K105" s="71">
        <f>MAX(J3:J98) - MIN(J3:J98)</f>
        <v>16.401500000000002</v>
      </c>
      <c r="L105" s="97"/>
    </row>
    <row r="108" spans="1:16" x14ac:dyDescent="0.3">
      <c r="D108" s="2" t="s">
        <v>72</v>
      </c>
      <c r="E108" s="72">
        <f ca="1">SUM(OFFSET('Říjen data'!$D$2:$D$97, 0, ROW(A1)-1))</f>
        <v>18.375</v>
      </c>
      <c r="F108" s="80" t="s">
        <v>316</v>
      </c>
    </row>
    <row r="109" spans="1:16" x14ac:dyDescent="0.3">
      <c r="D109" s="2" t="s">
        <v>181</v>
      </c>
      <c r="E109" s="72">
        <f ca="1">SUM(OFFSET('Říjen data'!$D$2:$D$97, 0, ROW(A2)-1))</f>
        <v>0.03</v>
      </c>
      <c r="F109" s="80"/>
    </row>
    <row r="110" spans="1:16" x14ac:dyDescent="0.3">
      <c r="D110" s="2" t="s">
        <v>180</v>
      </c>
      <c r="E110" s="72">
        <f ca="1">SUM(OFFSET('Říjen data'!$D$2:$D$97, 0, ROW(A3)-1))</f>
        <v>0.30000000000000016</v>
      </c>
      <c r="F110" s="80"/>
    </row>
    <row r="111" spans="1:16" x14ac:dyDescent="0.3">
      <c r="D111" s="2" t="s">
        <v>179</v>
      </c>
      <c r="E111" s="72">
        <f ca="1">SUM(OFFSET('Říjen data'!$D$2:$D$97, 0, ROW(A4)-1))</f>
        <v>10.5</v>
      </c>
      <c r="F111" s="80"/>
    </row>
    <row r="112" spans="1:16" x14ac:dyDescent="0.3">
      <c r="D112" s="2" t="s">
        <v>178</v>
      </c>
      <c r="E112" s="72">
        <f ca="1">SUM(OFFSET('Říjen data'!$D$2:$D$97, 0, ROW(A5)-1))</f>
        <v>0.75</v>
      </c>
      <c r="F112" s="80"/>
    </row>
    <row r="113" spans="4:6" x14ac:dyDescent="0.3">
      <c r="D113" s="2" t="s">
        <v>177</v>
      </c>
      <c r="E113" s="72">
        <f ca="1">SUM(OFFSET('Říjen data'!$D$2:$D$97, 0, ROW(A6)-1))</f>
        <v>3.75</v>
      </c>
      <c r="F113" s="80"/>
    </row>
    <row r="114" spans="4:6" x14ac:dyDescent="0.3">
      <c r="D114" s="2" t="s">
        <v>60</v>
      </c>
      <c r="E114" s="72">
        <f ca="1">SUM(OFFSET('Říjen data'!$D$2:$D$97, 0, ROW(A7)-1))</f>
        <v>0.31874999999999992</v>
      </c>
      <c r="F114" s="80"/>
    </row>
    <row r="115" spans="4:6" x14ac:dyDescent="0.3">
      <c r="D115" s="2" t="s">
        <v>176</v>
      </c>
      <c r="E115" s="72">
        <f ca="1">SUM(OFFSET('Říjen data'!$D$2:$D$97, 0, ROW(A8)-1))</f>
        <v>0.6875</v>
      </c>
      <c r="F115" s="80"/>
    </row>
    <row r="116" spans="4:6" x14ac:dyDescent="0.3">
      <c r="D116" s="2" t="s">
        <v>39</v>
      </c>
      <c r="E116" s="72">
        <f ca="1">SUM(OFFSET('Říjen data'!$D$2:$D$97, 0, ROW(A9)-1))</f>
        <v>0</v>
      </c>
      <c r="F116" s="80"/>
    </row>
    <row r="117" spans="4:6" x14ac:dyDescent="0.3">
      <c r="D117" s="2" t="s">
        <v>36</v>
      </c>
      <c r="E117" s="72">
        <f ca="1">SUM(OFFSET('Říjen data'!$D$2:$D$97, 0, ROW(A10)-1))</f>
        <v>0</v>
      </c>
      <c r="F117" s="80"/>
    </row>
    <row r="118" spans="4:6" x14ac:dyDescent="0.3">
      <c r="D118" s="2" t="s">
        <v>41</v>
      </c>
      <c r="E118" s="72">
        <f ca="1">SUM(OFFSET('Říjen data'!$D$2:$D$97, 0, ROW(A11)-1))</f>
        <v>2.75</v>
      </c>
      <c r="F118" s="80"/>
    </row>
    <row r="119" spans="4:6" x14ac:dyDescent="0.3">
      <c r="D119" s="2" t="s">
        <v>175</v>
      </c>
      <c r="E119" s="72">
        <f ca="1">SUM(OFFSET('Říjen data'!$D$2:$D$97, 0, ROW(A12)-1))</f>
        <v>0.28900000000000009</v>
      </c>
      <c r="F119" s="80"/>
    </row>
    <row r="120" spans="4:6" x14ac:dyDescent="0.3">
      <c r="D120" s="2" t="s">
        <v>64</v>
      </c>
      <c r="E120" s="72">
        <f ca="1">SUM(OFFSET('Říjen data'!$D$2:$D$97, 0, ROW(A13)-1))</f>
        <v>0.13000000000000003</v>
      </c>
      <c r="F120" s="80"/>
    </row>
    <row r="121" spans="4:6" x14ac:dyDescent="0.3">
      <c r="D121" s="2" t="s">
        <v>62</v>
      </c>
      <c r="E121" s="72">
        <f ca="1">SUM(OFFSET('Říjen data'!$D$2:$D$97, 0, ROW(A14)-1))</f>
        <v>0.1</v>
      </c>
      <c r="F121" s="80"/>
    </row>
    <row r="122" spans="4:6" x14ac:dyDescent="0.3">
      <c r="D122" s="2" t="s">
        <v>174</v>
      </c>
      <c r="E122" s="72">
        <f ca="1">SUM(OFFSET('Říjen data'!$D$2:$D$97, 0, ROW(A15)-1))</f>
        <v>6.5000000000000002E-2</v>
      </c>
      <c r="F122" s="80"/>
    </row>
    <row r="123" spans="4:6" x14ac:dyDescent="0.3">
      <c r="D123" s="2" t="s">
        <v>173</v>
      </c>
      <c r="E123" s="72">
        <f ca="1">SUM(OFFSET('Říjen data'!$D$2:$D$97, 0, ROW(A16)-1))</f>
        <v>0.22499999999999998</v>
      </c>
      <c r="F123" s="80"/>
    </row>
    <row r="124" spans="4:6" x14ac:dyDescent="0.3">
      <c r="D124" s="2" t="s">
        <v>172</v>
      </c>
      <c r="E124" s="72">
        <f ca="1">SUM(OFFSET('Říjen data'!$D$2:$D$97, 0, ROW(A17)-1))</f>
        <v>0.16</v>
      </c>
      <c r="F124" s="80"/>
    </row>
    <row r="125" spans="4:6" x14ac:dyDescent="0.3">
      <c r="D125" s="2" t="s">
        <v>171</v>
      </c>
      <c r="E125" s="72">
        <f ca="1">SUM(OFFSET('Říjen data'!$D$2:$D$97, 0, ROW(A18)-1))</f>
        <v>3.7499999999999999E-2</v>
      </c>
      <c r="F125" s="80"/>
    </row>
  </sheetData>
  <mergeCells count="4">
    <mergeCell ref="A1:A2"/>
    <mergeCell ref="B1:B2"/>
    <mergeCell ref="L102:L105"/>
    <mergeCell ref="F108:F125"/>
  </mergeCells>
  <conditionalFormatting sqref="I1:I99">
    <cfRule type="cellIs" dxfId="13" priority="7" operator="lessThan">
      <formula>0</formula>
    </cfRule>
  </conditionalFormatting>
  <conditionalFormatting sqref="I3:I99">
    <cfRule type="cellIs" dxfId="12" priority="5" operator="lessThan">
      <formula>0</formula>
    </cfRule>
    <cfRule type="cellIs" dxfId="11" priority="6" operator="greaterThan">
      <formula>0</formula>
    </cfRule>
  </conditionalFormatting>
  <conditionalFormatting sqref="J3:J98">
    <cfRule type="expression" dxfId="10" priority="2">
      <formula>J3&lt;Kapacita_baterie*Soc_Min</formula>
    </cfRule>
    <cfRule type="expression" dxfId="9" priority="3">
      <formula>J3=Kapacita_baterie*Soc_Min</formula>
    </cfRule>
    <cfRule type="expression" dxfId="8" priority="4">
      <formula>J3&gt;=Kapacita_baterie*Soc_Max</formula>
    </cfRule>
  </conditionalFormatting>
  <conditionalFormatting sqref="J102">
    <cfRule type="cellIs" dxfId="7" priority="1" operator="lessThan">
      <formula>0</formula>
    </cfRule>
  </conditionalFormatting>
  <pageMargins left="0.7" right="0.7" top="0.78740157499999996" bottom="0.78740157499999996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549F-6BD4-43BE-892C-6EEC3BCBCD9F}">
  <sheetPr>
    <tabColor rgb="FFFFC000"/>
  </sheetPr>
  <dimension ref="A1:V126"/>
  <sheetViews>
    <sheetView zoomScale="68" zoomScaleNormal="68" workbookViewId="0">
      <selection activeCell="V2" sqref="V2:V97"/>
    </sheetView>
  </sheetViews>
  <sheetFormatPr defaultRowHeight="14.4" x14ac:dyDescent="0.3"/>
  <cols>
    <col min="1" max="1" width="14.5546875" customWidth="1"/>
    <col min="3" max="3" width="30.6640625" customWidth="1"/>
    <col min="4" max="4" width="31.33203125" customWidth="1"/>
    <col min="6" max="6" width="14.88671875" customWidth="1"/>
    <col min="7" max="7" width="18.6640625" customWidth="1"/>
    <col min="8" max="8" width="13.33203125" customWidth="1"/>
    <col min="9" max="9" width="16.88671875" customWidth="1"/>
    <col min="15" max="15" width="10.44140625" customWidth="1"/>
    <col min="17" max="17" width="17.109375" customWidth="1"/>
    <col min="19" max="19" width="13.109375" customWidth="1"/>
    <col min="20" max="20" width="11.88671875" customWidth="1"/>
    <col min="22" max="22" width="21" customWidth="1"/>
  </cols>
  <sheetData>
    <row r="1" spans="1:22" x14ac:dyDescent="0.3">
      <c r="A1" s="17" t="s">
        <v>184</v>
      </c>
      <c r="B1" s="17" t="s">
        <v>183</v>
      </c>
      <c r="C1" s="17" t="s">
        <v>182</v>
      </c>
      <c r="D1" s="17" t="s">
        <v>72</v>
      </c>
      <c r="E1" s="17" t="s">
        <v>181</v>
      </c>
      <c r="F1" s="17" t="s">
        <v>180</v>
      </c>
      <c r="G1" s="17" t="s">
        <v>179</v>
      </c>
      <c r="H1" s="17" t="s">
        <v>178</v>
      </c>
      <c r="I1" s="17" t="s">
        <v>177</v>
      </c>
      <c r="J1" s="17" t="s">
        <v>60</v>
      </c>
      <c r="K1" s="17" t="s">
        <v>176</v>
      </c>
      <c r="L1" s="17" t="s">
        <v>39</v>
      </c>
      <c r="M1" s="17" t="s">
        <v>36</v>
      </c>
      <c r="N1" s="17" t="s">
        <v>41</v>
      </c>
      <c r="O1" s="17" t="s">
        <v>175</v>
      </c>
      <c r="P1" s="17" t="s">
        <v>64</v>
      </c>
      <c r="Q1" s="17" t="s">
        <v>62</v>
      </c>
      <c r="R1" s="17" t="s">
        <v>174</v>
      </c>
      <c r="S1" s="17" t="s">
        <v>173</v>
      </c>
      <c r="T1" s="17" t="s">
        <v>172</v>
      </c>
      <c r="U1" s="17" t="s">
        <v>171</v>
      </c>
      <c r="V1" s="17" t="s">
        <v>170</v>
      </c>
    </row>
    <row r="2" spans="1:22" x14ac:dyDescent="0.3">
      <c r="A2" s="19">
        <v>46303</v>
      </c>
      <c r="B2" s="4" t="s">
        <v>169</v>
      </c>
      <c r="C2" s="4">
        <v>7.4999999999999997E-3</v>
      </c>
      <c r="D2" s="4">
        <v>0</v>
      </c>
      <c r="E2" s="4">
        <v>3.7499999999999999E-3</v>
      </c>
      <c r="F2" s="4">
        <v>1.4999999999999999E-2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1">
        <f>C2+D2+E2+F2+G2+H2+I2+J2+K2+L2+M2+N2+O2+P2+Q2+R2+S2+T2+U2</f>
        <v>2.6249999999999999E-2</v>
      </c>
    </row>
    <row r="3" spans="1:22" x14ac:dyDescent="0.3">
      <c r="A3" s="19">
        <v>46303</v>
      </c>
      <c r="B3" s="4" t="s">
        <v>168</v>
      </c>
      <c r="C3" s="4">
        <v>7.4999999999999997E-3</v>
      </c>
      <c r="D3" s="4">
        <v>0</v>
      </c>
      <c r="E3" s="4">
        <v>3.7499999999999999E-3</v>
      </c>
      <c r="F3" s="4">
        <v>1.4999999999999999E-2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1">
        <f t="shared" ref="V3:V66" si="0">C3+D3+E3+F3+G3+H3+I3+J3+K3+L3+M3+N3+O3+P3+Q3+R3+S3+T3+U3</f>
        <v>2.6249999999999999E-2</v>
      </c>
    </row>
    <row r="4" spans="1:22" x14ac:dyDescent="0.3">
      <c r="A4" s="19">
        <v>46303</v>
      </c>
      <c r="B4" s="4" t="s">
        <v>167</v>
      </c>
      <c r="C4" s="4">
        <v>7.4999999999999997E-3</v>
      </c>
      <c r="D4" s="4">
        <v>0</v>
      </c>
      <c r="E4" s="4">
        <v>3.7499999999999999E-3</v>
      </c>
      <c r="F4" s="4">
        <v>1.4999999999999999E-2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1">
        <f t="shared" si="0"/>
        <v>2.6249999999999999E-2</v>
      </c>
    </row>
    <row r="5" spans="1:22" x14ac:dyDescent="0.3">
      <c r="A5" s="19">
        <v>46303</v>
      </c>
      <c r="B5" s="4" t="s">
        <v>166</v>
      </c>
      <c r="C5" s="4">
        <v>7.4999999999999997E-3</v>
      </c>
      <c r="D5" s="4">
        <v>0</v>
      </c>
      <c r="E5" s="4">
        <v>3.7499999999999999E-3</v>
      </c>
      <c r="F5" s="4">
        <v>1.4999999999999999E-2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1">
        <f t="shared" si="0"/>
        <v>2.6249999999999999E-2</v>
      </c>
    </row>
    <row r="6" spans="1:22" x14ac:dyDescent="0.3">
      <c r="A6" s="19">
        <v>46303</v>
      </c>
      <c r="B6" s="4" t="s">
        <v>165</v>
      </c>
      <c r="C6" s="4">
        <v>7.4999999999999997E-3</v>
      </c>
      <c r="D6" s="4">
        <v>0</v>
      </c>
      <c r="E6" s="4">
        <v>0</v>
      </c>
      <c r="F6" s="4">
        <v>1.4999999999999999E-2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1">
        <f t="shared" si="0"/>
        <v>2.2499999999999999E-2</v>
      </c>
    </row>
    <row r="7" spans="1:22" x14ac:dyDescent="0.3">
      <c r="A7" s="19">
        <v>46303</v>
      </c>
      <c r="B7" s="4" t="s">
        <v>164</v>
      </c>
      <c r="C7" s="4">
        <v>7.4999999999999997E-3</v>
      </c>
      <c r="D7" s="4">
        <v>0</v>
      </c>
      <c r="E7" s="4">
        <v>0</v>
      </c>
      <c r="F7" s="4">
        <v>1.4999999999999999E-2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1">
        <f t="shared" si="0"/>
        <v>2.2499999999999999E-2</v>
      </c>
    </row>
    <row r="8" spans="1:22" x14ac:dyDescent="0.3">
      <c r="A8" s="19">
        <v>46303</v>
      </c>
      <c r="B8" s="4" t="s">
        <v>163</v>
      </c>
      <c r="C8" s="4">
        <v>7.4999999999999997E-3</v>
      </c>
      <c r="D8" s="4">
        <v>0</v>
      </c>
      <c r="E8" s="4">
        <v>0</v>
      </c>
      <c r="F8" s="4">
        <v>1.4999999999999999E-2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1">
        <f t="shared" si="0"/>
        <v>2.2499999999999999E-2</v>
      </c>
    </row>
    <row r="9" spans="1:22" x14ac:dyDescent="0.3">
      <c r="A9" s="19">
        <v>46303</v>
      </c>
      <c r="B9" s="4" t="s">
        <v>162</v>
      </c>
      <c r="C9" s="4">
        <v>7.4999999999999997E-3</v>
      </c>
      <c r="D9" s="4">
        <v>0</v>
      </c>
      <c r="E9" s="4">
        <v>0</v>
      </c>
      <c r="F9" s="4">
        <v>1.4999999999999999E-2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1">
        <f t="shared" si="0"/>
        <v>2.2499999999999999E-2</v>
      </c>
    </row>
    <row r="10" spans="1:22" x14ac:dyDescent="0.3">
      <c r="A10" s="19">
        <v>46303</v>
      </c>
      <c r="B10" s="68" t="s">
        <v>161</v>
      </c>
      <c r="C10" s="68">
        <v>7.4999999999999997E-3</v>
      </c>
      <c r="D10" s="68">
        <v>0</v>
      </c>
      <c r="E10" s="68">
        <v>0</v>
      </c>
      <c r="F10" s="68">
        <v>1.4999999999999999E-2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41">
        <f t="shared" si="0"/>
        <v>2.2499999999999999E-2</v>
      </c>
    </row>
    <row r="11" spans="1:22" x14ac:dyDescent="0.3">
      <c r="A11" s="19">
        <v>46303</v>
      </c>
      <c r="B11" s="68" t="s">
        <v>160</v>
      </c>
      <c r="C11" s="68">
        <v>7.4999999999999997E-3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41">
        <f t="shared" si="0"/>
        <v>7.4999999999999997E-3</v>
      </c>
    </row>
    <row r="12" spans="1:22" x14ac:dyDescent="0.3">
      <c r="A12" s="19">
        <v>46303</v>
      </c>
      <c r="B12" s="68" t="s">
        <v>159</v>
      </c>
      <c r="C12" s="68">
        <v>7.4999999999999997E-3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41">
        <f t="shared" si="0"/>
        <v>7.4999999999999997E-3</v>
      </c>
    </row>
    <row r="13" spans="1:22" x14ac:dyDescent="0.3">
      <c r="A13" s="19">
        <v>46303</v>
      </c>
      <c r="B13" s="68" t="s">
        <v>158</v>
      </c>
      <c r="C13" s="68">
        <v>7.4999999999999997E-3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41">
        <f t="shared" si="0"/>
        <v>7.4999999999999997E-3</v>
      </c>
    </row>
    <row r="14" spans="1:22" x14ac:dyDescent="0.3">
      <c r="A14" s="19">
        <v>46303</v>
      </c>
      <c r="B14" s="68" t="s">
        <v>157</v>
      </c>
      <c r="C14" s="68">
        <v>7.4999999999999997E-3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41">
        <f t="shared" si="0"/>
        <v>7.4999999999999997E-3</v>
      </c>
    </row>
    <row r="15" spans="1:22" x14ac:dyDescent="0.3">
      <c r="A15" s="19">
        <v>46303</v>
      </c>
      <c r="B15" s="68" t="s">
        <v>156</v>
      </c>
      <c r="C15" s="68">
        <v>7.4999999999999997E-3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41">
        <f t="shared" si="0"/>
        <v>7.4999999999999997E-3</v>
      </c>
    </row>
    <row r="16" spans="1:22" x14ac:dyDescent="0.3">
      <c r="A16" s="19">
        <v>46303</v>
      </c>
      <c r="B16" s="68" t="s">
        <v>155</v>
      </c>
      <c r="C16" s="68">
        <v>7.4999999999999997E-3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41">
        <f t="shared" si="0"/>
        <v>7.4999999999999997E-3</v>
      </c>
    </row>
    <row r="17" spans="1:22" x14ac:dyDescent="0.3">
      <c r="A17" s="19">
        <v>46303</v>
      </c>
      <c r="B17" s="68" t="s">
        <v>154</v>
      </c>
      <c r="C17" s="68">
        <v>7.4999999999999997E-3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41">
        <f t="shared" si="0"/>
        <v>7.4999999999999997E-3</v>
      </c>
    </row>
    <row r="18" spans="1:22" x14ac:dyDescent="0.3">
      <c r="A18" s="19">
        <v>46303</v>
      </c>
      <c r="B18" s="68" t="s">
        <v>153</v>
      </c>
      <c r="C18" s="68">
        <v>7.4999999999999997E-3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41">
        <f t="shared" si="0"/>
        <v>7.4999999999999997E-3</v>
      </c>
    </row>
    <row r="19" spans="1:22" x14ac:dyDescent="0.3">
      <c r="A19" s="19">
        <v>46303</v>
      </c>
      <c r="B19" s="68" t="s">
        <v>152</v>
      </c>
      <c r="C19" s="68">
        <v>7.4999999999999997E-3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41">
        <f t="shared" si="0"/>
        <v>7.4999999999999997E-3</v>
      </c>
    </row>
    <row r="20" spans="1:22" x14ac:dyDescent="0.3">
      <c r="A20" s="19">
        <v>46303</v>
      </c>
      <c r="B20" s="68" t="s">
        <v>151</v>
      </c>
      <c r="C20" s="68">
        <v>7.4999999999999997E-3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41">
        <f t="shared" si="0"/>
        <v>7.4999999999999997E-3</v>
      </c>
    </row>
    <row r="21" spans="1:22" x14ac:dyDescent="0.3">
      <c r="A21" s="19">
        <v>46303</v>
      </c>
      <c r="B21" s="68" t="s">
        <v>150</v>
      </c>
      <c r="C21" s="68">
        <v>7.4999999999999997E-3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41">
        <f t="shared" si="0"/>
        <v>7.4999999999999997E-3</v>
      </c>
    </row>
    <row r="22" spans="1:22" x14ac:dyDescent="0.3">
      <c r="A22" s="19">
        <v>46303</v>
      </c>
      <c r="B22" s="68" t="s">
        <v>149</v>
      </c>
      <c r="C22" s="68">
        <v>7.4999999999999997E-3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41">
        <f t="shared" si="0"/>
        <v>7.4999999999999997E-3</v>
      </c>
    </row>
    <row r="23" spans="1:22" x14ac:dyDescent="0.3">
      <c r="A23" s="19">
        <v>46303</v>
      </c>
      <c r="B23" s="68" t="s">
        <v>148</v>
      </c>
      <c r="C23" s="68">
        <v>7.4999999999999997E-3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41">
        <f t="shared" si="0"/>
        <v>7.4999999999999997E-3</v>
      </c>
    </row>
    <row r="24" spans="1:22" x14ac:dyDescent="0.3">
      <c r="A24" s="19">
        <v>46303</v>
      </c>
      <c r="B24" s="68" t="s">
        <v>147</v>
      </c>
      <c r="C24" s="68">
        <v>7.4999999999999997E-3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41">
        <f t="shared" si="0"/>
        <v>7.4999999999999997E-3</v>
      </c>
    </row>
    <row r="25" spans="1:22" x14ac:dyDescent="0.3">
      <c r="A25" s="19">
        <v>46303</v>
      </c>
      <c r="B25" s="68" t="s">
        <v>146</v>
      </c>
      <c r="C25" s="68">
        <v>7.4999999999999997E-3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41">
        <f t="shared" si="0"/>
        <v>7.4999999999999997E-3</v>
      </c>
    </row>
    <row r="26" spans="1:22" x14ac:dyDescent="0.3">
      <c r="A26" s="19">
        <v>46303</v>
      </c>
      <c r="B26" s="68" t="s">
        <v>145</v>
      </c>
      <c r="C26" s="68">
        <v>7.4999999999999997E-3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8.0000000000000002E-3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41">
        <f t="shared" si="0"/>
        <v>1.55E-2</v>
      </c>
    </row>
    <row r="27" spans="1:22" x14ac:dyDescent="0.3">
      <c r="A27" s="19">
        <v>46303</v>
      </c>
      <c r="B27" s="4" t="s">
        <v>144</v>
      </c>
      <c r="C27" s="4">
        <v>7.4999999999999997E-3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8.0000000000000002E-3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1">
        <f t="shared" si="0"/>
        <v>1.55E-2</v>
      </c>
    </row>
    <row r="28" spans="1:22" x14ac:dyDescent="0.3">
      <c r="A28" s="19">
        <v>46303</v>
      </c>
      <c r="B28" s="4" t="s">
        <v>143</v>
      </c>
      <c r="C28" s="4">
        <v>7.4999999999999997E-3</v>
      </c>
      <c r="D28" s="4">
        <v>0.375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1.2E-2</v>
      </c>
      <c r="P28" s="4">
        <v>5.0000000000000001E-3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1">
        <f t="shared" si="0"/>
        <v>0.39950000000000002</v>
      </c>
    </row>
    <row r="29" spans="1:22" x14ac:dyDescent="0.3">
      <c r="A29" s="19">
        <v>46303</v>
      </c>
      <c r="B29" s="4" t="s">
        <v>142</v>
      </c>
      <c r="C29" s="4">
        <v>7.4999999999999997E-3</v>
      </c>
      <c r="D29" s="4">
        <v>0.375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1.2E-2</v>
      </c>
      <c r="P29" s="4">
        <v>5.0000000000000001E-3</v>
      </c>
      <c r="Q29" s="4">
        <v>0</v>
      </c>
      <c r="R29" s="4">
        <v>3.2500000000000001E-2</v>
      </c>
      <c r="S29" s="4">
        <v>0</v>
      </c>
      <c r="T29" s="4">
        <v>0.16</v>
      </c>
      <c r="U29" s="4">
        <v>0</v>
      </c>
      <c r="V29" s="41">
        <f t="shared" si="0"/>
        <v>0.59200000000000008</v>
      </c>
    </row>
    <row r="30" spans="1:22" x14ac:dyDescent="0.3">
      <c r="A30" s="19">
        <v>46303</v>
      </c>
      <c r="B30" s="4" t="s">
        <v>141</v>
      </c>
      <c r="C30" s="4">
        <v>7.4999999999999997E-3</v>
      </c>
      <c r="D30" s="4">
        <v>0.75</v>
      </c>
      <c r="E30" s="4">
        <v>0</v>
      </c>
      <c r="F30" s="4">
        <v>0</v>
      </c>
      <c r="G30" s="4">
        <v>1.5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1.2E-2</v>
      </c>
      <c r="P30" s="4">
        <v>5.0000000000000001E-3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1">
        <f t="shared" si="0"/>
        <v>2.2744999999999997</v>
      </c>
    </row>
    <row r="31" spans="1:22" x14ac:dyDescent="0.3">
      <c r="A31" s="19">
        <v>46303</v>
      </c>
      <c r="B31" s="4" t="s">
        <v>140</v>
      </c>
      <c r="C31" s="4">
        <v>7.4999999999999997E-3</v>
      </c>
      <c r="D31" s="4">
        <v>0.75</v>
      </c>
      <c r="E31" s="4">
        <v>0</v>
      </c>
      <c r="F31" s="4">
        <v>0</v>
      </c>
      <c r="G31" s="4">
        <v>1.5</v>
      </c>
      <c r="H31" s="4">
        <v>0.375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5.0000000000000001E-3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1">
        <f t="shared" si="0"/>
        <v>2.6374999999999997</v>
      </c>
    </row>
    <row r="32" spans="1:22" x14ac:dyDescent="0.3">
      <c r="A32" s="19">
        <v>46303</v>
      </c>
      <c r="B32" s="4" t="s">
        <v>139</v>
      </c>
      <c r="C32" s="4">
        <v>7.4999999999999997E-3</v>
      </c>
      <c r="D32" s="4">
        <v>0.75</v>
      </c>
      <c r="E32" s="4">
        <v>0</v>
      </c>
      <c r="F32" s="4">
        <v>0</v>
      </c>
      <c r="G32" s="4">
        <v>1.5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5.0000000000000001E-3</v>
      </c>
      <c r="Q32" s="4">
        <v>0.05</v>
      </c>
      <c r="R32" s="4">
        <v>0</v>
      </c>
      <c r="S32" s="4">
        <v>0</v>
      </c>
      <c r="T32" s="4">
        <v>0</v>
      </c>
      <c r="U32" s="4">
        <v>0</v>
      </c>
      <c r="V32" s="41">
        <f t="shared" si="0"/>
        <v>2.3124999999999996</v>
      </c>
    </row>
    <row r="33" spans="1:22" x14ac:dyDescent="0.3">
      <c r="A33" s="19">
        <v>46303</v>
      </c>
      <c r="B33" s="4" t="s">
        <v>138</v>
      </c>
      <c r="C33" s="4">
        <v>7.4999999999999997E-3</v>
      </c>
      <c r="D33" s="4">
        <v>0.375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1">
        <f t="shared" si="0"/>
        <v>0.38250000000000001</v>
      </c>
    </row>
    <row r="34" spans="1:22" x14ac:dyDescent="0.3">
      <c r="A34" s="19">
        <v>46303</v>
      </c>
      <c r="B34" s="4" t="s">
        <v>137</v>
      </c>
      <c r="C34" s="4">
        <v>7.4999999999999997E-3</v>
      </c>
      <c r="D34" s="4">
        <v>0.375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1">
        <f t="shared" si="0"/>
        <v>0.38250000000000001</v>
      </c>
    </row>
    <row r="35" spans="1:22" x14ac:dyDescent="0.3">
      <c r="A35" s="19">
        <v>46303</v>
      </c>
      <c r="B35" s="4" t="s">
        <v>136</v>
      </c>
      <c r="C35" s="4">
        <v>7.4999999999999997E-3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1">
        <f t="shared" si="0"/>
        <v>7.4999999999999997E-3</v>
      </c>
    </row>
    <row r="36" spans="1:22" x14ac:dyDescent="0.3">
      <c r="A36" s="19">
        <v>46303</v>
      </c>
      <c r="B36" s="4" t="s">
        <v>135</v>
      </c>
      <c r="C36" s="4">
        <v>7.4999999999999997E-3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1">
        <f t="shared" si="0"/>
        <v>7.4999999999999997E-3</v>
      </c>
    </row>
    <row r="37" spans="1:22" x14ac:dyDescent="0.3">
      <c r="A37" s="19">
        <v>46303</v>
      </c>
      <c r="B37" s="4" t="s">
        <v>134</v>
      </c>
      <c r="C37" s="4">
        <v>7.4999999999999997E-3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1">
        <f t="shared" si="0"/>
        <v>7.4999999999999997E-3</v>
      </c>
    </row>
    <row r="38" spans="1:22" x14ac:dyDescent="0.3">
      <c r="A38" s="19">
        <v>46303</v>
      </c>
      <c r="B38" s="4" t="s">
        <v>133</v>
      </c>
      <c r="C38" s="4">
        <v>7.4999999999999997E-3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1">
        <f t="shared" si="0"/>
        <v>7.4999999999999997E-3</v>
      </c>
    </row>
    <row r="39" spans="1:22" x14ac:dyDescent="0.3">
      <c r="A39" s="19">
        <v>46303</v>
      </c>
      <c r="B39" s="4" t="s">
        <v>132</v>
      </c>
      <c r="C39" s="4">
        <v>7.4999999999999997E-3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1">
        <f t="shared" si="0"/>
        <v>7.4999999999999997E-3</v>
      </c>
    </row>
    <row r="40" spans="1:22" x14ac:dyDescent="0.3">
      <c r="A40" s="19">
        <v>46303</v>
      </c>
      <c r="B40" s="4" t="s">
        <v>131</v>
      </c>
      <c r="C40" s="4">
        <v>7.4999999999999997E-3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1">
        <f t="shared" si="0"/>
        <v>7.4999999999999997E-3</v>
      </c>
    </row>
    <row r="41" spans="1:22" x14ac:dyDescent="0.3">
      <c r="A41" s="19">
        <v>46303</v>
      </c>
      <c r="B41" s="4" t="s">
        <v>130</v>
      </c>
      <c r="C41" s="4">
        <v>7.4999999999999997E-3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1">
        <f t="shared" si="0"/>
        <v>7.4999999999999997E-3</v>
      </c>
    </row>
    <row r="42" spans="1:22" x14ac:dyDescent="0.3">
      <c r="A42" s="19">
        <v>46303</v>
      </c>
      <c r="B42" s="4" t="s">
        <v>129</v>
      </c>
      <c r="C42" s="4">
        <v>7.4999999999999997E-3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1">
        <f t="shared" si="0"/>
        <v>7.4999999999999997E-3</v>
      </c>
    </row>
    <row r="43" spans="1:22" x14ac:dyDescent="0.3">
      <c r="A43" s="19">
        <v>46303</v>
      </c>
      <c r="B43" s="4" t="s">
        <v>128</v>
      </c>
      <c r="C43" s="4">
        <v>7.4999999999999997E-3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1">
        <f t="shared" si="0"/>
        <v>7.4999999999999997E-3</v>
      </c>
    </row>
    <row r="44" spans="1:22" x14ac:dyDescent="0.3">
      <c r="A44" s="19">
        <v>46303</v>
      </c>
      <c r="B44" s="4" t="s">
        <v>127</v>
      </c>
      <c r="C44" s="4">
        <v>7.4999999999999997E-3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1">
        <f t="shared" si="0"/>
        <v>7.4999999999999997E-3</v>
      </c>
    </row>
    <row r="45" spans="1:22" x14ac:dyDescent="0.3">
      <c r="A45" s="19">
        <v>46303</v>
      </c>
      <c r="B45" s="4" t="s">
        <v>126</v>
      </c>
      <c r="C45" s="4">
        <v>7.4999999999999997E-3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1">
        <f t="shared" si="0"/>
        <v>7.4999999999999997E-3</v>
      </c>
    </row>
    <row r="46" spans="1:22" x14ac:dyDescent="0.3">
      <c r="A46" s="19">
        <v>46303</v>
      </c>
      <c r="B46" s="68" t="s">
        <v>125</v>
      </c>
      <c r="C46" s="68">
        <v>7.4999999999999997E-3</v>
      </c>
      <c r="D46" s="68">
        <v>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41">
        <f t="shared" si="0"/>
        <v>7.4999999999999997E-3</v>
      </c>
    </row>
    <row r="47" spans="1:22" x14ac:dyDescent="0.3">
      <c r="A47" s="19">
        <v>46303</v>
      </c>
      <c r="B47" s="68" t="s">
        <v>124</v>
      </c>
      <c r="C47" s="68">
        <v>7.4999999999999997E-3</v>
      </c>
      <c r="D47" s="68">
        <v>0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v>0</v>
      </c>
      <c r="R47" s="68">
        <v>0</v>
      </c>
      <c r="S47" s="68">
        <v>0</v>
      </c>
      <c r="T47" s="68">
        <v>0</v>
      </c>
      <c r="U47" s="68">
        <v>0</v>
      </c>
      <c r="V47" s="41">
        <f t="shared" si="0"/>
        <v>7.4999999999999997E-3</v>
      </c>
    </row>
    <row r="48" spans="1:22" x14ac:dyDescent="0.3">
      <c r="A48" s="19">
        <v>46303</v>
      </c>
      <c r="B48" s="68" t="s">
        <v>123</v>
      </c>
      <c r="C48" s="68">
        <v>7.4999999999999997E-3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68">
        <v>0</v>
      </c>
      <c r="U48" s="68">
        <v>0</v>
      </c>
      <c r="V48" s="41">
        <f t="shared" si="0"/>
        <v>7.4999999999999997E-3</v>
      </c>
    </row>
    <row r="49" spans="1:22" x14ac:dyDescent="0.3">
      <c r="A49" s="19">
        <v>46303</v>
      </c>
      <c r="B49" s="68" t="s">
        <v>122</v>
      </c>
      <c r="C49" s="68">
        <v>7.4999999999999997E-3</v>
      </c>
      <c r="D49" s="68">
        <v>0</v>
      </c>
      <c r="E49" s="68">
        <v>0</v>
      </c>
      <c r="F49" s="68">
        <v>0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68">
        <v>0</v>
      </c>
      <c r="S49" s="68">
        <v>0</v>
      </c>
      <c r="T49" s="68">
        <v>0</v>
      </c>
      <c r="U49" s="68">
        <v>0</v>
      </c>
      <c r="V49" s="41">
        <f t="shared" si="0"/>
        <v>7.4999999999999997E-3</v>
      </c>
    </row>
    <row r="50" spans="1:22" x14ac:dyDescent="0.3">
      <c r="A50" s="19">
        <v>46303</v>
      </c>
      <c r="B50" s="68" t="s">
        <v>121</v>
      </c>
      <c r="C50" s="68">
        <v>7.4999999999999997E-3</v>
      </c>
      <c r="D50" s="68">
        <v>0</v>
      </c>
      <c r="E50" s="68">
        <v>0</v>
      </c>
      <c r="F50" s="68">
        <v>0</v>
      </c>
      <c r="G50" s="68">
        <v>0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68">
        <v>0</v>
      </c>
      <c r="U50" s="68">
        <v>0</v>
      </c>
      <c r="V50" s="41">
        <f t="shared" si="0"/>
        <v>7.4999999999999997E-3</v>
      </c>
    </row>
    <row r="51" spans="1:22" x14ac:dyDescent="0.3">
      <c r="A51" s="19">
        <v>46303</v>
      </c>
      <c r="B51" s="68" t="s">
        <v>120</v>
      </c>
      <c r="C51" s="68">
        <v>7.4999999999999997E-3</v>
      </c>
      <c r="D51" s="68">
        <v>0</v>
      </c>
      <c r="E51" s="68">
        <v>0</v>
      </c>
      <c r="F51" s="68">
        <v>0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68">
        <v>0</v>
      </c>
      <c r="U51" s="68">
        <v>0</v>
      </c>
      <c r="V51" s="41">
        <f t="shared" si="0"/>
        <v>7.4999999999999997E-3</v>
      </c>
    </row>
    <row r="52" spans="1:22" x14ac:dyDescent="0.3">
      <c r="A52" s="19">
        <v>46303</v>
      </c>
      <c r="B52" s="68" t="s">
        <v>119</v>
      </c>
      <c r="C52" s="68">
        <v>7.4999999999999997E-3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41">
        <f t="shared" si="0"/>
        <v>7.4999999999999997E-3</v>
      </c>
    </row>
    <row r="53" spans="1:22" x14ac:dyDescent="0.3">
      <c r="A53" s="19">
        <v>46303</v>
      </c>
      <c r="B53" s="68" t="s">
        <v>118</v>
      </c>
      <c r="C53" s="68">
        <v>7.4999999999999997E-3</v>
      </c>
      <c r="D53" s="68">
        <v>0</v>
      </c>
      <c r="E53" s="68">
        <v>0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41">
        <f t="shared" si="0"/>
        <v>7.4999999999999997E-3</v>
      </c>
    </row>
    <row r="54" spans="1:22" x14ac:dyDescent="0.3">
      <c r="A54" s="19">
        <v>46303</v>
      </c>
      <c r="B54" s="68" t="s">
        <v>117</v>
      </c>
      <c r="C54" s="68">
        <v>7.4999999999999997E-3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41">
        <f t="shared" si="0"/>
        <v>7.4999999999999997E-3</v>
      </c>
    </row>
    <row r="55" spans="1:22" x14ac:dyDescent="0.3">
      <c r="A55" s="19">
        <v>46303</v>
      </c>
      <c r="B55" s="4" t="s">
        <v>116</v>
      </c>
      <c r="C55" s="4">
        <v>7.4999999999999997E-3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1">
        <f t="shared" si="0"/>
        <v>7.4999999999999997E-3</v>
      </c>
    </row>
    <row r="56" spans="1:22" x14ac:dyDescent="0.3">
      <c r="A56" s="19">
        <v>46303</v>
      </c>
      <c r="B56" s="4" t="s">
        <v>115</v>
      </c>
      <c r="C56" s="4">
        <v>7.4999999999999997E-3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1">
        <f t="shared" si="0"/>
        <v>7.4999999999999997E-3</v>
      </c>
    </row>
    <row r="57" spans="1:22" x14ac:dyDescent="0.3">
      <c r="A57" s="19">
        <v>46303</v>
      </c>
      <c r="B57" s="4" t="s">
        <v>114</v>
      </c>
      <c r="C57" s="4">
        <v>7.4999999999999997E-3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1">
        <f t="shared" si="0"/>
        <v>7.4999999999999997E-3</v>
      </c>
    </row>
    <row r="58" spans="1:22" x14ac:dyDescent="0.3">
      <c r="A58" s="19">
        <v>46303</v>
      </c>
      <c r="B58" s="4" t="s">
        <v>113</v>
      </c>
      <c r="C58" s="4">
        <v>7.4999999999999997E-3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1">
        <f t="shared" si="0"/>
        <v>7.4999999999999997E-3</v>
      </c>
    </row>
    <row r="59" spans="1:22" x14ac:dyDescent="0.3">
      <c r="A59" s="19">
        <v>46303</v>
      </c>
      <c r="B59" s="4" t="s">
        <v>112</v>
      </c>
      <c r="C59" s="4">
        <v>7.4999999999999997E-3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1">
        <f t="shared" si="0"/>
        <v>7.4999999999999997E-3</v>
      </c>
    </row>
    <row r="60" spans="1:22" x14ac:dyDescent="0.3">
      <c r="A60" s="19">
        <v>46303</v>
      </c>
      <c r="B60" s="4" t="s">
        <v>111</v>
      </c>
      <c r="C60" s="4">
        <v>7.4999999999999997E-3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1">
        <f t="shared" si="0"/>
        <v>7.4999999999999997E-3</v>
      </c>
    </row>
    <row r="61" spans="1:22" x14ac:dyDescent="0.3">
      <c r="A61" s="19">
        <v>46303</v>
      </c>
      <c r="B61" s="4" t="s">
        <v>110</v>
      </c>
      <c r="C61" s="4">
        <v>7.4999999999999997E-3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1">
        <f t="shared" si="0"/>
        <v>7.4999999999999997E-3</v>
      </c>
    </row>
    <row r="62" spans="1:22" x14ac:dyDescent="0.3">
      <c r="A62" s="19">
        <v>46303</v>
      </c>
      <c r="B62" s="4" t="s">
        <v>109</v>
      </c>
      <c r="C62" s="4">
        <v>7.4999999999999997E-3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1">
        <f t="shared" si="0"/>
        <v>7.4999999999999997E-3</v>
      </c>
    </row>
    <row r="63" spans="1:22" x14ac:dyDescent="0.3">
      <c r="A63" s="19">
        <v>46303</v>
      </c>
      <c r="B63" s="4" t="s">
        <v>108</v>
      </c>
      <c r="C63" s="4">
        <v>7.4999999999999997E-3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1">
        <f t="shared" si="0"/>
        <v>7.4999999999999997E-3</v>
      </c>
    </row>
    <row r="64" spans="1:22" x14ac:dyDescent="0.3">
      <c r="A64" s="19">
        <v>46303</v>
      </c>
      <c r="B64" s="4" t="s">
        <v>107</v>
      </c>
      <c r="C64" s="4">
        <v>7.4999999999999997E-3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1">
        <f t="shared" si="0"/>
        <v>7.4999999999999997E-3</v>
      </c>
    </row>
    <row r="65" spans="1:22" x14ac:dyDescent="0.3">
      <c r="A65" s="19">
        <v>46303</v>
      </c>
      <c r="B65" s="4" t="s">
        <v>106</v>
      </c>
      <c r="C65" s="4">
        <v>7.4999999999999997E-3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1">
        <f t="shared" si="0"/>
        <v>7.4999999999999997E-3</v>
      </c>
    </row>
    <row r="66" spans="1:22" x14ac:dyDescent="0.3">
      <c r="A66" s="19">
        <v>46303</v>
      </c>
      <c r="B66" s="68" t="s">
        <v>105</v>
      </c>
      <c r="C66" s="68">
        <v>7.4999999999999997E-3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41">
        <f t="shared" si="0"/>
        <v>7.4999999999999997E-3</v>
      </c>
    </row>
    <row r="67" spans="1:22" x14ac:dyDescent="0.3">
      <c r="A67" s="19">
        <v>46303</v>
      </c>
      <c r="B67" s="68" t="s">
        <v>104</v>
      </c>
      <c r="C67" s="68">
        <v>7.4999999999999997E-3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41">
        <f t="shared" ref="V67:V97" si="1">C67+D67+E67+F67+G67+H67+I67+J67+K67+L67+M67+N67+O67+P67+Q67+R67+S67+T67+U67</f>
        <v>7.4999999999999997E-3</v>
      </c>
    </row>
    <row r="68" spans="1:22" x14ac:dyDescent="0.3">
      <c r="A68" s="19">
        <v>46303</v>
      </c>
      <c r="B68" s="68" t="s">
        <v>103</v>
      </c>
      <c r="C68" s="68">
        <v>7.4999999999999997E-3</v>
      </c>
      <c r="D68" s="68">
        <v>0.375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41">
        <f t="shared" si="1"/>
        <v>0.38250000000000001</v>
      </c>
    </row>
    <row r="69" spans="1:22" x14ac:dyDescent="0.3">
      <c r="A69" s="19">
        <v>46303</v>
      </c>
      <c r="B69" s="68" t="s">
        <v>102</v>
      </c>
      <c r="C69" s="68">
        <v>7.4999999999999997E-3</v>
      </c>
      <c r="D69" s="68">
        <v>0.375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3.2500000000000001E-2</v>
      </c>
      <c r="S69" s="68">
        <v>0</v>
      </c>
      <c r="T69" s="68">
        <v>0</v>
      </c>
      <c r="U69" s="68">
        <v>0</v>
      </c>
      <c r="V69" s="41">
        <f t="shared" si="1"/>
        <v>0.41500000000000004</v>
      </c>
    </row>
    <row r="70" spans="1:22" x14ac:dyDescent="0.3">
      <c r="A70" s="19">
        <v>46303</v>
      </c>
      <c r="B70" s="68" t="s">
        <v>101</v>
      </c>
      <c r="C70" s="68">
        <v>7.4999999999999997E-3</v>
      </c>
      <c r="D70" s="68">
        <v>0.75</v>
      </c>
      <c r="E70" s="68">
        <v>0</v>
      </c>
      <c r="F70" s="68">
        <v>1.4999999999999999E-2</v>
      </c>
      <c r="G70" s="68">
        <v>0</v>
      </c>
      <c r="H70" s="68">
        <v>0</v>
      </c>
      <c r="I70" s="68">
        <v>0</v>
      </c>
      <c r="J70" s="68">
        <v>0</v>
      </c>
      <c r="K70" s="68">
        <v>0</v>
      </c>
      <c r="L70" s="68">
        <v>0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68">
        <v>0</v>
      </c>
      <c r="S70" s="68">
        <v>2.5000000000000001E-2</v>
      </c>
      <c r="T70" s="68">
        <v>0</v>
      </c>
      <c r="U70" s="68">
        <v>0</v>
      </c>
      <c r="V70" s="41">
        <f t="shared" si="1"/>
        <v>0.79749999999999999</v>
      </c>
    </row>
    <row r="71" spans="1:22" x14ac:dyDescent="0.3">
      <c r="A71" s="19">
        <v>46303</v>
      </c>
      <c r="B71" s="68" t="s">
        <v>100</v>
      </c>
      <c r="C71" s="68">
        <v>7.4999999999999997E-3</v>
      </c>
      <c r="D71" s="68">
        <v>0.75</v>
      </c>
      <c r="E71" s="68">
        <v>0</v>
      </c>
      <c r="F71" s="68">
        <v>1.4999999999999999E-2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2.5000000000000001E-2</v>
      </c>
      <c r="T71" s="68">
        <v>0</v>
      </c>
      <c r="U71" s="68">
        <v>0</v>
      </c>
      <c r="V71" s="41">
        <f t="shared" si="1"/>
        <v>0.79749999999999999</v>
      </c>
    </row>
    <row r="72" spans="1:22" x14ac:dyDescent="0.3">
      <c r="A72" s="19">
        <v>46303</v>
      </c>
      <c r="B72" s="68" t="s">
        <v>99</v>
      </c>
      <c r="C72" s="68">
        <v>7.4999999999999997E-3</v>
      </c>
      <c r="D72" s="68">
        <v>0.75</v>
      </c>
      <c r="E72" s="68">
        <v>0</v>
      </c>
      <c r="F72" s="68">
        <v>1.4999999999999999E-2</v>
      </c>
      <c r="G72" s="68">
        <v>1.5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2.5000000000000001E-2</v>
      </c>
      <c r="T72" s="68">
        <v>0</v>
      </c>
      <c r="U72" s="68">
        <v>0</v>
      </c>
      <c r="V72" s="41">
        <f t="shared" si="1"/>
        <v>2.2974999999999999</v>
      </c>
    </row>
    <row r="73" spans="1:22" x14ac:dyDescent="0.3">
      <c r="A73" s="19">
        <v>46303</v>
      </c>
      <c r="B73" s="68" t="s">
        <v>98</v>
      </c>
      <c r="C73" s="68">
        <v>7.4999999999999997E-3</v>
      </c>
      <c r="D73" s="68">
        <v>0.75</v>
      </c>
      <c r="E73" s="68">
        <v>0</v>
      </c>
      <c r="F73" s="68">
        <v>1.4999999999999999E-2</v>
      </c>
      <c r="G73" s="68">
        <v>1.5</v>
      </c>
      <c r="H73" s="68">
        <v>0</v>
      </c>
      <c r="I73" s="68">
        <v>0.75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2.5000000000000001E-2</v>
      </c>
      <c r="T73" s="68">
        <v>0</v>
      </c>
      <c r="U73" s="68">
        <v>0</v>
      </c>
      <c r="V73" s="41">
        <f t="shared" si="1"/>
        <v>3.0474999999999999</v>
      </c>
    </row>
    <row r="74" spans="1:22" x14ac:dyDescent="0.3">
      <c r="A74" s="19">
        <v>46303</v>
      </c>
      <c r="B74" s="68" t="s">
        <v>97</v>
      </c>
      <c r="C74" s="68">
        <v>7.4999999999999997E-3</v>
      </c>
      <c r="D74" s="68">
        <v>0.75</v>
      </c>
      <c r="E74" s="68">
        <v>0</v>
      </c>
      <c r="F74" s="68">
        <v>1.4999999999999999E-2</v>
      </c>
      <c r="G74" s="68">
        <v>1.5</v>
      </c>
      <c r="H74" s="68">
        <v>0.375</v>
      </c>
      <c r="I74" s="68">
        <v>0.75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0.05</v>
      </c>
      <c r="R74" s="68">
        <v>0</v>
      </c>
      <c r="S74" s="68">
        <v>2.5000000000000001E-2</v>
      </c>
      <c r="T74" s="68">
        <v>0</v>
      </c>
      <c r="U74" s="68">
        <v>0</v>
      </c>
      <c r="V74" s="41">
        <f t="shared" si="1"/>
        <v>3.4724999999999997</v>
      </c>
    </row>
    <row r="75" spans="1:22" x14ac:dyDescent="0.3">
      <c r="A75" s="19">
        <v>46303</v>
      </c>
      <c r="B75" s="4" t="s">
        <v>96</v>
      </c>
      <c r="C75" s="4">
        <v>7.4999999999999997E-3</v>
      </c>
      <c r="D75" s="4">
        <v>0.75</v>
      </c>
      <c r="E75" s="4">
        <v>0</v>
      </c>
      <c r="F75" s="4">
        <v>0</v>
      </c>
      <c r="G75" s="4">
        <v>1.5</v>
      </c>
      <c r="H75" s="4">
        <v>0</v>
      </c>
      <c r="I75" s="4">
        <v>0.75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5.0000000000000001E-3</v>
      </c>
      <c r="Q75" s="4">
        <v>0</v>
      </c>
      <c r="R75" s="4">
        <v>0</v>
      </c>
      <c r="S75" s="4">
        <v>2.5000000000000001E-2</v>
      </c>
      <c r="T75" s="4">
        <v>0</v>
      </c>
      <c r="U75" s="4">
        <v>0</v>
      </c>
      <c r="V75" s="41">
        <f t="shared" si="1"/>
        <v>3.0374999999999996</v>
      </c>
    </row>
    <row r="76" spans="1:22" x14ac:dyDescent="0.3">
      <c r="A76" s="19">
        <v>46303</v>
      </c>
      <c r="B76" s="4" t="s">
        <v>95</v>
      </c>
      <c r="C76" s="4">
        <v>7.4999999999999997E-3</v>
      </c>
      <c r="D76" s="4">
        <v>0.75</v>
      </c>
      <c r="E76" s="4">
        <v>0</v>
      </c>
      <c r="F76" s="4">
        <v>0</v>
      </c>
      <c r="G76" s="4">
        <v>0</v>
      </c>
      <c r="H76" s="4">
        <v>0</v>
      </c>
      <c r="I76" s="4">
        <v>0.75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5.0000000000000001E-3</v>
      </c>
      <c r="Q76" s="4">
        <v>0</v>
      </c>
      <c r="R76" s="4">
        <v>0</v>
      </c>
      <c r="S76" s="4">
        <v>2.5000000000000001E-2</v>
      </c>
      <c r="T76" s="4">
        <v>0</v>
      </c>
      <c r="U76" s="4">
        <v>0</v>
      </c>
      <c r="V76" s="41">
        <f t="shared" si="1"/>
        <v>1.5374999999999996</v>
      </c>
    </row>
    <row r="77" spans="1:22" x14ac:dyDescent="0.3">
      <c r="A77" s="19">
        <v>46303</v>
      </c>
      <c r="B77" s="4" t="s">
        <v>94</v>
      </c>
      <c r="C77" s="4">
        <v>7.4999999999999997E-3</v>
      </c>
      <c r="D77" s="4">
        <v>0.75</v>
      </c>
      <c r="E77" s="4">
        <v>0</v>
      </c>
      <c r="F77" s="4">
        <v>0</v>
      </c>
      <c r="G77" s="4">
        <v>0</v>
      </c>
      <c r="H77" s="4">
        <v>0</v>
      </c>
      <c r="I77" s="4">
        <v>0.75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5.0000000000000001E-3</v>
      </c>
      <c r="Q77" s="4">
        <v>0</v>
      </c>
      <c r="R77" s="4">
        <v>0</v>
      </c>
      <c r="S77" s="4">
        <v>2.5000000000000001E-2</v>
      </c>
      <c r="T77" s="4">
        <v>0</v>
      </c>
      <c r="U77" s="4">
        <v>0</v>
      </c>
      <c r="V77" s="41">
        <f t="shared" si="1"/>
        <v>1.5374999999999996</v>
      </c>
    </row>
    <row r="78" spans="1:22" x14ac:dyDescent="0.3">
      <c r="A78" s="19">
        <v>46303</v>
      </c>
      <c r="B78" s="4" t="s">
        <v>93</v>
      </c>
      <c r="C78" s="4">
        <v>7.4999999999999997E-3</v>
      </c>
      <c r="D78" s="4">
        <v>0.375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2.1250000000000002E-2</v>
      </c>
      <c r="K78" s="4">
        <v>0</v>
      </c>
      <c r="L78" s="4">
        <v>0</v>
      </c>
      <c r="M78" s="4">
        <v>0</v>
      </c>
      <c r="N78" s="4">
        <v>0</v>
      </c>
      <c r="O78" s="4">
        <v>5.0000000000000001E-3</v>
      </c>
      <c r="P78" s="4">
        <v>5.0000000000000001E-3</v>
      </c>
      <c r="Q78" s="4">
        <v>0</v>
      </c>
      <c r="R78" s="4">
        <v>0</v>
      </c>
      <c r="S78" s="4">
        <v>2.5000000000000001E-2</v>
      </c>
      <c r="T78" s="4">
        <v>0</v>
      </c>
      <c r="U78" s="4">
        <v>0</v>
      </c>
      <c r="V78" s="41">
        <f t="shared" si="1"/>
        <v>0.43875000000000003</v>
      </c>
    </row>
    <row r="79" spans="1:22" x14ac:dyDescent="0.3">
      <c r="A79" s="19">
        <v>46303</v>
      </c>
      <c r="B79" s="4" t="s">
        <v>92</v>
      </c>
      <c r="C79" s="4">
        <v>7.4999999999999997E-3</v>
      </c>
      <c r="D79" s="4">
        <v>0.375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2.1250000000000002E-2</v>
      </c>
      <c r="K79" s="4">
        <v>0</v>
      </c>
      <c r="L79" s="4">
        <v>0</v>
      </c>
      <c r="M79" s="4">
        <v>0</v>
      </c>
      <c r="N79" s="4">
        <v>0</v>
      </c>
      <c r="O79" s="4">
        <v>5.0000000000000001E-3</v>
      </c>
      <c r="P79" s="4">
        <v>5.0000000000000001E-3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1">
        <f t="shared" si="1"/>
        <v>0.41375000000000001</v>
      </c>
    </row>
    <row r="80" spans="1:22" x14ac:dyDescent="0.3">
      <c r="A80" s="19">
        <v>46303</v>
      </c>
      <c r="B80" s="4" t="s">
        <v>91</v>
      </c>
      <c r="C80" s="4">
        <v>7.4999999999999997E-3</v>
      </c>
      <c r="D80" s="4">
        <v>0.375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2.1250000000000002E-2</v>
      </c>
      <c r="K80" s="4">
        <v>6.25E-2</v>
      </c>
      <c r="L80" s="4">
        <v>0</v>
      </c>
      <c r="M80" s="4">
        <v>0</v>
      </c>
      <c r="N80" s="4">
        <v>0</v>
      </c>
      <c r="O80" s="4">
        <v>8.9999999999999993E-3</v>
      </c>
      <c r="P80" s="4">
        <v>5.0000000000000001E-3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1">
        <f t="shared" si="1"/>
        <v>0.48025000000000001</v>
      </c>
    </row>
    <row r="81" spans="1:22" x14ac:dyDescent="0.3">
      <c r="A81" s="19">
        <v>46303</v>
      </c>
      <c r="B81" s="4" t="s">
        <v>90</v>
      </c>
      <c r="C81" s="4">
        <v>7.4999999999999997E-3</v>
      </c>
      <c r="D81" s="4">
        <v>0.375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2.1250000000000002E-2</v>
      </c>
      <c r="K81" s="4">
        <v>6.25E-2</v>
      </c>
      <c r="L81" s="4">
        <v>0</v>
      </c>
      <c r="M81" s="4">
        <v>0</v>
      </c>
      <c r="N81" s="4">
        <v>0</v>
      </c>
      <c r="O81" s="4">
        <v>8.9999999999999993E-3</v>
      </c>
      <c r="P81" s="4">
        <v>5.0000000000000001E-3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1">
        <f t="shared" si="1"/>
        <v>0.48025000000000001</v>
      </c>
    </row>
    <row r="82" spans="1:22" x14ac:dyDescent="0.3">
      <c r="A82" s="19">
        <v>46303</v>
      </c>
      <c r="B82" s="4" t="s">
        <v>89</v>
      </c>
      <c r="C82" s="4">
        <v>7.4999999999999997E-3</v>
      </c>
      <c r="D82" s="4">
        <v>0.375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2.1250000000000002E-2</v>
      </c>
      <c r="K82" s="4">
        <v>6.25E-2</v>
      </c>
      <c r="L82" s="4">
        <v>0</v>
      </c>
      <c r="M82" s="4">
        <v>0</v>
      </c>
      <c r="N82" s="4">
        <v>0</v>
      </c>
      <c r="O82" s="4">
        <v>1.2E-2</v>
      </c>
      <c r="P82" s="4">
        <v>5.0000000000000001E-3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1">
        <f t="shared" si="1"/>
        <v>0.48325000000000001</v>
      </c>
    </row>
    <row r="83" spans="1:22" x14ac:dyDescent="0.3">
      <c r="A83" s="19">
        <v>46303</v>
      </c>
      <c r="B83" s="4" t="s">
        <v>88</v>
      </c>
      <c r="C83" s="4">
        <v>7.4999999999999997E-3</v>
      </c>
      <c r="D83" s="4">
        <v>0.375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2.1250000000000002E-2</v>
      </c>
      <c r="K83" s="4">
        <v>6.25E-2</v>
      </c>
      <c r="L83" s="4">
        <v>0</v>
      </c>
      <c r="M83" s="4">
        <v>0</v>
      </c>
      <c r="N83" s="4">
        <v>0</v>
      </c>
      <c r="O83" s="4">
        <v>1.2E-2</v>
      </c>
      <c r="P83" s="4">
        <v>5.0000000000000001E-3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1">
        <f t="shared" si="1"/>
        <v>0.48325000000000001</v>
      </c>
    </row>
    <row r="84" spans="1:22" x14ac:dyDescent="0.3">
      <c r="A84" s="19">
        <v>46303</v>
      </c>
      <c r="B84" s="4" t="s">
        <v>87</v>
      </c>
      <c r="C84" s="4">
        <v>7.4999999999999997E-3</v>
      </c>
      <c r="D84" s="4">
        <v>0.375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2.1250000000000002E-2</v>
      </c>
      <c r="K84" s="4">
        <v>6.25E-2</v>
      </c>
      <c r="L84" s="4">
        <v>0</v>
      </c>
      <c r="M84" s="4">
        <v>0</v>
      </c>
      <c r="N84" s="4">
        <v>0</v>
      </c>
      <c r="O84" s="4">
        <v>1.2E-2</v>
      </c>
      <c r="P84" s="4">
        <v>5.0000000000000001E-3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1">
        <f t="shared" si="1"/>
        <v>0.48325000000000001</v>
      </c>
    </row>
    <row r="85" spans="1:22" x14ac:dyDescent="0.3">
      <c r="A85" s="19">
        <v>46303</v>
      </c>
      <c r="B85" s="4" t="s">
        <v>86</v>
      </c>
      <c r="C85" s="4">
        <v>7.4999999999999997E-3</v>
      </c>
      <c r="D85" s="4">
        <v>0.375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2.1250000000000002E-2</v>
      </c>
      <c r="K85" s="4">
        <v>6.25E-2</v>
      </c>
      <c r="L85" s="4">
        <v>0</v>
      </c>
      <c r="M85" s="4">
        <v>0</v>
      </c>
      <c r="N85" s="4">
        <v>0</v>
      </c>
      <c r="O85" s="4">
        <v>1.6E-2</v>
      </c>
      <c r="P85" s="4">
        <v>5.0000000000000001E-3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1">
        <f t="shared" si="1"/>
        <v>0.48725000000000002</v>
      </c>
    </row>
    <row r="86" spans="1:22" x14ac:dyDescent="0.3">
      <c r="A86" s="19">
        <v>46303</v>
      </c>
      <c r="B86" s="4" t="s">
        <v>85</v>
      </c>
      <c r="C86" s="4">
        <v>7.4999999999999997E-3</v>
      </c>
      <c r="D86" s="4">
        <v>0.375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2.1250000000000002E-2</v>
      </c>
      <c r="K86" s="4">
        <v>6.25E-2</v>
      </c>
      <c r="L86" s="4">
        <v>0</v>
      </c>
      <c r="M86" s="4">
        <v>0</v>
      </c>
      <c r="N86" s="4">
        <v>0.55000000000000004</v>
      </c>
      <c r="O86" s="4">
        <v>1.6E-2</v>
      </c>
      <c r="P86" s="4">
        <v>5.0000000000000001E-3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1">
        <f t="shared" si="1"/>
        <v>1.03725</v>
      </c>
    </row>
    <row r="87" spans="1:22" x14ac:dyDescent="0.3">
      <c r="A87" s="19">
        <v>46303</v>
      </c>
      <c r="B87" s="4" t="s">
        <v>84</v>
      </c>
      <c r="C87" s="4">
        <v>7.4999999999999997E-3</v>
      </c>
      <c r="D87" s="4">
        <v>0.375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2.1250000000000002E-2</v>
      </c>
      <c r="K87" s="4">
        <v>6.25E-2</v>
      </c>
      <c r="L87" s="4">
        <v>0</v>
      </c>
      <c r="M87" s="4">
        <v>0</v>
      </c>
      <c r="N87" s="4">
        <v>0.55000000000000004</v>
      </c>
      <c r="O87" s="4">
        <v>1.6E-2</v>
      </c>
      <c r="P87" s="4">
        <v>5.0000000000000001E-3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1">
        <f t="shared" si="1"/>
        <v>1.03725</v>
      </c>
    </row>
    <row r="88" spans="1:22" x14ac:dyDescent="0.3">
      <c r="A88" s="19">
        <v>46303</v>
      </c>
      <c r="B88" s="4" t="s">
        <v>83</v>
      </c>
      <c r="C88" s="4">
        <v>7.4999999999999997E-3</v>
      </c>
      <c r="D88" s="4">
        <v>0.375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2.1250000000000002E-2</v>
      </c>
      <c r="K88" s="4">
        <v>6.25E-2</v>
      </c>
      <c r="L88" s="4">
        <v>0</v>
      </c>
      <c r="M88" s="4">
        <v>0</v>
      </c>
      <c r="N88" s="4">
        <v>0.55000000000000004</v>
      </c>
      <c r="O88" s="4">
        <v>1.6E-2</v>
      </c>
      <c r="P88" s="4">
        <v>5.0000000000000001E-3</v>
      </c>
      <c r="Q88" s="4">
        <v>0</v>
      </c>
      <c r="R88" s="4">
        <v>0</v>
      </c>
      <c r="S88" s="4">
        <v>0</v>
      </c>
      <c r="T88" s="4">
        <v>0</v>
      </c>
      <c r="U88" s="4">
        <v>7.4999999999999997E-3</v>
      </c>
      <c r="V88" s="41">
        <f t="shared" si="1"/>
        <v>1.0447500000000001</v>
      </c>
    </row>
    <row r="89" spans="1:22" x14ac:dyDescent="0.3">
      <c r="A89" s="19">
        <v>46303</v>
      </c>
      <c r="B89" s="4" t="s">
        <v>82</v>
      </c>
      <c r="C89" s="4">
        <v>7.4999999999999997E-3</v>
      </c>
      <c r="D89" s="4">
        <v>0.75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2.1250000000000002E-2</v>
      </c>
      <c r="K89" s="4">
        <v>6.25E-2</v>
      </c>
      <c r="L89" s="4">
        <v>0</v>
      </c>
      <c r="M89" s="4">
        <v>0</v>
      </c>
      <c r="N89" s="4">
        <v>0.55000000000000004</v>
      </c>
      <c r="O89" s="4">
        <v>1.6E-2</v>
      </c>
      <c r="P89" s="4">
        <v>5.0000000000000001E-3</v>
      </c>
      <c r="Q89" s="4">
        <v>0</v>
      </c>
      <c r="R89" s="4">
        <v>0</v>
      </c>
      <c r="S89" s="4">
        <v>0</v>
      </c>
      <c r="T89" s="4">
        <v>0</v>
      </c>
      <c r="U89" s="4">
        <v>7.4999999999999997E-3</v>
      </c>
      <c r="V89" s="41">
        <f t="shared" si="1"/>
        <v>1.4197499999999998</v>
      </c>
    </row>
    <row r="90" spans="1:22" x14ac:dyDescent="0.3">
      <c r="A90" s="19">
        <v>46303</v>
      </c>
      <c r="B90" s="4" t="s">
        <v>81</v>
      </c>
      <c r="C90" s="4">
        <v>7.4999999999999997E-3</v>
      </c>
      <c r="D90" s="4">
        <v>0.75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2.1250000000000002E-2</v>
      </c>
      <c r="K90" s="4">
        <v>6.25E-2</v>
      </c>
      <c r="L90" s="4">
        <v>0</v>
      </c>
      <c r="M90" s="4">
        <v>0</v>
      </c>
      <c r="N90" s="4">
        <v>0.55000000000000004</v>
      </c>
      <c r="O90" s="4">
        <v>1.6E-2</v>
      </c>
      <c r="P90" s="4">
        <v>5.0000000000000001E-3</v>
      </c>
      <c r="Q90" s="4">
        <v>0</v>
      </c>
      <c r="R90" s="4">
        <v>0</v>
      </c>
      <c r="S90" s="4">
        <v>0</v>
      </c>
      <c r="T90" s="4">
        <v>0</v>
      </c>
      <c r="U90" s="4">
        <v>7.4999999999999997E-3</v>
      </c>
      <c r="V90" s="41">
        <f t="shared" si="1"/>
        <v>1.4197499999999998</v>
      </c>
    </row>
    <row r="91" spans="1:22" x14ac:dyDescent="0.3">
      <c r="A91" s="19">
        <v>46303</v>
      </c>
      <c r="B91" s="4" t="s">
        <v>80</v>
      </c>
      <c r="C91" s="4">
        <v>7.4999999999999997E-3</v>
      </c>
      <c r="D91" s="4">
        <v>0.75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2.1250000000000002E-2</v>
      </c>
      <c r="K91" s="4">
        <v>0</v>
      </c>
      <c r="L91" s="4">
        <v>0</v>
      </c>
      <c r="M91" s="4">
        <v>0</v>
      </c>
      <c r="N91" s="4">
        <v>0</v>
      </c>
      <c r="O91" s="4">
        <v>1.6E-2</v>
      </c>
      <c r="P91" s="4">
        <v>5.0000000000000001E-3</v>
      </c>
      <c r="Q91" s="4">
        <v>0</v>
      </c>
      <c r="R91" s="4">
        <v>0</v>
      </c>
      <c r="S91" s="4">
        <v>0</v>
      </c>
      <c r="T91" s="4">
        <v>0</v>
      </c>
      <c r="U91" s="4">
        <v>7.4999999999999997E-3</v>
      </c>
      <c r="V91" s="41">
        <f t="shared" si="1"/>
        <v>0.80724999999999991</v>
      </c>
    </row>
    <row r="92" spans="1:22" x14ac:dyDescent="0.3">
      <c r="A92" s="19">
        <v>46303</v>
      </c>
      <c r="B92" s="4" t="s">
        <v>79</v>
      </c>
      <c r="C92" s="4">
        <v>7.4999999999999997E-3</v>
      </c>
      <c r="D92" s="4">
        <v>0.75</v>
      </c>
      <c r="E92" s="4">
        <v>0</v>
      </c>
      <c r="F92" s="4">
        <v>1.4999999999999999E-2</v>
      </c>
      <c r="G92" s="4">
        <v>0</v>
      </c>
      <c r="H92" s="4">
        <v>0</v>
      </c>
      <c r="I92" s="4">
        <v>0</v>
      </c>
      <c r="J92" s="4">
        <v>2.1250000000000002E-2</v>
      </c>
      <c r="K92" s="4">
        <v>0</v>
      </c>
      <c r="L92" s="4">
        <v>0</v>
      </c>
      <c r="M92" s="4">
        <v>0</v>
      </c>
      <c r="N92" s="4">
        <v>0</v>
      </c>
      <c r="O92" s="4">
        <v>1.6E-2</v>
      </c>
      <c r="P92" s="4">
        <v>5.0000000000000001E-3</v>
      </c>
      <c r="Q92" s="4">
        <v>0</v>
      </c>
      <c r="R92" s="4">
        <v>0</v>
      </c>
      <c r="S92" s="4">
        <v>0</v>
      </c>
      <c r="T92" s="4">
        <v>0</v>
      </c>
      <c r="U92" s="4">
        <v>7.4999999999999997E-3</v>
      </c>
      <c r="V92" s="41">
        <f t="shared" si="1"/>
        <v>0.82224999999999993</v>
      </c>
    </row>
    <row r="93" spans="1:22" x14ac:dyDescent="0.3">
      <c r="A93" s="19">
        <v>46303</v>
      </c>
      <c r="B93" s="4" t="s">
        <v>78</v>
      </c>
      <c r="C93" s="4">
        <v>7.4999999999999997E-3</v>
      </c>
      <c r="D93" s="4">
        <v>0.75</v>
      </c>
      <c r="E93" s="4">
        <v>0</v>
      </c>
      <c r="F93" s="4">
        <v>1.4999999999999999E-2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1.6E-2</v>
      </c>
      <c r="P93" s="4">
        <v>5.0000000000000001E-3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1">
        <f t="shared" si="1"/>
        <v>0.79349999999999998</v>
      </c>
    </row>
    <row r="94" spans="1:22" x14ac:dyDescent="0.3">
      <c r="A94" s="19">
        <v>46303</v>
      </c>
      <c r="B94" s="4" t="s">
        <v>77</v>
      </c>
      <c r="C94" s="4">
        <v>7.4999999999999997E-3</v>
      </c>
      <c r="D94" s="4">
        <v>0</v>
      </c>
      <c r="E94" s="4">
        <v>3.7499999999999999E-3</v>
      </c>
      <c r="F94" s="4">
        <v>1.4999999999999999E-2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0.01</v>
      </c>
      <c r="P94" s="4">
        <v>5.0000000000000001E-3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1">
        <f t="shared" si="1"/>
        <v>4.1249999999999995E-2</v>
      </c>
    </row>
    <row r="95" spans="1:22" x14ac:dyDescent="0.3">
      <c r="A95" s="19">
        <v>46303</v>
      </c>
      <c r="B95" s="4" t="s">
        <v>76</v>
      </c>
      <c r="C95" s="4">
        <v>7.4999999999999997E-3</v>
      </c>
      <c r="D95" s="4">
        <v>0</v>
      </c>
      <c r="E95" s="4">
        <v>3.7499999999999999E-3</v>
      </c>
      <c r="F95" s="4">
        <v>1.4999999999999999E-2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0.01</v>
      </c>
      <c r="P95" s="4">
        <v>5.0000000000000001E-3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1">
        <f t="shared" si="1"/>
        <v>4.1249999999999995E-2</v>
      </c>
    </row>
    <row r="96" spans="1:22" x14ac:dyDescent="0.3">
      <c r="A96" s="19">
        <v>46303</v>
      </c>
      <c r="B96" s="4" t="s">
        <v>75</v>
      </c>
      <c r="C96" s="4">
        <v>7.4999999999999997E-3</v>
      </c>
      <c r="D96" s="4">
        <v>0</v>
      </c>
      <c r="E96" s="4">
        <v>3.7499999999999999E-3</v>
      </c>
      <c r="F96" s="4">
        <v>1.4999999999999999E-2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6.0000000000000001E-3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1">
        <f t="shared" si="1"/>
        <v>3.2250000000000001E-2</v>
      </c>
    </row>
    <row r="97" spans="1:22" x14ac:dyDescent="0.3">
      <c r="A97" s="19">
        <v>46303</v>
      </c>
      <c r="B97" s="4" t="s">
        <v>74</v>
      </c>
      <c r="C97" s="4">
        <v>7.4999999999999997E-3</v>
      </c>
      <c r="D97" s="4">
        <v>0</v>
      </c>
      <c r="E97" s="4">
        <v>3.7499999999999999E-3</v>
      </c>
      <c r="F97" s="4">
        <v>1.4999999999999999E-2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3.0000000000000001E-3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1">
        <f t="shared" si="1"/>
        <v>2.9249999999999998E-2</v>
      </c>
    </row>
    <row r="98" spans="1:2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>SUM(V2:V97)</f>
        <v>39.187750000000015</v>
      </c>
    </row>
    <row r="106" spans="1:22" x14ac:dyDescent="0.3">
      <c r="C106" s="17" t="s">
        <v>73</v>
      </c>
      <c r="D106" s="4"/>
      <c r="E106" s="4"/>
    </row>
    <row r="107" spans="1:22" x14ac:dyDescent="0.3">
      <c r="C107" s="16" t="s">
        <v>72</v>
      </c>
      <c r="D107" s="15" t="s">
        <v>71</v>
      </c>
      <c r="E107" s="4"/>
    </row>
    <row r="108" spans="1:22" x14ac:dyDescent="0.3">
      <c r="B108">
        <v>13</v>
      </c>
      <c r="C108" s="16" t="s">
        <v>70</v>
      </c>
      <c r="D108" s="15">
        <v>90</v>
      </c>
      <c r="E108" s="14" t="s">
        <v>69</v>
      </c>
      <c r="F108">
        <v>22.5</v>
      </c>
      <c r="G108">
        <v>2.2499999999999999E-2</v>
      </c>
      <c r="I108" t="s">
        <v>37</v>
      </c>
    </row>
    <row r="109" spans="1:22" x14ac:dyDescent="0.3">
      <c r="B109">
        <v>3</v>
      </c>
      <c r="C109" s="16" t="s">
        <v>68</v>
      </c>
      <c r="D109" s="15">
        <v>60</v>
      </c>
      <c r="E109" s="14" t="s">
        <v>67</v>
      </c>
      <c r="F109">
        <v>15</v>
      </c>
      <c r="G109">
        <v>1.4999999999999999E-2</v>
      </c>
      <c r="I109" t="s">
        <v>37</v>
      </c>
    </row>
    <row r="110" spans="1:22" x14ac:dyDescent="0.3">
      <c r="B110">
        <v>1</v>
      </c>
      <c r="C110" s="16" t="s">
        <v>66</v>
      </c>
      <c r="D110" s="15">
        <v>15</v>
      </c>
      <c r="E110" s="14" t="s">
        <v>65</v>
      </c>
      <c r="F110">
        <v>3.75</v>
      </c>
      <c r="G110">
        <v>3.7499999999999999E-3</v>
      </c>
      <c r="I110" t="s">
        <v>37</v>
      </c>
    </row>
    <row r="111" spans="1:22" x14ac:dyDescent="0.3">
      <c r="B111">
        <v>2</v>
      </c>
      <c r="C111" s="16" t="s">
        <v>64</v>
      </c>
      <c r="D111" s="15">
        <v>20</v>
      </c>
      <c r="E111" s="14" t="s">
        <v>63</v>
      </c>
      <c r="F111">
        <v>5</v>
      </c>
      <c r="G111">
        <v>5.0000000000000001E-3</v>
      </c>
      <c r="I111" t="s">
        <v>37</v>
      </c>
    </row>
    <row r="112" spans="1:22" x14ac:dyDescent="0.3">
      <c r="C112" s="16" t="s">
        <v>62</v>
      </c>
      <c r="D112" s="15">
        <v>200</v>
      </c>
      <c r="E112" s="14" t="s">
        <v>61</v>
      </c>
      <c r="F112">
        <v>50</v>
      </c>
      <c r="G112">
        <v>0.05</v>
      </c>
      <c r="I112" t="s">
        <v>37</v>
      </c>
    </row>
    <row r="113" spans="2:9" x14ac:dyDescent="0.3">
      <c r="B113">
        <v>1</v>
      </c>
      <c r="C113" s="16" t="s">
        <v>60</v>
      </c>
      <c r="D113" s="15">
        <v>85</v>
      </c>
      <c r="E113" s="14" t="s">
        <v>59</v>
      </c>
      <c r="F113" t="s">
        <v>58</v>
      </c>
      <c r="G113">
        <v>2.1250000000000002E-2</v>
      </c>
      <c r="I113" t="s">
        <v>37</v>
      </c>
    </row>
    <row r="114" spans="2:9" x14ac:dyDescent="0.3">
      <c r="B114">
        <v>1</v>
      </c>
      <c r="C114" s="16" t="s">
        <v>57</v>
      </c>
      <c r="D114" s="15">
        <v>250</v>
      </c>
      <c r="E114" s="14" t="s">
        <v>56</v>
      </c>
      <c r="F114">
        <v>62.5</v>
      </c>
      <c r="G114">
        <v>6.25E-2</v>
      </c>
      <c r="I114" t="s">
        <v>37</v>
      </c>
    </row>
    <row r="115" spans="2:9" x14ac:dyDescent="0.3">
      <c r="B115">
        <v>1</v>
      </c>
      <c r="C115" s="16" t="s">
        <v>55</v>
      </c>
      <c r="D115" s="15">
        <v>100</v>
      </c>
      <c r="E115" s="14" t="s">
        <v>54</v>
      </c>
      <c r="F115">
        <v>25</v>
      </c>
      <c r="G115">
        <v>2.5000000000000001E-2</v>
      </c>
      <c r="I115" t="s">
        <v>37</v>
      </c>
    </row>
    <row r="116" spans="2:9" x14ac:dyDescent="0.3">
      <c r="B116">
        <v>1</v>
      </c>
      <c r="C116" s="16" t="s">
        <v>53</v>
      </c>
      <c r="D116" s="15">
        <v>1300</v>
      </c>
      <c r="E116" s="14" t="s">
        <v>52</v>
      </c>
      <c r="F116">
        <v>325</v>
      </c>
      <c r="G116">
        <v>0.32500000000000001</v>
      </c>
      <c r="I116" t="s">
        <v>37</v>
      </c>
    </row>
    <row r="117" spans="2:9" x14ac:dyDescent="0.3">
      <c r="B117">
        <v>1</v>
      </c>
      <c r="C117" s="16" t="s">
        <v>51</v>
      </c>
      <c r="D117" s="15">
        <v>800</v>
      </c>
      <c r="E117" s="14" t="s">
        <v>50</v>
      </c>
      <c r="F117">
        <v>160</v>
      </c>
      <c r="G117">
        <v>0.16</v>
      </c>
    </row>
    <row r="118" spans="2:9" x14ac:dyDescent="0.3">
      <c r="B118">
        <v>1</v>
      </c>
      <c r="C118" s="16" t="s">
        <v>49</v>
      </c>
      <c r="D118" s="15">
        <v>1500</v>
      </c>
      <c r="E118" s="14" t="s">
        <v>35</v>
      </c>
      <c r="F118">
        <v>375</v>
      </c>
      <c r="G118">
        <v>0.375</v>
      </c>
    </row>
    <row r="119" spans="2:9" x14ac:dyDescent="0.3">
      <c r="B119">
        <v>1</v>
      </c>
      <c r="C119" s="16" t="s">
        <v>48</v>
      </c>
      <c r="D119" s="15">
        <v>120</v>
      </c>
      <c r="E119" s="14" t="s">
        <v>47</v>
      </c>
      <c r="F119">
        <v>30</v>
      </c>
      <c r="G119">
        <v>0.03</v>
      </c>
    </row>
    <row r="120" spans="2:9" x14ac:dyDescent="0.3">
      <c r="B120">
        <v>1</v>
      </c>
      <c r="C120" s="16" t="s">
        <v>46</v>
      </c>
      <c r="D120" s="15">
        <v>3000</v>
      </c>
      <c r="E120" s="14" t="s">
        <v>45</v>
      </c>
      <c r="F120">
        <v>750</v>
      </c>
      <c r="G120">
        <v>0.75</v>
      </c>
    </row>
    <row r="121" spans="2:9" x14ac:dyDescent="0.3">
      <c r="B121">
        <v>1</v>
      </c>
      <c r="C121" s="16" t="s">
        <v>44</v>
      </c>
      <c r="D121" s="15">
        <v>6000</v>
      </c>
      <c r="E121" s="14" t="s">
        <v>43</v>
      </c>
      <c r="F121">
        <v>1500</v>
      </c>
      <c r="G121" t="s">
        <v>42</v>
      </c>
      <c r="H121">
        <v>1.5</v>
      </c>
    </row>
    <row r="122" spans="2:9" x14ac:dyDescent="0.3">
      <c r="B122">
        <v>1</v>
      </c>
      <c r="C122" s="16" t="s">
        <v>41</v>
      </c>
      <c r="D122" s="15">
        <v>2200</v>
      </c>
      <c r="E122" s="14" t="s">
        <v>40</v>
      </c>
      <c r="F122">
        <v>550</v>
      </c>
      <c r="H122">
        <v>0.55000000000000004</v>
      </c>
      <c r="I122" t="s">
        <v>37</v>
      </c>
    </row>
    <row r="123" spans="2:9" x14ac:dyDescent="0.3">
      <c r="B123">
        <v>1</v>
      </c>
      <c r="C123" s="16" t="s">
        <v>39</v>
      </c>
      <c r="D123" s="15">
        <v>2100</v>
      </c>
      <c r="E123" s="14" t="s">
        <v>38</v>
      </c>
      <c r="F123">
        <v>525</v>
      </c>
      <c r="H123">
        <v>0.52500000000000002</v>
      </c>
      <c r="I123" t="s">
        <v>37</v>
      </c>
    </row>
    <row r="124" spans="2:9" x14ac:dyDescent="0.3">
      <c r="B124">
        <v>1</v>
      </c>
      <c r="C124" s="16" t="s">
        <v>36</v>
      </c>
      <c r="D124" s="15">
        <v>1500</v>
      </c>
      <c r="E124" s="14" t="s">
        <v>35</v>
      </c>
      <c r="F124">
        <v>375</v>
      </c>
      <c r="H124">
        <v>0.375</v>
      </c>
    </row>
    <row r="125" spans="2:9" x14ac:dyDescent="0.3">
      <c r="B125">
        <v>1</v>
      </c>
      <c r="C125" s="16" t="s">
        <v>34</v>
      </c>
      <c r="D125" s="15">
        <v>30</v>
      </c>
      <c r="E125" s="14" t="s">
        <v>33</v>
      </c>
      <c r="F125">
        <v>7.5</v>
      </c>
      <c r="H125">
        <v>7.4999999999999997E-3</v>
      </c>
    </row>
    <row r="126" spans="2:9" x14ac:dyDescent="0.3">
      <c r="B126">
        <v>1</v>
      </c>
      <c r="C126" s="16" t="s">
        <v>32</v>
      </c>
      <c r="D126" s="15">
        <v>1000</v>
      </c>
      <c r="E126" s="14" t="s">
        <v>31</v>
      </c>
      <c r="F126">
        <v>250</v>
      </c>
      <c r="H126">
        <v>0.25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F335-B4DD-40DA-8650-7221D791FC5E}">
  <sheetPr>
    <tabColor rgb="FFFFC000"/>
  </sheetPr>
  <dimension ref="A1:P125"/>
  <sheetViews>
    <sheetView topLeftCell="A80" zoomScale="70" zoomScaleNormal="70" workbookViewId="0">
      <selection activeCell="J3" sqref="J3:J98"/>
    </sheetView>
  </sheetViews>
  <sheetFormatPr defaultRowHeight="14.4" x14ac:dyDescent="0.3"/>
  <cols>
    <col min="1" max="2" width="19.33203125" customWidth="1"/>
    <col min="3" max="3" width="9.33203125" customWidth="1"/>
    <col min="4" max="4" width="17.109375" customWidth="1"/>
    <col min="5" max="5" width="11.6640625" customWidth="1"/>
    <col min="6" max="6" width="12" customWidth="1"/>
    <col min="7" max="7" width="12.88671875" customWidth="1"/>
    <col min="8" max="8" width="14.44140625" customWidth="1"/>
    <col min="9" max="9" width="19.44140625" customWidth="1"/>
    <col min="10" max="10" width="16.5546875" customWidth="1"/>
    <col min="11" max="11" width="15.33203125" customWidth="1"/>
    <col min="12" max="12" width="18.33203125" customWidth="1"/>
    <col min="13" max="13" width="17.5546875" customWidth="1"/>
    <col min="14" max="14" width="15.44140625" customWidth="1"/>
    <col min="15" max="15" width="19.33203125" customWidth="1"/>
    <col min="16" max="16" width="18.33203125" customWidth="1"/>
  </cols>
  <sheetData>
    <row r="1" spans="1:16" x14ac:dyDescent="0.3">
      <c r="A1" s="77" t="s">
        <v>184</v>
      </c>
      <c r="B1" s="75" t="s">
        <v>183</v>
      </c>
      <c r="C1" s="1" t="s">
        <v>0</v>
      </c>
      <c r="D1" s="22" t="s">
        <v>203</v>
      </c>
      <c r="E1" s="23" t="s">
        <v>1</v>
      </c>
      <c r="F1" s="52" t="s">
        <v>2</v>
      </c>
      <c r="G1" s="52" t="s">
        <v>3</v>
      </c>
      <c r="H1" s="52" t="s">
        <v>200</v>
      </c>
      <c r="I1" s="22" t="s">
        <v>6</v>
      </c>
      <c r="J1" s="22" t="s">
        <v>7</v>
      </c>
      <c r="K1" s="52" t="s">
        <v>201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191</v>
      </c>
    </row>
    <row r="2" spans="1:16" x14ac:dyDescent="0.3">
      <c r="A2" s="78"/>
      <c r="B2" s="76"/>
      <c r="C2" s="2" t="s">
        <v>4</v>
      </c>
      <c r="D2" s="2" t="s">
        <v>309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>
        <v>10</v>
      </c>
      <c r="K2" s="53" t="s">
        <v>202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</row>
    <row r="3" spans="1:16" x14ac:dyDescent="0.3">
      <c r="A3" s="47">
        <f>DATE(2026,10,14)</f>
        <v>46309</v>
      </c>
      <c r="B3" s="49">
        <f>TIME(0,0,0)</f>
        <v>0</v>
      </c>
      <c r="C3" s="42">
        <f>'Říjen vík data'!V2+P3</f>
        <v>4.4749999999999998E-2</v>
      </c>
      <c r="D3" s="42">
        <f>MIN(C3, E3)</f>
        <v>0</v>
      </c>
      <c r="E3">
        <f>ROUND(MAX(0, 9 * EXP(-((HOUR(B3)+MINUTE(B3)/60 - 12.75)^2) / 6.5) * 0.25), 3)</f>
        <v>0</v>
      </c>
      <c r="F3" s="42">
        <f>MAX(0, C3 - D3 - H3 )</f>
        <v>0</v>
      </c>
      <c r="G3" s="42">
        <f>MAX(0, E3 - D3 - M3)</f>
        <v>0</v>
      </c>
      <c r="H3" s="42">
        <f>MAX(0, MIN(C3 - D3, N3 ))</f>
        <v>4.4749999999999998E-2</v>
      </c>
      <c r="I3" s="42">
        <f t="shared" ref="I3:I66" si="0">E3-C3</f>
        <v>-4.4749999999999998E-2</v>
      </c>
      <c r="J3" s="43">
        <f>MIN('Výpočty '!$B$1*0.9, MAX('Výpočty '!$B$1*0.05, J2 + M3 - MIN(O3, MAX(0, J2 - ('Výpočty '!$B$1*0.1))) - P3))</f>
        <v>9.9117499999999996</v>
      </c>
      <c r="K3" s="46">
        <f>J3/'Výpočty '!$B$1</f>
        <v>0.49558749999999996</v>
      </c>
      <c r="L3" s="42">
        <f t="shared" ref="L3:L66" si="1">M3 * Účinnost_cyklu</f>
        <v>0</v>
      </c>
      <c r="M3" s="42">
        <f t="shared" ref="M3:M66" si="2">MIN(MAX(0, I3), MAX(0, Kapacita_baterie * Soc_Max - J2) / Účinnost_cyklu, Stridac_limit)</f>
        <v>0</v>
      </c>
      <c r="N3" s="42">
        <f t="shared" ref="N3:N66" si="3">MAX(0, MIN(J2 - (Kapacita_baterie * Soc_Kriticke), C3 - D3 + P3))</f>
        <v>6.3E-2</v>
      </c>
      <c r="O3" s="42">
        <f>N3 / Účinnost_cyklu</f>
        <v>6.9999999999999993E-2</v>
      </c>
      <c r="P3" s="42">
        <f t="shared" ref="P3:P66" si="4">Vlastní_Spotřeba_kWh</f>
        <v>1.8249999999999999E-2</v>
      </c>
    </row>
    <row r="4" spans="1:16" x14ac:dyDescent="0.3">
      <c r="A4" s="47">
        <f>DATE(2026,10,14)</f>
        <v>46309</v>
      </c>
      <c r="B4" s="49">
        <f>B3+TIME(0,15,0)</f>
        <v>1.0416666666666666E-2</v>
      </c>
      <c r="C4" s="42">
        <f>'Říjen vík data'!V3+P4</f>
        <v>4.0749999999999995E-2</v>
      </c>
      <c r="D4" s="42">
        <f t="shared" ref="D4:D67" si="5">MIN(C4, E4)</f>
        <v>0</v>
      </c>
      <c r="E4">
        <f t="shared" ref="E4:E67" si="6">ROUND(MAX(0, 9 * EXP(-((HOUR(B4)+MINUTE(B4)/60 - 12.75)^2) / 6.5) * 0.25), 3)</f>
        <v>0</v>
      </c>
      <c r="F4" s="42">
        <f t="shared" ref="F4:F67" si="7">MAX(0, C4 - D4 - H4 )</f>
        <v>0</v>
      </c>
      <c r="G4" s="42">
        <f t="shared" ref="G4:G67" si="8">MAX(0, E4 - D4 - M4)</f>
        <v>0</v>
      </c>
      <c r="H4" s="42">
        <f t="shared" ref="H4:H67" si="9">MAX(0, MIN(C4 - D4, N4 ))</f>
        <v>4.0749999999999995E-2</v>
      </c>
      <c r="I4" s="42">
        <f t="shared" si="0"/>
        <v>-4.0749999999999995E-2</v>
      </c>
      <c r="J4" s="43">
        <f>MIN('Výpočty '!$B$1*0.9, MAX('Výpočty '!$B$1*0.05, J3 + M4 - MIN(O4, MAX(0, J3 - ('Výpočty '!$B$1*0.1))) - P4))</f>
        <v>9.8279444444444444</v>
      </c>
      <c r="K4" s="46">
        <f>J4/'Výpočty '!$B$1</f>
        <v>0.49139722222222221</v>
      </c>
      <c r="L4" s="42">
        <f t="shared" si="1"/>
        <v>0</v>
      </c>
      <c r="M4" s="42">
        <f t="shared" si="2"/>
        <v>0</v>
      </c>
      <c r="N4" s="42">
        <f t="shared" si="3"/>
        <v>5.8999999999999997E-2</v>
      </c>
      <c r="O4" s="42">
        <f t="shared" ref="O4:O67" si="10">N4 / Účinnost_cyklu</f>
        <v>6.5555555555555547E-2</v>
      </c>
      <c r="P4" s="42">
        <f t="shared" si="4"/>
        <v>1.8249999999999999E-2</v>
      </c>
    </row>
    <row r="5" spans="1:16" x14ac:dyDescent="0.3">
      <c r="A5" s="47">
        <f t="shared" ref="A5:A68" si="11">DATE(2026,10,14)</f>
        <v>46309</v>
      </c>
      <c r="B5" s="49">
        <f t="shared" ref="B5:B68" si="12">B4+TIME(0,15,0)</f>
        <v>2.0833333333333332E-2</v>
      </c>
      <c r="C5" s="42">
        <f>'Říjen vík data'!V4+P5</f>
        <v>4.0749999999999995E-2</v>
      </c>
      <c r="D5" s="42">
        <f t="shared" si="5"/>
        <v>0</v>
      </c>
      <c r="E5">
        <f t="shared" si="6"/>
        <v>0</v>
      </c>
      <c r="F5" s="42">
        <f t="shared" si="7"/>
        <v>0</v>
      </c>
      <c r="G5" s="42">
        <f t="shared" si="8"/>
        <v>0</v>
      </c>
      <c r="H5" s="42">
        <f t="shared" si="9"/>
        <v>4.0749999999999995E-2</v>
      </c>
      <c r="I5" s="42">
        <f t="shared" si="0"/>
        <v>-4.0749999999999995E-2</v>
      </c>
      <c r="J5" s="43">
        <f>MIN('Výpočty '!$B$1*0.9, MAX('Výpočty '!$B$1*0.05, J4 + M5 - MIN(O5, MAX(0, J4 - ('Výpočty '!$B$1*0.1))) - P5))</f>
        <v>9.7441388888888891</v>
      </c>
      <c r="K5" s="46">
        <f>J5/'Výpočty '!$B$1</f>
        <v>0.48720694444444446</v>
      </c>
      <c r="L5" s="42">
        <f t="shared" si="1"/>
        <v>0</v>
      </c>
      <c r="M5" s="42">
        <f t="shared" si="2"/>
        <v>0</v>
      </c>
      <c r="N5" s="42">
        <f t="shared" si="3"/>
        <v>5.8999999999999997E-2</v>
      </c>
      <c r="O5" s="42">
        <f t="shared" si="10"/>
        <v>6.5555555555555547E-2</v>
      </c>
      <c r="P5" s="42">
        <f t="shared" si="4"/>
        <v>1.8249999999999999E-2</v>
      </c>
    </row>
    <row r="6" spans="1:16" x14ac:dyDescent="0.3">
      <c r="A6" s="47">
        <f t="shared" si="11"/>
        <v>46309</v>
      </c>
      <c r="B6" s="49">
        <f t="shared" si="12"/>
        <v>3.125E-2</v>
      </c>
      <c r="C6" s="42">
        <f>'Říjen vík data'!V5+P6</f>
        <v>4.0749999999999995E-2</v>
      </c>
      <c r="D6" s="42">
        <f t="shared" si="5"/>
        <v>0</v>
      </c>
      <c r="E6">
        <f t="shared" si="6"/>
        <v>0</v>
      </c>
      <c r="F6" s="42">
        <f t="shared" si="7"/>
        <v>0</v>
      </c>
      <c r="G6" s="42">
        <f t="shared" si="8"/>
        <v>0</v>
      </c>
      <c r="H6" s="42">
        <f t="shared" si="9"/>
        <v>4.0749999999999995E-2</v>
      </c>
      <c r="I6" s="42">
        <f t="shared" si="0"/>
        <v>-4.0749999999999995E-2</v>
      </c>
      <c r="J6" s="43">
        <f>MIN('Výpočty '!$B$1*0.9, MAX('Výpočty '!$B$1*0.05, J5 + M6 - MIN(O6, MAX(0, J5 - ('Výpočty '!$B$1*0.1))) - P6))</f>
        <v>9.6603333333333339</v>
      </c>
      <c r="K6" s="46">
        <f>J6/'Výpočty '!$B$1</f>
        <v>0.48301666666666671</v>
      </c>
      <c r="L6" s="42">
        <f t="shared" si="1"/>
        <v>0</v>
      </c>
      <c r="M6" s="42">
        <f t="shared" si="2"/>
        <v>0</v>
      </c>
      <c r="N6" s="42">
        <f t="shared" si="3"/>
        <v>5.8999999999999997E-2</v>
      </c>
      <c r="O6" s="42">
        <f t="shared" si="10"/>
        <v>6.5555555555555547E-2</v>
      </c>
      <c r="P6" s="42">
        <f t="shared" si="4"/>
        <v>1.8249999999999999E-2</v>
      </c>
    </row>
    <row r="7" spans="1:16" x14ac:dyDescent="0.3">
      <c r="A7" s="47">
        <f t="shared" si="11"/>
        <v>46309</v>
      </c>
      <c r="B7" s="49">
        <f t="shared" si="12"/>
        <v>4.1666666666666664E-2</v>
      </c>
      <c r="C7" s="42">
        <f>'Říjen vík data'!V6+P7</f>
        <v>4.0749999999999995E-2</v>
      </c>
      <c r="D7" s="42">
        <f t="shared" si="5"/>
        <v>0</v>
      </c>
      <c r="E7">
        <f t="shared" si="6"/>
        <v>0</v>
      </c>
      <c r="F7" s="42">
        <f t="shared" si="7"/>
        <v>0</v>
      </c>
      <c r="G7" s="42">
        <f t="shared" si="8"/>
        <v>0</v>
      </c>
      <c r="H7" s="42">
        <f t="shared" si="9"/>
        <v>4.0749999999999995E-2</v>
      </c>
      <c r="I7" s="42">
        <f t="shared" si="0"/>
        <v>-4.0749999999999995E-2</v>
      </c>
      <c r="J7" s="43">
        <f>MIN('Výpočty '!$B$1*0.9, MAX('Výpočty '!$B$1*0.05, J6 + M7 - MIN(O7, MAX(0, J6 - ('Výpočty '!$B$1*0.1))) - P7))</f>
        <v>9.5765277777777786</v>
      </c>
      <c r="K7" s="46">
        <f>J7/'Výpočty '!$B$1</f>
        <v>0.47882638888888895</v>
      </c>
      <c r="L7" s="42">
        <f t="shared" si="1"/>
        <v>0</v>
      </c>
      <c r="M7" s="42">
        <f t="shared" si="2"/>
        <v>0</v>
      </c>
      <c r="N7" s="42">
        <f t="shared" si="3"/>
        <v>5.8999999999999997E-2</v>
      </c>
      <c r="O7" s="42">
        <f t="shared" si="10"/>
        <v>6.5555555555555547E-2</v>
      </c>
      <c r="P7" s="42">
        <f t="shared" si="4"/>
        <v>1.8249999999999999E-2</v>
      </c>
    </row>
    <row r="8" spans="1:16" x14ac:dyDescent="0.3">
      <c r="A8" s="47">
        <f t="shared" si="11"/>
        <v>46309</v>
      </c>
      <c r="B8" s="49">
        <f t="shared" si="12"/>
        <v>5.2083333333333329E-2</v>
      </c>
      <c r="C8" s="42">
        <f>'Říjen vík data'!V7+P8</f>
        <v>4.0749999999999995E-2</v>
      </c>
      <c r="D8" s="42">
        <f t="shared" si="5"/>
        <v>0</v>
      </c>
      <c r="E8">
        <f t="shared" si="6"/>
        <v>0</v>
      </c>
      <c r="F8" s="42">
        <f t="shared" si="7"/>
        <v>0</v>
      </c>
      <c r="G8" s="42">
        <f t="shared" si="8"/>
        <v>0</v>
      </c>
      <c r="H8" s="42">
        <f t="shared" si="9"/>
        <v>4.0749999999999995E-2</v>
      </c>
      <c r="I8" s="42">
        <f t="shared" si="0"/>
        <v>-4.0749999999999995E-2</v>
      </c>
      <c r="J8" s="43">
        <f>MIN('Výpočty '!$B$1*0.9, MAX('Výpočty '!$B$1*0.05, J7 + M8 - MIN(O8, MAX(0, J7 - ('Výpočty '!$B$1*0.1))) - P8))</f>
        <v>9.4927222222222234</v>
      </c>
      <c r="K8" s="46">
        <f>J8/'Výpočty '!$B$1</f>
        <v>0.47463611111111115</v>
      </c>
      <c r="L8" s="42">
        <f t="shared" si="1"/>
        <v>0</v>
      </c>
      <c r="M8" s="42">
        <f t="shared" si="2"/>
        <v>0</v>
      </c>
      <c r="N8" s="42">
        <f t="shared" si="3"/>
        <v>5.8999999999999997E-2</v>
      </c>
      <c r="O8" s="42">
        <f t="shared" si="10"/>
        <v>6.5555555555555547E-2</v>
      </c>
      <c r="P8" s="42">
        <f t="shared" si="4"/>
        <v>1.8249999999999999E-2</v>
      </c>
    </row>
    <row r="9" spans="1:16" x14ac:dyDescent="0.3">
      <c r="A9" s="47">
        <f t="shared" si="11"/>
        <v>46309</v>
      </c>
      <c r="B9" s="49">
        <f t="shared" si="12"/>
        <v>6.2499999999999993E-2</v>
      </c>
      <c r="C9" s="42">
        <f>'Říjen vík data'!V8+P9</f>
        <v>4.0749999999999995E-2</v>
      </c>
      <c r="D9" s="42">
        <f t="shared" si="5"/>
        <v>0</v>
      </c>
      <c r="E9">
        <f t="shared" si="6"/>
        <v>0</v>
      </c>
      <c r="F9" s="42">
        <f t="shared" si="7"/>
        <v>0</v>
      </c>
      <c r="G9" s="42">
        <f t="shared" si="8"/>
        <v>0</v>
      </c>
      <c r="H9" s="42">
        <f t="shared" si="9"/>
        <v>4.0749999999999995E-2</v>
      </c>
      <c r="I9" s="42">
        <f t="shared" si="0"/>
        <v>-4.0749999999999995E-2</v>
      </c>
      <c r="J9" s="43">
        <f>MIN('Výpočty '!$B$1*0.9, MAX('Výpočty '!$B$1*0.05, J8 + M9 - MIN(O9, MAX(0, J8 - ('Výpočty '!$B$1*0.1))) - P9))</f>
        <v>9.4089166666666681</v>
      </c>
      <c r="K9" s="46">
        <f>J9/'Výpočty '!$B$1</f>
        <v>0.4704458333333334</v>
      </c>
      <c r="L9" s="42">
        <f t="shared" si="1"/>
        <v>0</v>
      </c>
      <c r="M9" s="42">
        <f t="shared" si="2"/>
        <v>0</v>
      </c>
      <c r="N9" s="42">
        <f t="shared" si="3"/>
        <v>5.8999999999999997E-2</v>
      </c>
      <c r="O9" s="42">
        <f t="shared" si="10"/>
        <v>6.5555555555555547E-2</v>
      </c>
      <c r="P9" s="42">
        <f t="shared" si="4"/>
        <v>1.8249999999999999E-2</v>
      </c>
    </row>
    <row r="10" spans="1:16" x14ac:dyDescent="0.3">
      <c r="A10" s="47">
        <f t="shared" si="11"/>
        <v>46309</v>
      </c>
      <c r="B10" s="49">
        <f t="shared" si="12"/>
        <v>7.2916666666666657E-2</v>
      </c>
      <c r="C10" s="42">
        <f>'Říjen vík data'!V9+P10</f>
        <v>4.0749999999999995E-2</v>
      </c>
      <c r="D10" s="42">
        <f t="shared" si="5"/>
        <v>0</v>
      </c>
      <c r="E10">
        <f t="shared" si="6"/>
        <v>0</v>
      </c>
      <c r="F10" s="42">
        <f t="shared" si="7"/>
        <v>0</v>
      </c>
      <c r="G10" s="42">
        <f t="shared" si="8"/>
        <v>0</v>
      </c>
      <c r="H10" s="42">
        <f t="shared" si="9"/>
        <v>4.0749999999999995E-2</v>
      </c>
      <c r="I10" s="42">
        <f t="shared" si="0"/>
        <v>-4.0749999999999995E-2</v>
      </c>
      <c r="J10" s="43">
        <f>MIN('Výpočty '!$B$1*0.9, MAX('Výpočty '!$B$1*0.05, J9 + M10 - MIN(O10, MAX(0, J9 - ('Výpočty '!$B$1*0.1))) - P10))</f>
        <v>9.3251111111111129</v>
      </c>
      <c r="K10" s="46">
        <f>J10/'Výpočty '!$B$1</f>
        <v>0.46625555555555565</v>
      </c>
      <c r="L10" s="42">
        <f t="shared" si="1"/>
        <v>0</v>
      </c>
      <c r="M10" s="42">
        <f t="shared" si="2"/>
        <v>0</v>
      </c>
      <c r="N10" s="42">
        <f t="shared" si="3"/>
        <v>5.8999999999999997E-2</v>
      </c>
      <c r="O10" s="42">
        <f t="shared" si="10"/>
        <v>6.5555555555555547E-2</v>
      </c>
      <c r="P10" s="42">
        <f t="shared" si="4"/>
        <v>1.8249999999999999E-2</v>
      </c>
    </row>
    <row r="11" spans="1:16" x14ac:dyDescent="0.3">
      <c r="A11" s="47">
        <f t="shared" si="11"/>
        <v>46309</v>
      </c>
      <c r="B11" s="49">
        <f t="shared" si="12"/>
        <v>8.3333333333333329E-2</v>
      </c>
      <c r="C11" s="42">
        <f>'Říjen vík data'!V10+P11</f>
        <v>4.0749999999999995E-2</v>
      </c>
      <c r="D11" s="42">
        <f t="shared" si="5"/>
        <v>0</v>
      </c>
      <c r="E11">
        <f t="shared" si="6"/>
        <v>0</v>
      </c>
      <c r="F11" s="42">
        <f t="shared" si="7"/>
        <v>0</v>
      </c>
      <c r="G11" s="42">
        <f t="shared" si="8"/>
        <v>0</v>
      </c>
      <c r="H11" s="42">
        <f t="shared" si="9"/>
        <v>4.0749999999999995E-2</v>
      </c>
      <c r="I11" s="42">
        <f t="shared" si="0"/>
        <v>-4.0749999999999995E-2</v>
      </c>
      <c r="J11" s="43">
        <f>MIN('Výpočty '!$B$1*0.9, MAX('Výpočty '!$B$1*0.05, J10 + M11 - MIN(O11, MAX(0, J10 - ('Výpočty '!$B$1*0.1))) - P11))</f>
        <v>9.2413055555555577</v>
      </c>
      <c r="K11" s="46">
        <f>J11/'Výpočty '!$B$1</f>
        <v>0.46206527777777789</v>
      </c>
      <c r="L11" s="42">
        <f t="shared" si="1"/>
        <v>0</v>
      </c>
      <c r="M11" s="42">
        <f t="shared" si="2"/>
        <v>0</v>
      </c>
      <c r="N11" s="42">
        <f t="shared" si="3"/>
        <v>5.8999999999999997E-2</v>
      </c>
      <c r="O11" s="42">
        <f t="shared" si="10"/>
        <v>6.5555555555555547E-2</v>
      </c>
      <c r="P11" s="42">
        <f t="shared" si="4"/>
        <v>1.8249999999999999E-2</v>
      </c>
    </row>
    <row r="12" spans="1:16" x14ac:dyDescent="0.3">
      <c r="A12" s="47">
        <f t="shared" si="11"/>
        <v>46309</v>
      </c>
      <c r="B12" s="49">
        <f t="shared" si="12"/>
        <v>9.375E-2</v>
      </c>
      <c r="C12" s="42">
        <f>'Říjen vík data'!V11+P12</f>
        <v>2.5749999999999999E-2</v>
      </c>
      <c r="D12" s="42">
        <f t="shared" si="5"/>
        <v>0</v>
      </c>
      <c r="E12">
        <f t="shared" si="6"/>
        <v>0</v>
      </c>
      <c r="F12" s="42">
        <f t="shared" si="7"/>
        <v>0</v>
      </c>
      <c r="G12" s="42">
        <f t="shared" si="8"/>
        <v>0</v>
      </c>
      <c r="H12" s="42">
        <f t="shared" si="9"/>
        <v>2.5749999999999999E-2</v>
      </c>
      <c r="I12" s="42">
        <f t="shared" si="0"/>
        <v>-2.5749999999999999E-2</v>
      </c>
      <c r="J12" s="43">
        <f>MIN('Výpočty '!$B$1*0.9, MAX('Výpočty '!$B$1*0.05, J11 + M12 - MIN(O12, MAX(0, J11 - ('Výpočty '!$B$1*0.1))) - P12))</f>
        <v>9.1741666666666681</v>
      </c>
      <c r="K12" s="46">
        <f>J12/'Výpočty '!$B$1</f>
        <v>0.45870833333333338</v>
      </c>
      <c r="L12" s="42">
        <f t="shared" si="1"/>
        <v>0</v>
      </c>
      <c r="M12" s="42">
        <f t="shared" si="2"/>
        <v>0</v>
      </c>
      <c r="N12" s="42">
        <f t="shared" si="3"/>
        <v>4.3999999999999997E-2</v>
      </c>
      <c r="O12" s="42">
        <f t="shared" si="10"/>
        <v>4.8888888888888885E-2</v>
      </c>
      <c r="P12" s="42">
        <f t="shared" si="4"/>
        <v>1.8249999999999999E-2</v>
      </c>
    </row>
    <row r="13" spans="1:16" x14ac:dyDescent="0.3">
      <c r="A13" s="47">
        <f t="shared" si="11"/>
        <v>46309</v>
      </c>
      <c r="B13" s="49">
        <f t="shared" si="12"/>
        <v>0.10416666666666667</v>
      </c>
      <c r="C13" s="42">
        <f>'Říjen vík data'!V12+P13</f>
        <v>2.5749999999999999E-2</v>
      </c>
      <c r="D13" s="42">
        <f t="shared" si="5"/>
        <v>0</v>
      </c>
      <c r="E13">
        <f t="shared" si="6"/>
        <v>0</v>
      </c>
      <c r="F13" s="42">
        <f t="shared" si="7"/>
        <v>0</v>
      </c>
      <c r="G13" s="42">
        <f t="shared" si="8"/>
        <v>0</v>
      </c>
      <c r="H13" s="42">
        <f t="shared" si="9"/>
        <v>2.5749999999999999E-2</v>
      </c>
      <c r="I13" s="42">
        <f t="shared" si="0"/>
        <v>-2.5749999999999999E-2</v>
      </c>
      <c r="J13" s="43">
        <f>MIN('Výpočty '!$B$1*0.9, MAX('Výpočty '!$B$1*0.05, J12 + M13 - MIN(O13, MAX(0, J12 - ('Výpočty '!$B$1*0.1))) - P13))</f>
        <v>9.1070277777777786</v>
      </c>
      <c r="K13" s="46">
        <f>J13/'Výpočty '!$B$1</f>
        <v>0.45535138888888893</v>
      </c>
      <c r="L13" s="42">
        <f t="shared" si="1"/>
        <v>0</v>
      </c>
      <c r="M13" s="42">
        <f t="shared" si="2"/>
        <v>0</v>
      </c>
      <c r="N13" s="42">
        <f t="shared" si="3"/>
        <v>4.3999999999999997E-2</v>
      </c>
      <c r="O13" s="42">
        <f t="shared" si="10"/>
        <v>4.8888888888888885E-2</v>
      </c>
      <c r="P13" s="42">
        <f t="shared" si="4"/>
        <v>1.8249999999999999E-2</v>
      </c>
    </row>
    <row r="14" spans="1:16" x14ac:dyDescent="0.3">
      <c r="A14" s="47">
        <f t="shared" si="11"/>
        <v>46309</v>
      </c>
      <c r="B14" s="49">
        <f t="shared" si="12"/>
        <v>0.11458333333333334</v>
      </c>
      <c r="C14" s="42">
        <f>'Říjen vík data'!V13+P14</f>
        <v>2.5749999999999999E-2</v>
      </c>
      <c r="D14" s="42">
        <f t="shared" si="5"/>
        <v>0</v>
      </c>
      <c r="E14">
        <f t="shared" si="6"/>
        <v>0</v>
      </c>
      <c r="F14" s="42">
        <f t="shared" si="7"/>
        <v>0</v>
      </c>
      <c r="G14" s="42">
        <f t="shared" si="8"/>
        <v>0</v>
      </c>
      <c r="H14" s="42">
        <f t="shared" si="9"/>
        <v>2.5749999999999999E-2</v>
      </c>
      <c r="I14" s="42">
        <f t="shared" si="0"/>
        <v>-2.5749999999999999E-2</v>
      </c>
      <c r="J14" s="43">
        <f>MIN('Výpočty '!$B$1*0.9, MAX('Výpočty '!$B$1*0.05, J13 + M14 - MIN(O14, MAX(0, J13 - ('Výpočty '!$B$1*0.1))) - P14))</f>
        <v>9.0398888888888891</v>
      </c>
      <c r="K14" s="46">
        <f>J14/'Výpočty '!$B$1</f>
        <v>0.45199444444444448</v>
      </c>
      <c r="L14" s="42">
        <f t="shared" si="1"/>
        <v>0</v>
      </c>
      <c r="M14" s="42">
        <f t="shared" si="2"/>
        <v>0</v>
      </c>
      <c r="N14" s="42">
        <f t="shared" si="3"/>
        <v>4.3999999999999997E-2</v>
      </c>
      <c r="O14" s="42">
        <f t="shared" si="10"/>
        <v>4.8888888888888885E-2</v>
      </c>
      <c r="P14" s="42">
        <f t="shared" si="4"/>
        <v>1.8249999999999999E-2</v>
      </c>
    </row>
    <row r="15" spans="1:16" x14ac:dyDescent="0.3">
      <c r="A15" s="47">
        <f t="shared" si="11"/>
        <v>46309</v>
      </c>
      <c r="B15" s="49">
        <f t="shared" si="12"/>
        <v>0.125</v>
      </c>
      <c r="C15" s="42">
        <f>'Říjen vík data'!V14+P15</f>
        <v>2.5749999999999999E-2</v>
      </c>
      <c r="D15" s="42">
        <f t="shared" si="5"/>
        <v>0</v>
      </c>
      <c r="E15">
        <f t="shared" si="6"/>
        <v>0</v>
      </c>
      <c r="F15" s="42">
        <f t="shared" si="7"/>
        <v>0</v>
      </c>
      <c r="G15" s="42">
        <f t="shared" si="8"/>
        <v>0</v>
      </c>
      <c r="H15" s="42">
        <f t="shared" si="9"/>
        <v>2.5749999999999999E-2</v>
      </c>
      <c r="I15" s="42">
        <f t="shared" si="0"/>
        <v>-2.5749999999999999E-2</v>
      </c>
      <c r="J15" s="43">
        <f>MIN('Výpočty '!$B$1*0.9, MAX('Výpočty '!$B$1*0.05, J14 + M15 - MIN(O15, MAX(0, J14 - ('Výpočty '!$B$1*0.1))) - P15))</f>
        <v>8.9727499999999996</v>
      </c>
      <c r="K15" s="46">
        <f>J15/'Výpočty '!$B$1</f>
        <v>0.44863749999999997</v>
      </c>
      <c r="L15" s="42">
        <f t="shared" si="1"/>
        <v>0</v>
      </c>
      <c r="M15" s="42">
        <f t="shared" si="2"/>
        <v>0</v>
      </c>
      <c r="N15" s="42">
        <f t="shared" si="3"/>
        <v>4.3999999999999997E-2</v>
      </c>
      <c r="O15" s="42">
        <f t="shared" si="10"/>
        <v>4.8888888888888885E-2</v>
      </c>
      <c r="P15" s="42">
        <f t="shared" si="4"/>
        <v>1.8249999999999999E-2</v>
      </c>
    </row>
    <row r="16" spans="1:16" x14ac:dyDescent="0.3">
      <c r="A16" s="47">
        <f t="shared" si="11"/>
        <v>46309</v>
      </c>
      <c r="B16" s="49">
        <f t="shared" si="12"/>
        <v>0.13541666666666666</v>
      </c>
      <c r="C16" s="42">
        <f>'Říjen vík data'!V15+P16</f>
        <v>2.5749999999999999E-2</v>
      </c>
      <c r="D16" s="42">
        <f t="shared" si="5"/>
        <v>0</v>
      </c>
      <c r="E16">
        <f t="shared" si="6"/>
        <v>0</v>
      </c>
      <c r="F16" s="42">
        <f t="shared" si="7"/>
        <v>0</v>
      </c>
      <c r="G16" s="42">
        <f t="shared" si="8"/>
        <v>0</v>
      </c>
      <c r="H16" s="42">
        <f t="shared" si="9"/>
        <v>2.5749999999999999E-2</v>
      </c>
      <c r="I16" s="42">
        <f t="shared" si="0"/>
        <v>-2.5749999999999999E-2</v>
      </c>
      <c r="J16" s="43">
        <f>MIN('Výpočty '!$B$1*0.9, MAX('Výpočty '!$B$1*0.05, J15 + M16 - MIN(O16, MAX(0, J15 - ('Výpočty '!$B$1*0.1))) - P16))</f>
        <v>8.90561111111111</v>
      </c>
      <c r="K16" s="46">
        <f>J16/'Výpočty '!$B$1</f>
        <v>0.44528055555555551</v>
      </c>
      <c r="L16" s="42">
        <f t="shared" si="1"/>
        <v>0</v>
      </c>
      <c r="M16" s="42">
        <f t="shared" si="2"/>
        <v>0</v>
      </c>
      <c r="N16" s="42">
        <f t="shared" si="3"/>
        <v>4.3999999999999997E-2</v>
      </c>
      <c r="O16" s="42">
        <f t="shared" si="10"/>
        <v>4.8888888888888885E-2</v>
      </c>
      <c r="P16" s="42">
        <f t="shared" si="4"/>
        <v>1.8249999999999999E-2</v>
      </c>
    </row>
    <row r="17" spans="1:16" x14ac:dyDescent="0.3">
      <c r="A17" s="47">
        <f t="shared" si="11"/>
        <v>46309</v>
      </c>
      <c r="B17" s="49">
        <f t="shared" si="12"/>
        <v>0.14583333333333331</v>
      </c>
      <c r="C17" s="42">
        <f>'Říjen vík data'!V16+P17</f>
        <v>2.5749999999999999E-2</v>
      </c>
      <c r="D17" s="42">
        <f t="shared" si="5"/>
        <v>0</v>
      </c>
      <c r="E17">
        <f t="shared" si="6"/>
        <v>0</v>
      </c>
      <c r="F17" s="42">
        <f t="shared" si="7"/>
        <v>0</v>
      </c>
      <c r="G17" s="42">
        <f t="shared" si="8"/>
        <v>0</v>
      </c>
      <c r="H17" s="42">
        <f t="shared" si="9"/>
        <v>2.5749999999999999E-2</v>
      </c>
      <c r="I17" s="42">
        <f t="shared" si="0"/>
        <v>-2.5749999999999999E-2</v>
      </c>
      <c r="J17" s="43">
        <f>MIN('Výpočty '!$B$1*0.9, MAX('Výpočty '!$B$1*0.05, J16 + M17 - MIN(O17, MAX(0, J16 - ('Výpočty '!$B$1*0.1))) - P17))</f>
        <v>8.8384722222222205</v>
      </c>
      <c r="K17" s="46">
        <f>J17/'Výpočty '!$B$1</f>
        <v>0.441923611111111</v>
      </c>
      <c r="L17" s="42">
        <f t="shared" si="1"/>
        <v>0</v>
      </c>
      <c r="M17" s="42">
        <f t="shared" si="2"/>
        <v>0</v>
      </c>
      <c r="N17" s="42">
        <f t="shared" si="3"/>
        <v>4.3999999999999997E-2</v>
      </c>
      <c r="O17" s="42">
        <f t="shared" si="10"/>
        <v>4.8888888888888885E-2</v>
      </c>
      <c r="P17" s="42">
        <f t="shared" si="4"/>
        <v>1.8249999999999999E-2</v>
      </c>
    </row>
    <row r="18" spans="1:16" x14ac:dyDescent="0.3">
      <c r="A18" s="47">
        <f t="shared" si="11"/>
        <v>46309</v>
      </c>
      <c r="B18" s="49">
        <f t="shared" si="12"/>
        <v>0.15624999999999997</v>
      </c>
      <c r="C18" s="42">
        <f>'Říjen vík data'!V17+P18</f>
        <v>2.5749999999999999E-2</v>
      </c>
      <c r="D18" s="42">
        <f t="shared" si="5"/>
        <v>0</v>
      </c>
      <c r="E18">
        <f t="shared" si="6"/>
        <v>0</v>
      </c>
      <c r="F18" s="42">
        <f t="shared" si="7"/>
        <v>0</v>
      </c>
      <c r="G18" s="42">
        <f t="shared" si="8"/>
        <v>0</v>
      </c>
      <c r="H18" s="42">
        <f t="shared" si="9"/>
        <v>2.5749999999999999E-2</v>
      </c>
      <c r="I18" s="42">
        <f t="shared" si="0"/>
        <v>-2.5749999999999999E-2</v>
      </c>
      <c r="J18" s="43">
        <f>MIN('Výpočty '!$B$1*0.9, MAX('Výpočty '!$B$1*0.05, J17 + M18 - MIN(O18, MAX(0, J17 - ('Výpočty '!$B$1*0.1))) - P18))</f>
        <v>8.771333333333331</v>
      </c>
      <c r="K18" s="46">
        <f>J18/'Výpočty '!$B$1</f>
        <v>0.43856666666666655</v>
      </c>
      <c r="L18" s="42">
        <f t="shared" si="1"/>
        <v>0</v>
      </c>
      <c r="M18" s="42">
        <f t="shared" si="2"/>
        <v>0</v>
      </c>
      <c r="N18" s="42">
        <f t="shared" si="3"/>
        <v>4.3999999999999997E-2</v>
      </c>
      <c r="O18" s="42">
        <f t="shared" si="10"/>
        <v>4.8888888888888885E-2</v>
      </c>
      <c r="P18" s="42">
        <f t="shared" si="4"/>
        <v>1.8249999999999999E-2</v>
      </c>
    </row>
    <row r="19" spans="1:16" x14ac:dyDescent="0.3">
      <c r="A19" s="47">
        <f t="shared" si="11"/>
        <v>46309</v>
      </c>
      <c r="B19" s="49">
        <f t="shared" si="12"/>
        <v>0.16666666666666663</v>
      </c>
      <c r="C19" s="42">
        <f>'Říjen vík data'!V18+P19</f>
        <v>2.5749999999999999E-2</v>
      </c>
      <c r="D19" s="42">
        <f t="shared" si="5"/>
        <v>0</v>
      </c>
      <c r="E19">
        <f t="shared" si="6"/>
        <v>0</v>
      </c>
      <c r="F19" s="42">
        <f t="shared" si="7"/>
        <v>0</v>
      </c>
      <c r="G19" s="42">
        <f t="shared" si="8"/>
        <v>0</v>
      </c>
      <c r="H19" s="42">
        <f t="shared" si="9"/>
        <v>2.5749999999999999E-2</v>
      </c>
      <c r="I19" s="42">
        <f t="shared" si="0"/>
        <v>-2.5749999999999999E-2</v>
      </c>
      <c r="J19" s="43">
        <f>MIN('Výpočty '!$B$1*0.9, MAX('Výpočty '!$B$1*0.05, J18 + M19 - MIN(O19, MAX(0, J18 - ('Výpočty '!$B$1*0.1))) - P19))</f>
        <v>8.7041944444444415</v>
      </c>
      <c r="K19" s="46">
        <f>J19/'Výpočty '!$B$1</f>
        <v>0.4352097222222221</v>
      </c>
      <c r="L19" s="42">
        <f t="shared" si="1"/>
        <v>0</v>
      </c>
      <c r="M19" s="42">
        <f t="shared" si="2"/>
        <v>0</v>
      </c>
      <c r="N19" s="42">
        <f t="shared" si="3"/>
        <v>4.3999999999999997E-2</v>
      </c>
      <c r="O19" s="42">
        <f t="shared" si="10"/>
        <v>4.8888888888888885E-2</v>
      </c>
      <c r="P19" s="42">
        <f t="shared" si="4"/>
        <v>1.8249999999999999E-2</v>
      </c>
    </row>
    <row r="20" spans="1:16" x14ac:dyDescent="0.3">
      <c r="A20" s="47">
        <f t="shared" si="11"/>
        <v>46309</v>
      </c>
      <c r="B20" s="49">
        <f t="shared" si="12"/>
        <v>0.17708333333333329</v>
      </c>
      <c r="C20" s="42">
        <f>'Říjen vík data'!V19+P20</f>
        <v>2.5749999999999999E-2</v>
      </c>
      <c r="D20" s="42">
        <f t="shared" si="5"/>
        <v>0</v>
      </c>
      <c r="E20">
        <f t="shared" si="6"/>
        <v>0</v>
      </c>
      <c r="F20" s="42">
        <f t="shared" si="7"/>
        <v>0</v>
      </c>
      <c r="G20" s="42">
        <f t="shared" si="8"/>
        <v>0</v>
      </c>
      <c r="H20" s="42">
        <f t="shared" si="9"/>
        <v>2.5749999999999999E-2</v>
      </c>
      <c r="I20" s="42">
        <f t="shared" si="0"/>
        <v>-2.5749999999999999E-2</v>
      </c>
      <c r="J20" s="43">
        <f>MIN('Výpočty '!$B$1*0.9, MAX('Výpočty '!$B$1*0.05, J19 + M20 - MIN(O20, MAX(0, J19 - ('Výpočty '!$B$1*0.1))) - P20))</f>
        <v>8.6370555555555519</v>
      </c>
      <c r="K20" s="46">
        <f>J20/'Výpočty '!$B$1</f>
        <v>0.43185277777777759</v>
      </c>
      <c r="L20" s="42">
        <f t="shared" si="1"/>
        <v>0</v>
      </c>
      <c r="M20" s="42">
        <f t="shared" si="2"/>
        <v>0</v>
      </c>
      <c r="N20" s="42">
        <f t="shared" si="3"/>
        <v>4.3999999999999997E-2</v>
      </c>
      <c r="O20" s="42">
        <f t="shared" si="10"/>
        <v>4.8888888888888885E-2</v>
      </c>
      <c r="P20" s="42">
        <f t="shared" si="4"/>
        <v>1.8249999999999999E-2</v>
      </c>
    </row>
    <row r="21" spans="1:16" x14ac:dyDescent="0.3">
      <c r="A21" s="47">
        <f t="shared" si="11"/>
        <v>46309</v>
      </c>
      <c r="B21" s="49">
        <f t="shared" si="12"/>
        <v>0.18749999999999994</v>
      </c>
      <c r="C21" s="42">
        <f>'Říjen vík data'!V20+P21</f>
        <v>2.5749999999999999E-2</v>
      </c>
      <c r="D21" s="42">
        <f t="shared" si="5"/>
        <v>0</v>
      </c>
      <c r="E21">
        <f t="shared" si="6"/>
        <v>0</v>
      </c>
      <c r="F21" s="42">
        <f t="shared" si="7"/>
        <v>0</v>
      </c>
      <c r="G21" s="42">
        <f t="shared" si="8"/>
        <v>0</v>
      </c>
      <c r="H21" s="42">
        <f t="shared" si="9"/>
        <v>2.5749999999999999E-2</v>
      </c>
      <c r="I21" s="42">
        <f t="shared" si="0"/>
        <v>-2.5749999999999999E-2</v>
      </c>
      <c r="J21" s="43">
        <f>MIN('Výpočty '!$B$1*0.9, MAX('Výpočty '!$B$1*0.05, J20 + M21 - MIN(O21, MAX(0, J20 - ('Výpočty '!$B$1*0.1))) - P21))</f>
        <v>8.5699166666666624</v>
      </c>
      <c r="K21" s="46">
        <f>J21/'Výpočty '!$B$1</f>
        <v>0.42849583333333313</v>
      </c>
      <c r="L21" s="42">
        <f t="shared" si="1"/>
        <v>0</v>
      </c>
      <c r="M21" s="42">
        <f t="shared" si="2"/>
        <v>0</v>
      </c>
      <c r="N21" s="42">
        <f t="shared" si="3"/>
        <v>4.3999999999999997E-2</v>
      </c>
      <c r="O21" s="42">
        <f t="shared" si="10"/>
        <v>4.8888888888888885E-2</v>
      </c>
      <c r="P21" s="42">
        <f t="shared" si="4"/>
        <v>1.8249999999999999E-2</v>
      </c>
    </row>
    <row r="22" spans="1:16" x14ac:dyDescent="0.3">
      <c r="A22" s="47">
        <f t="shared" si="11"/>
        <v>46309</v>
      </c>
      <c r="B22" s="49">
        <f t="shared" si="12"/>
        <v>0.1979166666666666</v>
      </c>
      <c r="C22" s="42">
        <f>'Říjen vík data'!V21+P22</f>
        <v>2.5749999999999999E-2</v>
      </c>
      <c r="D22" s="42">
        <f t="shared" si="5"/>
        <v>0</v>
      </c>
      <c r="E22">
        <f t="shared" si="6"/>
        <v>0</v>
      </c>
      <c r="F22" s="42">
        <f t="shared" si="7"/>
        <v>0</v>
      </c>
      <c r="G22" s="42">
        <f t="shared" si="8"/>
        <v>0</v>
      </c>
      <c r="H22" s="42">
        <f t="shared" si="9"/>
        <v>2.5749999999999999E-2</v>
      </c>
      <c r="I22" s="42">
        <f t="shared" si="0"/>
        <v>-2.5749999999999999E-2</v>
      </c>
      <c r="J22" s="43">
        <f>MIN('Výpočty '!$B$1*0.9, MAX('Výpočty '!$B$1*0.05, J21 + M22 - MIN(O22, MAX(0, J21 - ('Výpočty '!$B$1*0.1))) - P22))</f>
        <v>8.5027777777777729</v>
      </c>
      <c r="K22" s="46">
        <f>J22/'Výpočty '!$B$1</f>
        <v>0.42513888888888862</v>
      </c>
      <c r="L22" s="42">
        <f t="shared" si="1"/>
        <v>0</v>
      </c>
      <c r="M22" s="42">
        <f t="shared" si="2"/>
        <v>0</v>
      </c>
      <c r="N22" s="42">
        <f t="shared" si="3"/>
        <v>4.3999999999999997E-2</v>
      </c>
      <c r="O22" s="42">
        <f t="shared" si="10"/>
        <v>4.8888888888888885E-2</v>
      </c>
      <c r="P22" s="42">
        <f t="shared" si="4"/>
        <v>1.8249999999999999E-2</v>
      </c>
    </row>
    <row r="23" spans="1:16" x14ac:dyDescent="0.3">
      <c r="A23" s="47">
        <f t="shared" si="11"/>
        <v>46309</v>
      </c>
      <c r="B23" s="49">
        <f t="shared" si="12"/>
        <v>0.20833333333333326</v>
      </c>
      <c r="C23" s="42">
        <f>'Říjen vík data'!V22+P23</f>
        <v>2.5749999999999999E-2</v>
      </c>
      <c r="D23" s="42">
        <f t="shared" si="5"/>
        <v>0</v>
      </c>
      <c r="E23">
        <f t="shared" si="6"/>
        <v>0</v>
      </c>
      <c r="F23" s="42">
        <f t="shared" si="7"/>
        <v>0</v>
      </c>
      <c r="G23" s="42">
        <f t="shared" si="8"/>
        <v>0</v>
      </c>
      <c r="H23" s="42">
        <f t="shared" si="9"/>
        <v>2.5749999999999999E-2</v>
      </c>
      <c r="I23" s="42">
        <f t="shared" si="0"/>
        <v>-2.5749999999999999E-2</v>
      </c>
      <c r="J23" s="43">
        <f>MIN('Výpočty '!$B$1*0.9, MAX('Výpočty '!$B$1*0.05, J22 + M23 - MIN(O23, MAX(0, J22 - ('Výpočty '!$B$1*0.1))) - P23))</f>
        <v>8.4356388888888834</v>
      </c>
      <c r="K23" s="46">
        <f>J23/'Výpočty '!$B$1</f>
        <v>0.42178194444444417</v>
      </c>
      <c r="L23" s="42">
        <f t="shared" si="1"/>
        <v>0</v>
      </c>
      <c r="M23" s="42">
        <f t="shared" si="2"/>
        <v>0</v>
      </c>
      <c r="N23" s="42">
        <f t="shared" si="3"/>
        <v>4.3999999999999997E-2</v>
      </c>
      <c r="O23" s="42">
        <f t="shared" si="10"/>
        <v>4.8888888888888885E-2</v>
      </c>
      <c r="P23" s="42">
        <f t="shared" si="4"/>
        <v>1.8249999999999999E-2</v>
      </c>
    </row>
    <row r="24" spans="1:16" x14ac:dyDescent="0.3">
      <c r="A24" s="47">
        <f t="shared" si="11"/>
        <v>46309</v>
      </c>
      <c r="B24" s="49">
        <f t="shared" si="12"/>
        <v>0.21874999999999992</v>
      </c>
      <c r="C24" s="42">
        <f>'Říjen vík data'!V23+P24</f>
        <v>2.5749999999999999E-2</v>
      </c>
      <c r="D24" s="42">
        <f t="shared" si="5"/>
        <v>0</v>
      </c>
      <c r="E24">
        <f t="shared" si="6"/>
        <v>0</v>
      </c>
      <c r="F24" s="42">
        <f t="shared" si="7"/>
        <v>0</v>
      </c>
      <c r="G24" s="42">
        <f t="shared" si="8"/>
        <v>0</v>
      </c>
      <c r="H24" s="42">
        <f t="shared" si="9"/>
        <v>2.5749999999999999E-2</v>
      </c>
      <c r="I24" s="42">
        <f t="shared" si="0"/>
        <v>-2.5749999999999999E-2</v>
      </c>
      <c r="J24" s="43">
        <f>MIN('Výpočty '!$B$1*0.9, MAX('Výpočty '!$B$1*0.05, J23 + M24 - MIN(O24, MAX(0, J23 - ('Výpočty '!$B$1*0.1))) - P24))</f>
        <v>8.3684999999999938</v>
      </c>
      <c r="K24" s="46">
        <f>J24/'Výpočty '!$B$1</f>
        <v>0.41842499999999971</v>
      </c>
      <c r="L24" s="42">
        <f t="shared" si="1"/>
        <v>0</v>
      </c>
      <c r="M24" s="42">
        <f t="shared" si="2"/>
        <v>0</v>
      </c>
      <c r="N24" s="42">
        <f t="shared" si="3"/>
        <v>4.3999999999999997E-2</v>
      </c>
      <c r="O24" s="42">
        <f t="shared" si="10"/>
        <v>4.8888888888888885E-2</v>
      </c>
      <c r="P24" s="42">
        <f t="shared" si="4"/>
        <v>1.8249999999999999E-2</v>
      </c>
    </row>
    <row r="25" spans="1:16" x14ac:dyDescent="0.3">
      <c r="A25" s="47">
        <f t="shared" si="11"/>
        <v>46309</v>
      </c>
      <c r="B25" s="49">
        <f t="shared" si="12"/>
        <v>0.22916666666666657</v>
      </c>
      <c r="C25" s="42">
        <f>'Říjen vík data'!V24+P25</f>
        <v>2.5749999999999999E-2</v>
      </c>
      <c r="D25" s="42">
        <f t="shared" si="5"/>
        <v>1E-3</v>
      </c>
      <c r="E25">
        <f t="shared" si="6"/>
        <v>1E-3</v>
      </c>
      <c r="F25" s="42">
        <f t="shared" si="7"/>
        <v>0</v>
      </c>
      <c r="G25" s="42">
        <f t="shared" si="8"/>
        <v>0</v>
      </c>
      <c r="H25" s="42">
        <f t="shared" si="9"/>
        <v>2.4749999999999998E-2</v>
      </c>
      <c r="I25" s="42">
        <f t="shared" si="0"/>
        <v>-2.4749999999999998E-2</v>
      </c>
      <c r="J25" s="43">
        <f>MIN('Výpočty '!$B$1*0.9, MAX('Výpočty '!$B$1*0.05, J24 + M25 - MIN(O25, MAX(0, J24 - ('Výpočty '!$B$1*0.1))) - P25))</f>
        <v>8.3024722222222156</v>
      </c>
      <c r="K25" s="46">
        <f>J25/'Výpočty '!$B$1</f>
        <v>0.41512361111111079</v>
      </c>
      <c r="L25" s="42">
        <f t="shared" si="1"/>
        <v>0</v>
      </c>
      <c r="M25" s="42">
        <f t="shared" si="2"/>
        <v>0</v>
      </c>
      <c r="N25" s="42">
        <f t="shared" si="3"/>
        <v>4.2999999999999997E-2</v>
      </c>
      <c r="O25" s="42">
        <f t="shared" si="10"/>
        <v>4.7777777777777773E-2</v>
      </c>
      <c r="P25" s="42">
        <f t="shared" si="4"/>
        <v>1.8249999999999999E-2</v>
      </c>
    </row>
    <row r="26" spans="1:16" x14ac:dyDescent="0.3">
      <c r="A26" s="47">
        <f t="shared" si="11"/>
        <v>46309</v>
      </c>
      <c r="B26" s="49">
        <f t="shared" si="12"/>
        <v>0.23958333333333323</v>
      </c>
      <c r="C26" s="42">
        <f>'Říjen vík data'!V25+P26</f>
        <v>2.5749999999999999E-2</v>
      </c>
      <c r="D26" s="42">
        <f t="shared" si="5"/>
        <v>1E-3</v>
      </c>
      <c r="E26">
        <f t="shared" si="6"/>
        <v>1E-3</v>
      </c>
      <c r="F26" s="42">
        <f t="shared" si="7"/>
        <v>0</v>
      </c>
      <c r="G26" s="42">
        <f t="shared" si="8"/>
        <v>0</v>
      </c>
      <c r="H26" s="42">
        <f t="shared" si="9"/>
        <v>2.4749999999999998E-2</v>
      </c>
      <c r="I26" s="42">
        <f t="shared" si="0"/>
        <v>-2.4749999999999998E-2</v>
      </c>
      <c r="J26" s="43">
        <f>MIN('Výpočty '!$B$1*0.9, MAX('Výpočty '!$B$1*0.05, J25 + M26 - MIN(O26, MAX(0, J25 - ('Výpočty '!$B$1*0.1))) - P26))</f>
        <v>8.2364444444444374</v>
      </c>
      <c r="K26" s="46">
        <f>J26/'Výpočty '!$B$1</f>
        <v>0.41182222222222187</v>
      </c>
      <c r="L26" s="42">
        <f t="shared" si="1"/>
        <v>0</v>
      </c>
      <c r="M26" s="42">
        <f t="shared" si="2"/>
        <v>0</v>
      </c>
      <c r="N26" s="42">
        <f t="shared" si="3"/>
        <v>4.2999999999999997E-2</v>
      </c>
      <c r="O26" s="42">
        <f t="shared" si="10"/>
        <v>4.7777777777777773E-2</v>
      </c>
      <c r="P26" s="42">
        <f t="shared" si="4"/>
        <v>1.8249999999999999E-2</v>
      </c>
    </row>
    <row r="27" spans="1:16" x14ac:dyDescent="0.3">
      <c r="A27" s="47">
        <f t="shared" si="11"/>
        <v>46309</v>
      </c>
      <c r="B27" s="49">
        <f t="shared" si="12"/>
        <v>0.24999999999999989</v>
      </c>
      <c r="C27" s="42">
        <f>'Říjen vík data'!V26+P27</f>
        <v>2.5749999999999999E-2</v>
      </c>
      <c r="D27" s="42">
        <f t="shared" si="5"/>
        <v>2E-3</v>
      </c>
      <c r="E27">
        <f t="shared" si="6"/>
        <v>2E-3</v>
      </c>
      <c r="F27" s="42">
        <f t="shared" si="7"/>
        <v>0</v>
      </c>
      <c r="G27" s="42">
        <f t="shared" si="8"/>
        <v>0</v>
      </c>
      <c r="H27" s="42">
        <f t="shared" si="9"/>
        <v>2.375E-2</v>
      </c>
      <c r="I27" s="42">
        <f t="shared" si="0"/>
        <v>-2.375E-2</v>
      </c>
      <c r="J27" s="43">
        <f>MIN('Výpočty '!$B$1*0.9, MAX('Výpočty '!$B$1*0.05, J26 + M27 - MIN(O27, MAX(0, J26 - ('Výpočty '!$B$1*0.1))) - P27))</f>
        <v>8.1715277777777704</v>
      </c>
      <c r="K27" s="46">
        <f>J27/'Výpočty '!$B$1</f>
        <v>0.40857638888888853</v>
      </c>
      <c r="L27" s="42">
        <f t="shared" si="1"/>
        <v>0</v>
      </c>
      <c r="M27" s="42">
        <f t="shared" si="2"/>
        <v>0</v>
      </c>
      <c r="N27" s="42">
        <f t="shared" si="3"/>
        <v>4.1999999999999996E-2</v>
      </c>
      <c r="O27" s="42">
        <f t="shared" si="10"/>
        <v>4.6666666666666662E-2</v>
      </c>
      <c r="P27" s="42">
        <f t="shared" si="4"/>
        <v>1.8249999999999999E-2</v>
      </c>
    </row>
    <row r="28" spans="1:16" x14ac:dyDescent="0.3">
      <c r="A28" s="47">
        <f t="shared" si="11"/>
        <v>46309</v>
      </c>
      <c r="B28" s="49">
        <f t="shared" si="12"/>
        <v>0.26041666666666657</v>
      </c>
      <c r="C28" s="42">
        <f>'Říjen vík data'!V27+P28</f>
        <v>2.5749999999999999E-2</v>
      </c>
      <c r="D28" s="42">
        <f t="shared" si="5"/>
        <v>3.0000000000000001E-3</v>
      </c>
      <c r="E28">
        <f t="shared" si="6"/>
        <v>3.0000000000000001E-3</v>
      </c>
      <c r="F28" s="42">
        <f t="shared" si="7"/>
        <v>0</v>
      </c>
      <c r="G28" s="42">
        <f t="shared" si="8"/>
        <v>0</v>
      </c>
      <c r="H28" s="42">
        <f t="shared" si="9"/>
        <v>2.2749999999999999E-2</v>
      </c>
      <c r="I28" s="42">
        <f t="shared" si="0"/>
        <v>-2.2749999999999999E-2</v>
      </c>
      <c r="J28" s="43">
        <f>MIN('Výpočty '!$B$1*0.9, MAX('Výpočty '!$B$1*0.05, J27 + M28 - MIN(O28, MAX(0, J27 - ('Výpočty '!$B$1*0.1))) - P28))</f>
        <v>8.1077222222222147</v>
      </c>
      <c r="K28" s="46">
        <f>J28/'Výpočty '!$B$1</f>
        <v>0.40538611111111073</v>
      </c>
      <c r="L28" s="42">
        <f t="shared" si="1"/>
        <v>0</v>
      </c>
      <c r="M28" s="42">
        <f t="shared" si="2"/>
        <v>0</v>
      </c>
      <c r="N28" s="42">
        <f t="shared" si="3"/>
        <v>4.0999999999999995E-2</v>
      </c>
      <c r="O28" s="42">
        <f t="shared" si="10"/>
        <v>4.5555555555555551E-2</v>
      </c>
      <c r="P28" s="42">
        <f t="shared" si="4"/>
        <v>1.8249999999999999E-2</v>
      </c>
    </row>
    <row r="29" spans="1:16" x14ac:dyDescent="0.3">
      <c r="A29" s="47">
        <f t="shared" si="11"/>
        <v>46309</v>
      </c>
      <c r="B29" s="49">
        <f t="shared" si="12"/>
        <v>0.27083333333333326</v>
      </c>
      <c r="C29" s="42">
        <f>'Říjen vík data'!V28+P29</f>
        <v>0.40075</v>
      </c>
      <c r="D29" s="42">
        <f t="shared" si="5"/>
        <v>6.0000000000000001E-3</v>
      </c>
      <c r="E29">
        <f t="shared" si="6"/>
        <v>6.0000000000000001E-3</v>
      </c>
      <c r="F29" s="42">
        <f t="shared" si="7"/>
        <v>0</v>
      </c>
      <c r="G29" s="42">
        <f t="shared" si="8"/>
        <v>0</v>
      </c>
      <c r="H29" s="42">
        <f t="shared" si="9"/>
        <v>0.39474999999999999</v>
      </c>
      <c r="I29" s="42">
        <f t="shared" si="0"/>
        <v>-0.39474999999999999</v>
      </c>
      <c r="J29" s="43">
        <f>MIN('Výpočty '!$B$1*0.9, MAX('Výpočty '!$B$1*0.05, J28 + M29 - MIN(O29, MAX(0, J28 - ('Výpočty '!$B$1*0.1))) - P29))</f>
        <v>7.6305833333333259</v>
      </c>
      <c r="K29" s="46">
        <f>J29/'Výpočty '!$B$1</f>
        <v>0.38152916666666631</v>
      </c>
      <c r="L29" s="42">
        <f t="shared" si="1"/>
        <v>0</v>
      </c>
      <c r="M29" s="42">
        <f t="shared" si="2"/>
        <v>0</v>
      </c>
      <c r="N29" s="42">
        <f t="shared" si="3"/>
        <v>0.41299999999999998</v>
      </c>
      <c r="O29" s="42">
        <f t="shared" si="10"/>
        <v>0.45888888888888885</v>
      </c>
      <c r="P29" s="42">
        <f t="shared" si="4"/>
        <v>1.8249999999999999E-2</v>
      </c>
    </row>
    <row r="30" spans="1:16" x14ac:dyDescent="0.3">
      <c r="A30" s="47">
        <f t="shared" si="11"/>
        <v>46309</v>
      </c>
      <c r="B30" s="49">
        <f t="shared" si="12"/>
        <v>0.28124999999999994</v>
      </c>
      <c r="C30" s="42">
        <f>'Říjen vík data'!V29+P30</f>
        <v>0.40075</v>
      </c>
      <c r="D30" s="42">
        <f t="shared" si="5"/>
        <v>8.9999999999999993E-3</v>
      </c>
      <c r="E30">
        <f t="shared" si="6"/>
        <v>8.9999999999999993E-3</v>
      </c>
      <c r="F30" s="42">
        <f t="shared" si="7"/>
        <v>0</v>
      </c>
      <c r="G30" s="42">
        <f t="shared" si="8"/>
        <v>0</v>
      </c>
      <c r="H30" s="42">
        <f t="shared" si="9"/>
        <v>0.39174999999999999</v>
      </c>
      <c r="I30" s="42">
        <f t="shared" si="0"/>
        <v>-0.39174999999999999</v>
      </c>
      <c r="J30" s="43">
        <f>MIN('Výpočty '!$B$1*0.9, MAX('Výpočty '!$B$1*0.05, J29 + M30 - MIN(O30, MAX(0, J29 - ('Výpočty '!$B$1*0.1))) - P30))</f>
        <v>7.1567777777777701</v>
      </c>
      <c r="K30" s="46">
        <f>J30/'Výpočty '!$B$1</f>
        <v>0.35783888888888848</v>
      </c>
      <c r="L30" s="42">
        <f t="shared" si="1"/>
        <v>0</v>
      </c>
      <c r="M30" s="42">
        <f t="shared" si="2"/>
        <v>0</v>
      </c>
      <c r="N30" s="42">
        <f t="shared" si="3"/>
        <v>0.41</v>
      </c>
      <c r="O30" s="42">
        <f t="shared" si="10"/>
        <v>0.45555555555555549</v>
      </c>
      <c r="P30" s="42">
        <f t="shared" si="4"/>
        <v>1.8249999999999999E-2</v>
      </c>
    </row>
    <row r="31" spans="1:16" x14ac:dyDescent="0.3">
      <c r="A31" s="47">
        <f t="shared" si="11"/>
        <v>46309</v>
      </c>
      <c r="B31" s="49">
        <f t="shared" si="12"/>
        <v>0.29166666666666663</v>
      </c>
      <c r="C31" s="42">
        <f>'Říjen vík data'!V30+P31</f>
        <v>0.40875</v>
      </c>
      <c r="D31" s="42">
        <f t="shared" si="5"/>
        <v>1.4E-2</v>
      </c>
      <c r="E31">
        <f t="shared" si="6"/>
        <v>1.4E-2</v>
      </c>
      <c r="F31" s="42">
        <f t="shared" si="7"/>
        <v>0</v>
      </c>
      <c r="G31" s="42">
        <f t="shared" si="8"/>
        <v>0</v>
      </c>
      <c r="H31" s="42">
        <f t="shared" si="9"/>
        <v>0.39474999999999999</v>
      </c>
      <c r="I31" s="42">
        <f t="shared" si="0"/>
        <v>-0.39474999999999999</v>
      </c>
      <c r="J31" s="43">
        <f>MIN('Výpočty '!$B$1*0.9, MAX('Výpočty '!$B$1*0.05, J30 + M31 - MIN(O31, MAX(0, J30 - ('Výpočty '!$B$1*0.1))) - P31))</f>
        <v>6.6796388888888814</v>
      </c>
      <c r="K31" s="46">
        <f>J31/'Výpočty '!$B$1</f>
        <v>0.33398194444444407</v>
      </c>
      <c r="L31" s="42">
        <f t="shared" si="1"/>
        <v>0</v>
      </c>
      <c r="M31" s="42">
        <f t="shared" si="2"/>
        <v>0</v>
      </c>
      <c r="N31" s="42">
        <f t="shared" si="3"/>
        <v>0.41299999999999998</v>
      </c>
      <c r="O31" s="42">
        <f t="shared" si="10"/>
        <v>0.45888888888888885</v>
      </c>
      <c r="P31" s="42">
        <f t="shared" si="4"/>
        <v>1.8249999999999999E-2</v>
      </c>
    </row>
    <row r="32" spans="1:16" x14ac:dyDescent="0.3">
      <c r="A32" s="47">
        <f t="shared" si="11"/>
        <v>46309</v>
      </c>
      <c r="B32" s="49">
        <f t="shared" si="12"/>
        <v>0.30208333333333331</v>
      </c>
      <c r="C32" s="42">
        <f>'Říjen vík data'!V31+P32</f>
        <v>0.40875</v>
      </c>
      <c r="D32" s="42">
        <f t="shared" si="5"/>
        <v>2.1000000000000001E-2</v>
      </c>
      <c r="E32">
        <f t="shared" si="6"/>
        <v>2.1000000000000001E-2</v>
      </c>
      <c r="F32" s="42">
        <f t="shared" si="7"/>
        <v>0</v>
      </c>
      <c r="G32" s="42">
        <f t="shared" si="8"/>
        <v>0</v>
      </c>
      <c r="H32" s="42">
        <f t="shared" si="9"/>
        <v>0.38774999999999998</v>
      </c>
      <c r="I32" s="42">
        <f t="shared" si="0"/>
        <v>-0.38774999999999998</v>
      </c>
      <c r="J32" s="43">
        <f>MIN('Výpočty '!$B$1*0.9, MAX('Výpočty '!$B$1*0.05, J31 + M32 - MIN(O32, MAX(0, J31 - ('Výpočty '!$B$1*0.1))) - P32))</f>
        <v>6.2102777777777698</v>
      </c>
      <c r="K32" s="46">
        <f>J32/'Výpočty '!$B$1</f>
        <v>0.31051388888888848</v>
      </c>
      <c r="L32" s="42">
        <f t="shared" si="1"/>
        <v>0</v>
      </c>
      <c r="M32" s="42">
        <f t="shared" si="2"/>
        <v>0</v>
      </c>
      <c r="N32" s="42">
        <f t="shared" si="3"/>
        <v>0.40599999999999997</v>
      </c>
      <c r="O32" s="42">
        <f t="shared" si="10"/>
        <v>0.45111111111111107</v>
      </c>
      <c r="P32" s="42">
        <f t="shared" si="4"/>
        <v>1.8249999999999999E-2</v>
      </c>
    </row>
    <row r="33" spans="1:16" x14ac:dyDescent="0.3">
      <c r="A33" s="47">
        <f t="shared" si="11"/>
        <v>46309</v>
      </c>
      <c r="B33" s="49">
        <f t="shared" si="12"/>
        <v>0.3125</v>
      </c>
      <c r="C33" s="42">
        <f>'Říjen vík data'!V32+P33</f>
        <v>0.40875</v>
      </c>
      <c r="D33" s="42">
        <f t="shared" si="5"/>
        <v>3.2000000000000001E-2</v>
      </c>
      <c r="E33">
        <f t="shared" si="6"/>
        <v>3.2000000000000001E-2</v>
      </c>
      <c r="F33" s="42">
        <f t="shared" si="7"/>
        <v>0</v>
      </c>
      <c r="G33" s="42">
        <f t="shared" si="8"/>
        <v>0</v>
      </c>
      <c r="H33" s="42">
        <f t="shared" si="9"/>
        <v>0.37675000000000003</v>
      </c>
      <c r="I33" s="42">
        <f t="shared" si="0"/>
        <v>-0.37675000000000003</v>
      </c>
      <c r="J33" s="43">
        <f>MIN('Výpočty '!$B$1*0.9, MAX('Výpočty '!$B$1*0.05, J32 + M33 - MIN(O33, MAX(0, J32 - ('Výpočty '!$B$1*0.1))) - P33))</f>
        <v>5.7531388888888806</v>
      </c>
      <c r="K33" s="46">
        <f>J33/'Výpočty '!$B$1</f>
        <v>0.28765694444444401</v>
      </c>
      <c r="L33" s="42">
        <f t="shared" si="1"/>
        <v>0</v>
      </c>
      <c r="M33" s="42">
        <f t="shared" si="2"/>
        <v>0</v>
      </c>
      <c r="N33" s="42">
        <f t="shared" si="3"/>
        <v>0.39500000000000002</v>
      </c>
      <c r="O33" s="42">
        <f t="shared" si="10"/>
        <v>0.43888888888888888</v>
      </c>
      <c r="P33" s="42">
        <f t="shared" si="4"/>
        <v>1.8249999999999999E-2</v>
      </c>
    </row>
    <row r="34" spans="1:16" x14ac:dyDescent="0.3">
      <c r="A34" s="47">
        <f t="shared" si="11"/>
        <v>46309</v>
      </c>
      <c r="B34" s="49">
        <f t="shared" si="12"/>
        <v>0.32291666666666669</v>
      </c>
      <c r="C34" s="42">
        <f>'Říjen vík data'!V33+P34</f>
        <v>0.46775</v>
      </c>
      <c r="D34" s="42">
        <f t="shared" si="5"/>
        <v>4.8000000000000001E-2</v>
      </c>
      <c r="E34">
        <f t="shared" si="6"/>
        <v>4.8000000000000001E-2</v>
      </c>
      <c r="F34" s="42">
        <f t="shared" si="7"/>
        <v>0</v>
      </c>
      <c r="G34" s="42">
        <f t="shared" si="8"/>
        <v>0</v>
      </c>
      <c r="H34" s="42">
        <f t="shared" si="9"/>
        <v>0.41975000000000001</v>
      </c>
      <c r="I34" s="42">
        <f t="shared" si="0"/>
        <v>-0.41975000000000001</v>
      </c>
      <c r="J34" s="43">
        <f>MIN('Výpočty '!$B$1*0.9, MAX('Výpočty '!$B$1*0.05, J33 + M34 - MIN(O34, MAX(0, J33 - ('Výpočty '!$B$1*0.1))) - P34))</f>
        <v>5.2482222222222141</v>
      </c>
      <c r="K34" s="46">
        <f>J34/'Výpočty '!$B$1</f>
        <v>0.26241111111111071</v>
      </c>
      <c r="L34" s="42">
        <f t="shared" si="1"/>
        <v>0</v>
      </c>
      <c r="M34" s="42">
        <f t="shared" si="2"/>
        <v>0</v>
      </c>
      <c r="N34" s="42">
        <f t="shared" si="3"/>
        <v>0.438</v>
      </c>
      <c r="O34" s="42">
        <f t="shared" si="10"/>
        <v>0.48666666666666664</v>
      </c>
      <c r="P34" s="42">
        <f t="shared" si="4"/>
        <v>1.8249999999999999E-2</v>
      </c>
    </row>
    <row r="35" spans="1:16" x14ac:dyDescent="0.3">
      <c r="A35" s="47">
        <f t="shared" si="11"/>
        <v>46309</v>
      </c>
      <c r="B35" s="49">
        <f t="shared" si="12"/>
        <v>0.33333333333333337</v>
      </c>
      <c r="C35" s="42">
        <f>'Říjen vík data'!V34+P35</f>
        <v>0.45025000000000004</v>
      </c>
      <c r="D35" s="42">
        <f t="shared" si="5"/>
        <v>7.0000000000000007E-2</v>
      </c>
      <c r="E35">
        <f t="shared" si="6"/>
        <v>7.0000000000000007E-2</v>
      </c>
      <c r="F35" s="42">
        <f t="shared" si="7"/>
        <v>0</v>
      </c>
      <c r="G35" s="42">
        <f t="shared" si="8"/>
        <v>0</v>
      </c>
      <c r="H35" s="42">
        <f t="shared" si="9"/>
        <v>0.38025000000000003</v>
      </c>
      <c r="I35" s="42">
        <f t="shared" si="0"/>
        <v>-0.38025000000000003</v>
      </c>
      <c r="J35" s="43">
        <f>MIN('Výpočty '!$B$1*0.9, MAX('Výpočty '!$B$1*0.05, J34 + M35 - MIN(O35, MAX(0, J34 - ('Výpočty '!$B$1*0.1))) - P35))</f>
        <v>4.7871944444444363</v>
      </c>
      <c r="K35" s="46">
        <f>J35/'Výpočty '!$B$1</f>
        <v>0.23935972222222182</v>
      </c>
      <c r="L35" s="42">
        <f t="shared" si="1"/>
        <v>0</v>
      </c>
      <c r="M35" s="42">
        <f t="shared" si="2"/>
        <v>0</v>
      </c>
      <c r="N35" s="42">
        <f t="shared" si="3"/>
        <v>0.39850000000000002</v>
      </c>
      <c r="O35" s="42">
        <f t="shared" si="10"/>
        <v>0.44277777777777777</v>
      </c>
      <c r="P35" s="42">
        <f t="shared" si="4"/>
        <v>1.8249999999999999E-2</v>
      </c>
    </row>
    <row r="36" spans="1:16" x14ac:dyDescent="0.3">
      <c r="A36" s="47">
        <f t="shared" si="11"/>
        <v>46309</v>
      </c>
      <c r="B36" s="49">
        <f t="shared" si="12"/>
        <v>0.34375000000000006</v>
      </c>
      <c r="C36" s="42">
        <f>'Říjen vík data'!V35+P36</f>
        <v>0.56574999999999998</v>
      </c>
      <c r="D36" s="42">
        <f t="shared" si="5"/>
        <v>0.1</v>
      </c>
      <c r="E36">
        <f t="shared" si="6"/>
        <v>0.1</v>
      </c>
      <c r="F36" s="42">
        <f t="shared" si="7"/>
        <v>0</v>
      </c>
      <c r="G36" s="42">
        <f t="shared" si="8"/>
        <v>0</v>
      </c>
      <c r="H36" s="42">
        <f t="shared" si="9"/>
        <v>0.46575</v>
      </c>
      <c r="I36" s="42">
        <f t="shared" si="0"/>
        <v>-0.46575</v>
      </c>
      <c r="J36" s="43">
        <f>MIN('Výpočty '!$B$1*0.9, MAX('Výpočty '!$B$1*0.05, J35 + M36 - MIN(O36, MAX(0, J35 - ('Výpočty '!$B$1*0.1))) - P36))</f>
        <v>4.2311666666666587</v>
      </c>
      <c r="K36" s="46">
        <f>J36/'Výpočty '!$B$1</f>
        <v>0.21155833333333293</v>
      </c>
      <c r="L36" s="42">
        <f t="shared" si="1"/>
        <v>0</v>
      </c>
      <c r="M36" s="42">
        <f t="shared" si="2"/>
        <v>0</v>
      </c>
      <c r="N36" s="42">
        <f t="shared" si="3"/>
        <v>0.48399999999999999</v>
      </c>
      <c r="O36" s="42">
        <f t="shared" si="10"/>
        <v>0.5377777777777778</v>
      </c>
      <c r="P36" s="42">
        <f t="shared" si="4"/>
        <v>1.8249999999999999E-2</v>
      </c>
    </row>
    <row r="37" spans="1:16" x14ac:dyDescent="0.3">
      <c r="A37" s="47">
        <f t="shared" si="11"/>
        <v>46309</v>
      </c>
      <c r="B37" s="49">
        <f t="shared" si="12"/>
        <v>0.35416666666666674</v>
      </c>
      <c r="C37" s="42">
        <f>'Říjen vík data'!V36+P37</f>
        <v>1.5307500000000001</v>
      </c>
      <c r="D37" s="42">
        <f t="shared" si="5"/>
        <v>0.14000000000000001</v>
      </c>
      <c r="E37">
        <f t="shared" si="6"/>
        <v>0.14000000000000001</v>
      </c>
      <c r="F37" s="42">
        <f t="shared" si="7"/>
        <v>0</v>
      </c>
      <c r="G37" s="42">
        <f t="shared" si="8"/>
        <v>0</v>
      </c>
      <c r="H37" s="42">
        <f t="shared" si="9"/>
        <v>1.3907500000000002</v>
      </c>
      <c r="I37" s="42">
        <f t="shared" si="0"/>
        <v>-1.3907500000000002</v>
      </c>
      <c r="J37" s="43">
        <f>MIN('Výpočty '!$B$1*0.9, MAX('Výpočty '!$B$1*0.05, J36 + M37 - MIN(O37, MAX(0, J36 - ('Výpočty '!$B$1*0.1))) - P37))</f>
        <v>2.6473611111111026</v>
      </c>
      <c r="K37" s="46">
        <f>J37/'Výpočty '!$B$1</f>
        <v>0.13236805555555514</v>
      </c>
      <c r="L37" s="42">
        <f t="shared" si="1"/>
        <v>0</v>
      </c>
      <c r="M37" s="42">
        <f t="shared" si="2"/>
        <v>0</v>
      </c>
      <c r="N37" s="42">
        <f t="shared" si="3"/>
        <v>1.4090000000000003</v>
      </c>
      <c r="O37" s="42">
        <f t="shared" si="10"/>
        <v>1.5655555555555558</v>
      </c>
      <c r="P37" s="42">
        <f t="shared" si="4"/>
        <v>1.8249999999999999E-2</v>
      </c>
    </row>
    <row r="38" spans="1:16" x14ac:dyDescent="0.3">
      <c r="A38" s="47">
        <f t="shared" si="11"/>
        <v>46309</v>
      </c>
      <c r="B38" s="49">
        <f t="shared" si="12"/>
        <v>0.36458333333333343</v>
      </c>
      <c r="C38" s="42">
        <f>'Říjen vík data'!V37+P38</f>
        <v>1.5307500000000001</v>
      </c>
      <c r="D38" s="42">
        <f t="shared" si="5"/>
        <v>0.192</v>
      </c>
      <c r="E38">
        <f t="shared" si="6"/>
        <v>0.192</v>
      </c>
      <c r="F38" s="42">
        <f t="shared" si="7"/>
        <v>0</v>
      </c>
      <c r="G38" s="42">
        <f t="shared" si="8"/>
        <v>0</v>
      </c>
      <c r="H38" s="42">
        <f t="shared" si="9"/>
        <v>1.3387500000000001</v>
      </c>
      <c r="I38" s="42">
        <f t="shared" si="0"/>
        <v>-1.3387500000000001</v>
      </c>
      <c r="J38" s="43">
        <f>MIN('Výpočty '!$B$1*0.9, MAX('Výpočty '!$B$1*0.05, J37 + M38 - MIN(O38, MAX(0, J37 - ('Výpočty '!$B$1*0.1))) - P38))</f>
        <v>1.9817499999999999</v>
      </c>
      <c r="K38" s="46">
        <f>J38/'Výpočty '!$B$1</f>
        <v>9.9087499999999995E-2</v>
      </c>
      <c r="L38" s="42">
        <f t="shared" si="1"/>
        <v>0</v>
      </c>
      <c r="M38" s="42">
        <f t="shared" si="2"/>
        <v>0</v>
      </c>
      <c r="N38" s="42">
        <f t="shared" si="3"/>
        <v>1.3570000000000002</v>
      </c>
      <c r="O38" s="42">
        <f t="shared" si="10"/>
        <v>1.5077777777777779</v>
      </c>
      <c r="P38" s="42">
        <f t="shared" si="4"/>
        <v>1.8249999999999999E-2</v>
      </c>
    </row>
    <row r="39" spans="1:16" x14ac:dyDescent="0.3">
      <c r="A39" s="47">
        <f t="shared" si="11"/>
        <v>46309</v>
      </c>
      <c r="B39" s="49">
        <f t="shared" si="12"/>
        <v>0.37500000000000011</v>
      </c>
      <c r="C39" s="42">
        <f>'Říjen vík data'!V38+P39</f>
        <v>6.3250000000000001E-2</v>
      </c>
      <c r="D39" s="42">
        <f t="shared" si="5"/>
        <v>6.3250000000000001E-2</v>
      </c>
      <c r="E39">
        <f t="shared" si="6"/>
        <v>0.25900000000000001</v>
      </c>
      <c r="F39" s="42">
        <f t="shared" si="7"/>
        <v>0</v>
      </c>
      <c r="G39" s="42">
        <f t="shared" si="8"/>
        <v>0</v>
      </c>
      <c r="H39" s="42">
        <f t="shared" si="9"/>
        <v>0</v>
      </c>
      <c r="I39" s="42">
        <f t="shared" si="0"/>
        <v>0.19575000000000001</v>
      </c>
      <c r="J39" s="43">
        <f>MIN('Výpočty '!$B$1*0.9, MAX('Výpočty '!$B$1*0.05, J38 + M39 - MIN(O39, MAX(0, J38 - ('Výpočty '!$B$1*0.1))) - P39))</f>
        <v>2.1592499999999997</v>
      </c>
      <c r="K39" s="46">
        <f>J39/'Výpočty '!$B$1</f>
        <v>0.10796249999999999</v>
      </c>
      <c r="L39" s="42">
        <f t="shared" si="1"/>
        <v>0.176175</v>
      </c>
      <c r="M39" s="42">
        <f t="shared" si="2"/>
        <v>0.19575000000000001</v>
      </c>
      <c r="N39" s="42">
        <f t="shared" si="3"/>
        <v>1.8249999999999999E-2</v>
      </c>
      <c r="O39" s="42">
        <f t="shared" si="10"/>
        <v>2.0277777777777777E-2</v>
      </c>
      <c r="P39" s="42">
        <f t="shared" si="4"/>
        <v>1.8249999999999999E-2</v>
      </c>
    </row>
    <row r="40" spans="1:16" x14ac:dyDescent="0.3">
      <c r="A40" s="47">
        <f t="shared" si="11"/>
        <v>46309</v>
      </c>
      <c r="B40" s="49">
        <f t="shared" si="12"/>
        <v>0.3854166666666668</v>
      </c>
      <c r="C40" s="42">
        <f>'Říjen vík data'!V39+P40</f>
        <v>3.075E-2</v>
      </c>
      <c r="D40" s="42">
        <f t="shared" si="5"/>
        <v>3.075E-2</v>
      </c>
      <c r="E40">
        <f t="shared" si="6"/>
        <v>0.34200000000000003</v>
      </c>
      <c r="F40" s="42">
        <f t="shared" si="7"/>
        <v>0</v>
      </c>
      <c r="G40" s="42">
        <f t="shared" si="8"/>
        <v>0</v>
      </c>
      <c r="H40" s="42">
        <f t="shared" si="9"/>
        <v>0</v>
      </c>
      <c r="I40" s="42">
        <f t="shared" si="0"/>
        <v>0.31125000000000003</v>
      </c>
      <c r="J40" s="43">
        <f>MIN('Výpočty '!$B$1*0.9, MAX('Výpočty '!$B$1*0.05, J39 + M40 - MIN(O40, MAX(0, J39 - ('Výpočty '!$B$1*0.1))) - P40))</f>
        <v>2.4319722222222215</v>
      </c>
      <c r="K40" s="46">
        <f>J40/'Výpočty '!$B$1</f>
        <v>0.12159861111111107</v>
      </c>
      <c r="L40" s="42">
        <f t="shared" si="1"/>
        <v>0.28012500000000001</v>
      </c>
      <c r="M40" s="42">
        <f t="shared" si="2"/>
        <v>0.31125000000000003</v>
      </c>
      <c r="N40" s="42">
        <f t="shared" si="3"/>
        <v>1.8249999999999999E-2</v>
      </c>
      <c r="O40" s="42">
        <f t="shared" si="10"/>
        <v>2.0277777777777777E-2</v>
      </c>
      <c r="P40" s="42">
        <f t="shared" si="4"/>
        <v>1.8249999999999999E-2</v>
      </c>
    </row>
    <row r="41" spans="1:16" x14ac:dyDescent="0.3">
      <c r="A41" s="47">
        <f t="shared" si="11"/>
        <v>46309</v>
      </c>
      <c r="B41" s="49">
        <f t="shared" si="12"/>
        <v>0.39583333333333348</v>
      </c>
      <c r="C41" s="42">
        <f>'Říjen vík data'!V40+P41</f>
        <v>0.93074999999999997</v>
      </c>
      <c r="D41" s="42">
        <f t="shared" si="5"/>
        <v>0.443</v>
      </c>
      <c r="E41">
        <f t="shared" si="6"/>
        <v>0.443</v>
      </c>
      <c r="F41" s="42">
        <f t="shared" si="7"/>
        <v>0</v>
      </c>
      <c r="G41" s="42">
        <f t="shared" si="8"/>
        <v>0</v>
      </c>
      <c r="H41" s="42">
        <f t="shared" si="9"/>
        <v>0.48774999999999996</v>
      </c>
      <c r="I41" s="42">
        <f t="shared" si="0"/>
        <v>-0.48774999999999996</v>
      </c>
      <c r="J41" s="43">
        <f>MIN('Výpočty '!$B$1*0.9, MAX('Výpočty '!$B$1*0.05, J40 + M41 - MIN(O41, MAX(0, J40 - ('Výpočty '!$B$1*0.1))) - P41))</f>
        <v>1.9817499999999999</v>
      </c>
      <c r="K41" s="46">
        <f>J41/'Výpočty '!$B$1</f>
        <v>9.9087499999999995E-2</v>
      </c>
      <c r="L41" s="42">
        <f t="shared" si="1"/>
        <v>0</v>
      </c>
      <c r="M41" s="42">
        <f t="shared" si="2"/>
        <v>0</v>
      </c>
      <c r="N41" s="42">
        <f t="shared" si="3"/>
        <v>0.50600000000000001</v>
      </c>
      <c r="O41" s="42">
        <f t="shared" si="10"/>
        <v>0.56222222222222218</v>
      </c>
      <c r="P41" s="42">
        <f t="shared" si="4"/>
        <v>1.8249999999999999E-2</v>
      </c>
    </row>
    <row r="42" spans="1:16" x14ac:dyDescent="0.3">
      <c r="A42" s="47">
        <f t="shared" si="11"/>
        <v>46309</v>
      </c>
      <c r="B42" s="49">
        <f t="shared" si="12"/>
        <v>0.40625000000000017</v>
      </c>
      <c r="C42" s="42">
        <f>'Říjen vík data'!V41+P42</f>
        <v>0.55574999999999997</v>
      </c>
      <c r="D42" s="42">
        <f t="shared" si="5"/>
        <v>0.55574999999999997</v>
      </c>
      <c r="E42">
        <f t="shared" si="6"/>
        <v>0.56299999999999994</v>
      </c>
      <c r="F42" s="42">
        <f t="shared" si="7"/>
        <v>0</v>
      </c>
      <c r="G42" s="42">
        <f t="shared" si="8"/>
        <v>0</v>
      </c>
      <c r="H42" s="42">
        <f t="shared" si="9"/>
        <v>0</v>
      </c>
      <c r="I42" s="42">
        <f t="shared" si="0"/>
        <v>7.2499999999999787E-3</v>
      </c>
      <c r="J42" s="43">
        <f>MIN('Výpočty '!$B$1*0.9, MAX('Výpočty '!$B$1*0.05, J41 + M42 - MIN(O42, MAX(0, J41 - ('Výpočty '!$B$1*0.1))) - P42))</f>
        <v>1.9707499999999998</v>
      </c>
      <c r="K42" s="46">
        <f>J42/'Výpočty '!$B$1</f>
        <v>9.8537499999999986E-2</v>
      </c>
      <c r="L42" s="42">
        <f t="shared" si="1"/>
        <v>6.5249999999999813E-3</v>
      </c>
      <c r="M42" s="42">
        <f t="shared" si="2"/>
        <v>7.2499999999999787E-3</v>
      </c>
      <c r="N42" s="42">
        <f t="shared" si="3"/>
        <v>1.8249999999999999E-2</v>
      </c>
      <c r="O42" s="42">
        <f t="shared" si="10"/>
        <v>2.0277777777777777E-2</v>
      </c>
      <c r="P42" s="42">
        <f t="shared" si="4"/>
        <v>1.8249999999999999E-2</v>
      </c>
    </row>
    <row r="43" spans="1:16" x14ac:dyDescent="0.3">
      <c r="A43" s="47">
        <f t="shared" si="11"/>
        <v>46309</v>
      </c>
      <c r="B43" s="49">
        <f t="shared" si="12"/>
        <v>0.41666666666666685</v>
      </c>
      <c r="C43" s="42">
        <f>'Říjen vík data'!V42+P43</f>
        <v>0.55574999999999997</v>
      </c>
      <c r="D43" s="42">
        <f t="shared" si="5"/>
        <v>0.55574999999999997</v>
      </c>
      <c r="E43">
        <f t="shared" si="6"/>
        <v>0.70299999999999996</v>
      </c>
      <c r="F43" s="42">
        <f t="shared" si="7"/>
        <v>0</v>
      </c>
      <c r="G43" s="42">
        <f t="shared" si="8"/>
        <v>0</v>
      </c>
      <c r="H43" s="42">
        <f t="shared" si="9"/>
        <v>0</v>
      </c>
      <c r="I43" s="42">
        <f t="shared" si="0"/>
        <v>0.14724999999999999</v>
      </c>
      <c r="J43" s="43">
        <f>MIN('Výpočty '!$B$1*0.9, MAX('Výpočty '!$B$1*0.05, J42 + M43 - MIN(O43, MAX(0, J42 - ('Výpočty '!$B$1*0.1))) - P43))</f>
        <v>2.0997499999999998</v>
      </c>
      <c r="K43" s="46">
        <f>J43/'Výpočty '!$B$1</f>
        <v>0.10498749999999998</v>
      </c>
      <c r="L43" s="42">
        <f t="shared" si="1"/>
        <v>0.132525</v>
      </c>
      <c r="M43" s="42">
        <f t="shared" si="2"/>
        <v>0.14724999999999999</v>
      </c>
      <c r="N43" s="42">
        <f t="shared" si="3"/>
        <v>1.8249999999999999E-2</v>
      </c>
      <c r="O43" s="42">
        <f t="shared" si="10"/>
        <v>2.0277777777777777E-2</v>
      </c>
      <c r="P43" s="42">
        <f t="shared" si="4"/>
        <v>1.8249999999999999E-2</v>
      </c>
    </row>
    <row r="44" spans="1:16" x14ac:dyDescent="0.3">
      <c r="A44" s="47">
        <f t="shared" si="11"/>
        <v>46309</v>
      </c>
      <c r="B44" s="49">
        <f t="shared" si="12"/>
        <v>0.42708333333333354</v>
      </c>
      <c r="C44" s="42">
        <f>'Říjen vík data'!V43+P44</f>
        <v>0.55574999999999997</v>
      </c>
      <c r="D44" s="42">
        <f t="shared" si="5"/>
        <v>0.55574999999999997</v>
      </c>
      <c r="E44">
        <f t="shared" si="6"/>
        <v>0.86</v>
      </c>
      <c r="F44" s="42">
        <f t="shared" si="7"/>
        <v>0</v>
      </c>
      <c r="G44" s="42">
        <f t="shared" si="8"/>
        <v>0</v>
      </c>
      <c r="H44" s="42">
        <f t="shared" si="9"/>
        <v>0</v>
      </c>
      <c r="I44" s="42">
        <f t="shared" si="0"/>
        <v>0.30425000000000002</v>
      </c>
      <c r="J44" s="43">
        <f>MIN('Výpočty '!$B$1*0.9, MAX('Výpočty '!$B$1*0.05, J43 + M44 - MIN(O44, MAX(0, J43 - ('Výpočty '!$B$1*0.1))) - P44))</f>
        <v>2.365472222222222</v>
      </c>
      <c r="K44" s="46">
        <f>J44/'Výpočty '!$B$1</f>
        <v>0.11827361111111109</v>
      </c>
      <c r="L44" s="42">
        <f t="shared" si="1"/>
        <v>0.27382500000000004</v>
      </c>
      <c r="M44" s="42">
        <f t="shared" si="2"/>
        <v>0.30425000000000002</v>
      </c>
      <c r="N44" s="42">
        <f t="shared" si="3"/>
        <v>1.8249999999999999E-2</v>
      </c>
      <c r="O44" s="42">
        <f t="shared" si="10"/>
        <v>2.0277777777777777E-2</v>
      </c>
      <c r="P44" s="42">
        <f t="shared" si="4"/>
        <v>1.8249999999999999E-2</v>
      </c>
    </row>
    <row r="45" spans="1:16" x14ac:dyDescent="0.3">
      <c r="A45" s="47">
        <f t="shared" si="11"/>
        <v>46309</v>
      </c>
      <c r="B45" s="49">
        <f t="shared" si="12"/>
        <v>0.43750000000000022</v>
      </c>
      <c r="C45" s="42">
        <f>'Říjen vík data'!V44+P45</f>
        <v>0.55574999999999997</v>
      </c>
      <c r="D45" s="42">
        <f t="shared" si="5"/>
        <v>0.55574999999999997</v>
      </c>
      <c r="E45">
        <f t="shared" si="6"/>
        <v>1.0329999999999999</v>
      </c>
      <c r="F45" s="42">
        <f t="shared" si="7"/>
        <v>0</v>
      </c>
      <c r="G45" s="42">
        <f t="shared" si="8"/>
        <v>0</v>
      </c>
      <c r="H45" s="42">
        <f t="shared" si="9"/>
        <v>0</v>
      </c>
      <c r="I45" s="42">
        <f t="shared" si="0"/>
        <v>0.47724999999999995</v>
      </c>
      <c r="J45" s="43">
        <f>MIN('Výpočty '!$B$1*0.9, MAX('Výpočty '!$B$1*0.05, J44 + M45 - MIN(O45, MAX(0, J44 - ('Výpočty '!$B$1*0.1))) - P45))</f>
        <v>2.8041944444444442</v>
      </c>
      <c r="K45" s="46">
        <f>J45/'Výpočty '!$B$1</f>
        <v>0.14020972222222222</v>
      </c>
      <c r="L45" s="42">
        <f t="shared" si="1"/>
        <v>0.42952499999999999</v>
      </c>
      <c r="M45" s="42">
        <f t="shared" si="2"/>
        <v>0.47724999999999995</v>
      </c>
      <c r="N45" s="42">
        <f t="shared" si="3"/>
        <v>1.8249999999999999E-2</v>
      </c>
      <c r="O45" s="42">
        <f t="shared" si="10"/>
        <v>2.0277777777777777E-2</v>
      </c>
      <c r="P45" s="42">
        <f t="shared" si="4"/>
        <v>1.8249999999999999E-2</v>
      </c>
    </row>
    <row r="46" spans="1:16" x14ac:dyDescent="0.3">
      <c r="A46" s="47">
        <f t="shared" si="11"/>
        <v>46309</v>
      </c>
      <c r="B46" s="49">
        <f t="shared" si="12"/>
        <v>0.44791666666666691</v>
      </c>
      <c r="C46" s="42">
        <f>'Říjen vík data'!V45+P46</f>
        <v>0.55574999999999997</v>
      </c>
      <c r="D46" s="42">
        <f t="shared" si="5"/>
        <v>0.55574999999999997</v>
      </c>
      <c r="E46">
        <f t="shared" si="6"/>
        <v>1.216</v>
      </c>
      <c r="F46" s="42">
        <f t="shared" si="7"/>
        <v>0</v>
      </c>
      <c r="G46" s="42">
        <f t="shared" si="8"/>
        <v>0</v>
      </c>
      <c r="H46" s="42">
        <f t="shared" si="9"/>
        <v>0</v>
      </c>
      <c r="I46" s="42">
        <f t="shared" si="0"/>
        <v>0.66025</v>
      </c>
      <c r="J46" s="43">
        <f>MIN('Výpočty '!$B$1*0.9, MAX('Výpočty '!$B$1*0.05, J45 + M46 - MIN(O46, MAX(0, J45 - ('Výpočty '!$B$1*0.1))) - P46))</f>
        <v>3.4259166666666663</v>
      </c>
      <c r="K46" s="46">
        <f>J46/'Výpočty '!$B$1</f>
        <v>0.17129583333333331</v>
      </c>
      <c r="L46" s="42">
        <f t="shared" si="1"/>
        <v>0.594225</v>
      </c>
      <c r="M46" s="42">
        <f t="shared" si="2"/>
        <v>0.66025</v>
      </c>
      <c r="N46" s="42">
        <f t="shared" si="3"/>
        <v>1.8249999999999999E-2</v>
      </c>
      <c r="O46" s="42">
        <f t="shared" si="10"/>
        <v>2.0277777777777777E-2</v>
      </c>
      <c r="P46" s="42">
        <f t="shared" si="4"/>
        <v>1.8249999999999999E-2</v>
      </c>
    </row>
    <row r="47" spans="1:16" x14ac:dyDescent="0.3">
      <c r="A47" s="47">
        <f t="shared" si="11"/>
        <v>46309</v>
      </c>
      <c r="B47" s="49">
        <f t="shared" si="12"/>
        <v>0.45833333333333359</v>
      </c>
      <c r="C47" s="42">
        <f>'Říjen vík data'!V46+P47</f>
        <v>0.40575</v>
      </c>
      <c r="D47" s="42">
        <f t="shared" si="5"/>
        <v>0.40575</v>
      </c>
      <c r="E47">
        <f t="shared" si="6"/>
        <v>1.405</v>
      </c>
      <c r="F47" s="42">
        <f t="shared" si="7"/>
        <v>0</v>
      </c>
      <c r="G47" s="42">
        <f t="shared" si="8"/>
        <v>0</v>
      </c>
      <c r="H47" s="42">
        <f t="shared" si="9"/>
        <v>0</v>
      </c>
      <c r="I47" s="42">
        <f t="shared" si="0"/>
        <v>0.99924999999999997</v>
      </c>
      <c r="J47" s="43">
        <f>MIN('Výpočty '!$B$1*0.9, MAX('Výpočty '!$B$1*0.05, J46 + M47 - MIN(O47, MAX(0, J46 - ('Výpočty '!$B$1*0.1))) - P47))</f>
        <v>4.3866388888888883</v>
      </c>
      <c r="K47" s="46">
        <f>J47/'Výpočty '!$B$1</f>
        <v>0.21933194444444443</v>
      </c>
      <c r="L47" s="42">
        <f t="shared" si="1"/>
        <v>0.89932500000000004</v>
      </c>
      <c r="M47" s="42">
        <f t="shared" si="2"/>
        <v>0.99924999999999997</v>
      </c>
      <c r="N47" s="42">
        <f t="shared" si="3"/>
        <v>1.8249999999999999E-2</v>
      </c>
      <c r="O47" s="42">
        <f t="shared" si="10"/>
        <v>2.0277777777777777E-2</v>
      </c>
      <c r="P47" s="42">
        <f t="shared" si="4"/>
        <v>1.8249999999999999E-2</v>
      </c>
    </row>
    <row r="48" spans="1:16" x14ac:dyDescent="0.3">
      <c r="A48" s="47">
        <f t="shared" si="11"/>
        <v>46309</v>
      </c>
      <c r="B48" s="49">
        <f t="shared" si="12"/>
        <v>0.46875000000000028</v>
      </c>
      <c r="C48" s="42">
        <f>'Říjen vík data'!V47+P48</f>
        <v>3.075E-2</v>
      </c>
      <c r="D48" s="42">
        <f t="shared" si="5"/>
        <v>3.075E-2</v>
      </c>
      <c r="E48">
        <f t="shared" si="6"/>
        <v>1.5920000000000001</v>
      </c>
      <c r="F48" s="42">
        <f t="shared" si="7"/>
        <v>0</v>
      </c>
      <c r="G48" s="42">
        <f t="shared" si="8"/>
        <v>0</v>
      </c>
      <c r="H48" s="42">
        <f t="shared" si="9"/>
        <v>0</v>
      </c>
      <c r="I48" s="42">
        <f t="shared" si="0"/>
        <v>1.56125</v>
      </c>
      <c r="J48" s="43">
        <f>MIN('Výpočty '!$B$1*0.9, MAX('Výpočty '!$B$1*0.05, J47 + M48 - MIN(O48, MAX(0, J47 - ('Výpočty '!$B$1*0.1))) - P48))</f>
        <v>5.9093611111111111</v>
      </c>
      <c r="K48" s="46">
        <f>J48/'Výpočty '!$B$1</f>
        <v>0.29546805555555555</v>
      </c>
      <c r="L48" s="42">
        <f t="shared" si="1"/>
        <v>1.405125</v>
      </c>
      <c r="M48" s="42">
        <f t="shared" si="2"/>
        <v>1.56125</v>
      </c>
      <c r="N48" s="42">
        <f t="shared" si="3"/>
        <v>1.8249999999999999E-2</v>
      </c>
      <c r="O48" s="42">
        <f t="shared" si="10"/>
        <v>2.0277777777777777E-2</v>
      </c>
      <c r="P48" s="42">
        <f t="shared" si="4"/>
        <v>1.8249999999999999E-2</v>
      </c>
    </row>
    <row r="49" spans="1:16" x14ac:dyDescent="0.3">
      <c r="A49" s="47">
        <f t="shared" si="11"/>
        <v>46309</v>
      </c>
      <c r="B49" s="49">
        <f t="shared" si="12"/>
        <v>0.47916666666666696</v>
      </c>
      <c r="C49" s="42">
        <f>'Říjen vík data'!V48+P49</f>
        <v>0.78075000000000006</v>
      </c>
      <c r="D49" s="42">
        <f t="shared" si="5"/>
        <v>0.78075000000000006</v>
      </c>
      <c r="E49">
        <f t="shared" si="6"/>
        <v>1.7689999999999999</v>
      </c>
      <c r="F49" s="42">
        <f t="shared" si="7"/>
        <v>0</v>
      </c>
      <c r="G49" s="42">
        <f t="shared" si="8"/>
        <v>0</v>
      </c>
      <c r="H49" s="42">
        <f t="shared" si="9"/>
        <v>0</v>
      </c>
      <c r="I49" s="42">
        <f t="shared" si="0"/>
        <v>0.98824999999999985</v>
      </c>
      <c r="J49" s="43">
        <f>MIN('Výpočty '!$B$1*0.9, MAX('Výpočty '!$B$1*0.05, J48 + M49 - MIN(O49, MAX(0, J48 - ('Výpočty '!$B$1*0.1))) - P49))</f>
        <v>6.8590833333333334</v>
      </c>
      <c r="K49" s="46">
        <f>J49/'Výpočty '!$B$1</f>
        <v>0.34295416666666667</v>
      </c>
      <c r="L49" s="42">
        <f t="shared" si="1"/>
        <v>0.88942499999999991</v>
      </c>
      <c r="M49" s="42">
        <f t="shared" si="2"/>
        <v>0.98824999999999985</v>
      </c>
      <c r="N49" s="42">
        <f t="shared" si="3"/>
        <v>1.8249999999999999E-2</v>
      </c>
      <c r="O49" s="42">
        <f t="shared" si="10"/>
        <v>2.0277777777777777E-2</v>
      </c>
      <c r="P49" s="42">
        <f t="shared" si="4"/>
        <v>1.8249999999999999E-2</v>
      </c>
    </row>
    <row r="50" spans="1:16" x14ac:dyDescent="0.3">
      <c r="A50" s="47">
        <f t="shared" si="11"/>
        <v>46309</v>
      </c>
      <c r="B50" s="49">
        <f t="shared" si="12"/>
        <v>0.48958333333333365</v>
      </c>
      <c r="C50" s="42">
        <f>'Říjen vík data'!V49+P50</f>
        <v>1.1807499999999997</v>
      </c>
      <c r="D50" s="42">
        <f t="shared" si="5"/>
        <v>1.1807499999999997</v>
      </c>
      <c r="E50">
        <f t="shared" si="6"/>
        <v>1.929</v>
      </c>
      <c r="F50" s="42">
        <f t="shared" si="7"/>
        <v>0</v>
      </c>
      <c r="G50" s="42">
        <f t="shared" si="8"/>
        <v>0</v>
      </c>
      <c r="H50" s="42">
        <f t="shared" si="9"/>
        <v>0</v>
      </c>
      <c r="I50" s="42">
        <f t="shared" si="0"/>
        <v>0.7482500000000003</v>
      </c>
      <c r="J50" s="43">
        <f>MIN('Výpočty '!$B$1*0.9, MAX('Výpočty '!$B$1*0.05, J49 + M50 - MIN(O50, MAX(0, J49 - ('Výpočty '!$B$1*0.1))) - P50))</f>
        <v>7.5688055555555565</v>
      </c>
      <c r="K50" s="46">
        <f>J50/'Výpočty '!$B$1</f>
        <v>0.37844027777777783</v>
      </c>
      <c r="L50" s="42">
        <f t="shared" si="1"/>
        <v>0.67342500000000027</v>
      </c>
      <c r="M50" s="42">
        <f t="shared" si="2"/>
        <v>0.7482500000000003</v>
      </c>
      <c r="N50" s="42">
        <f t="shared" si="3"/>
        <v>1.8249999999999999E-2</v>
      </c>
      <c r="O50" s="42">
        <f t="shared" si="10"/>
        <v>2.0277777777777777E-2</v>
      </c>
      <c r="P50" s="42">
        <f t="shared" si="4"/>
        <v>1.8249999999999999E-2</v>
      </c>
    </row>
    <row r="51" spans="1:16" x14ac:dyDescent="0.3">
      <c r="A51" s="47">
        <f t="shared" si="11"/>
        <v>46309</v>
      </c>
      <c r="B51" s="49">
        <f t="shared" si="12"/>
        <v>0.50000000000000033</v>
      </c>
      <c r="C51" s="42">
        <f>'Říjen vík data'!V50+P51</f>
        <v>3.0307500000000003</v>
      </c>
      <c r="D51" s="42">
        <f t="shared" si="5"/>
        <v>2.0630000000000002</v>
      </c>
      <c r="E51">
        <f t="shared" si="6"/>
        <v>2.0630000000000002</v>
      </c>
      <c r="F51" s="42">
        <f t="shared" si="7"/>
        <v>0</v>
      </c>
      <c r="G51" s="42">
        <f t="shared" si="8"/>
        <v>0</v>
      </c>
      <c r="H51" s="42">
        <f t="shared" si="9"/>
        <v>0.96775000000000011</v>
      </c>
      <c r="I51" s="42">
        <f t="shared" si="0"/>
        <v>-0.96775000000000011</v>
      </c>
      <c r="J51" s="43">
        <f>MIN('Výpočty '!$B$1*0.9, MAX('Výpočty '!$B$1*0.05, J50 + M51 - MIN(O51, MAX(0, J50 - ('Výpočty '!$B$1*0.1))) - P51))</f>
        <v>6.455000000000001</v>
      </c>
      <c r="K51" s="46">
        <f>J51/'Výpočty '!$B$1</f>
        <v>0.32275000000000004</v>
      </c>
      <c r="L51" s="42">
        <f t="shared" si="1"/>
        <v>0</v>
      </c>
      <c r="M51" s="42">
        <f t="shared" si="2"/>
        <v>0</v>
      </c>
      <c r="N51" s="42">
        <f t="shared" si="3"/>
        <v>0.9860000000000001</v>
      </c>
      <c r="O51" s="42">
        <f t="shared" si="10"/>
        <v>1.0955555555555556</v>
      </c>
      <c r="P51" s="42">
        <f t="shared" si="4"/>
        <v>1.8249999999999999E-2</v>
      </c>
    </row>
    <row r="52" spans="1:16" x14ac:dyDescent="0.3">
      <c r="A52" s="47">
        <f t="shared" si="11"/>
        <v>46309</v>
      </c>
      <c r="B52" s="49">
        <f t="shared" si="12"/>
        <v>0.51041666666666696</v>
      </c>
      <c r="C52" s="42">
        <f>'Říjen vík data'!V51+P52</f>
        <v>2.6557500000000003</v>
      </c>
      <c r="D52" s="42">
        <f t="shared" si="5"/>
        <v>2.165</v>
      </c>
      <c r="E52">
        <f t="shared" si="6"/>
        <v>2.165</v>
      </c>
      <c r="F52" s="42">
        <f t="shared" si="7"/>
        <v>0</v>
      </c>
      <c r="G52" s="42">
        <f t="shared" si="8"/>
        <v>0</v>
      </c>
      <c r="H52" s="42">
        <f t="shared" si="9"/>
        <v>0.49075000000000024</v>
      </c>
      <c r="I52" s="42">
        <f t="shared" si="0"/>
        <v>-0.49075000000000024</v>
      </c>
      <c r="J52" s="43">
        <f>MIN('Výpočty '!$B$1*0.9, MAX('Výpočty '!$B$1*0.05, J51 + M52 - MIN(O52, MAX(0, J51 - ('Výpočty '!$B$1*0.1))) - P52))</f>
        <v>5.8711944444444448</v>
      </c>
      <c r="K52" s="46">
        <f>J52/'Výpočty '!$B$1</f>
        <v>0.29355972222222226</v>
      </c>
      <c r="L52" s="42">
        <f t="shared" si="1"/>
        <v>0</v>
      </c>
      <c r="M52" s="42">
        <f t="shared" si="2"/>
        <v>0</v>
      </c>
      <c r="N52" s="42">
        <f t="shared" si="3"/>
        <v>0.50900000000000023</v>
      </c>
      <c r="O52" s="42">
        <f t="shared" si="10"/>
        <v>0.56555555555555581</v>
      </c>
      <c r="P52" s="42">
        <f t="shared" si="4"/>
        <v>1.8249999999999999E-2</v>
      </c>
    </row>
    <row r="53" spans="1:16" x14ac:dyDescent="0.3">
      <c r="A53" s="47">
        <f t="shared" si="11"/>
        <v>46309</v>
      </c>
      <c r="B53" s="49">
        <f t="shared" si="12"/>
        <v>0.52083333333333359</v>
      </c>
      <c r="C53" s="42">
        <f>'Říjen vík data'!V52+P53</f>
        <v>3.0307500000000003</v>
      </c>
      <c r="D53" s="42">
        <f t="shared" si="5"/>
        <v>2.2280000000000002</v>
      </c>
      <c r="E53">
        <f t="shared" si="6"/>
        <v>2.2280000000000002</v>
      </c>
      <c r="F53" s="42">
        <f t="shared" si="7"/>
        <v>0</v>
      </c>
      <c r="G53" s="42">
        <f t="shared" si="8"/>
        <v>0</v>
      </c>
      <c r="H53" s="42">
        <f t="shared" si="9"/>
        <v>0.80275000000000007</v>
      </c>
      <c r="I53" s="42">
        <f t="shared" si="0"/>
        <v>-0.80275000000000007</v>
      </c>
      <c r="J53" s="43">
        <f>MIN('Výpočty '!$B$1*0.9, MAX('Výpočty '!$B$1*0.05, J52 + M53 - MIN(O53, MAX(0, J52 - ('Výpočty '!$B$1*0.1))) - P53))</f>
        <v>4.940722222222222</v>
      </c>
      <c r="K53" s="46">
        <f>J53/'Výpočty '!$B$1</f>
        <v>0.2470361111111111</v>
      </c>
      <c r="L53" s="42">
        <f t="shared" si="1"/>
        <v>0</v>
      </c>
      <c r="M53" s="42">
        <f t="shared" si="2"/>
        <v>0</v>
      </c>
      <c r="N53" s="42">
        <f t="shared" si="3"/>
        <v>0.82100000000000006</v>
      </c>
      <c r="O53" s="42">
        <f t="shared" si="10"/>
        <v>0.91222222222222227</v>
      </c>
      <c r="P53" s="42">
        <f t="shared" si="4"/>
        <v>1.8249999999999999E-2</v>
      </c>
    </row>
    <row r="54" spans="1:16" x14ac:dyDescent="0.3">
      <c r="A54" s="47">
        <f t="shared" si="11"/>
        <v>46309</v>
      </c>
      <c r="B54" s="49">
        <f t="shared" si="12"/>
        <v>0.53125000000000022</v>
      </c>
      <c r="C54" s="42">
        <f>'Říjen vík data'!V53+P54</f>
        <v>2.2807500000000003</v>
      </c>
      <c r="D54" s="42">
        <f t="shared" si="5"/>
        <v>2.25</v>
      </c>
      <c r="E54">
        <f t="shared" si="6"/>
        <v>2.25</v>
      </c>
      <c r="F54" s="42">
        <f t="shared" si="7"/>
        <v>0</v>
      </c>
      <c r="G54" s="42">
        <f t="shared" si="8"/>
        <v>0</v>
      </c>
      <c r="H54" s="42">
        <f t="shared" si="9"/>
        <v>3.0750000000000277E-2</v>
      </c>
      <c r="I54" s="42">
        <f t="shared" si="0"/>
        <v>-3.0750000000000277E-2</v>
      </c>
      <c r="J54" s="43">
        <f>MIN('Výpočty '!$B$1*0.9, MAX('Výpočty '!$B$1*0.05, J53 + M54 - MIN(O54, MAX(0, J53 - ('Výpočty '!$B$1*0.1))) - P54))</f>
        <v>4.868027777777777</v>
      </c>
      <c r="K54" s="46">
        <f>J54/'Výpočty '!$B$1</f>
        <v>0.24340138888888885</v>
      </c>
      <c r="L54" s="42">
        <f t="shared" si="1"/>
        <v>0</v>
      </c>
      <c r="M54" s="42">
        <f t="shared" si="2"/>
        <v>0</v>
      </c>
      <c r="N54" s="42">
        <f t="shared" si="3"/>
        <v>4.9000000000000279E-2</v>
      </c>
      <c r="O54" s="42">
        <f t="shared" si="10"/>
        <v>5.4444444444444753E-2</v>
      </c>
      <c r="P54" s="42">
        <f t="shared" si="4"/>
        <v>1.8249999999999999E-2</v>
      </c>
    </row>
    <row r="55" spans="1:16" x14ac:dyDescent="0.3">
      <c r="A55" s="47">
        <f t="shared" si="11"/>
        <v>46309</v>
      </c>
      <c r="B55" s="49">
        <f t="shared" si="12"/>
        <v>0.54166666666666685</v>
      </c>
      <c r="C55" s="42">
        <f>'Říjen vík data'!V54+P55</f>
        <v>1.1557500000000001</v>
      </c>
      <c r="D55" s="42">
        <f t="shared" si="5"/>
        <v>1.1557500000000001</v>
      </c>
      <c r="E55">
        <f t="shared" si="6"/>
        <v>2.2280000000000002</v>
      </c>
      <c r="F55" s="42">
        <f t="shared" si="7"/>
        <v>0</v>
      </c>
      <c r="G55" s="42">
        <f t="shared" si="8"/>
        <v>0</v>
      </c>
      <c r="H55" s="42">
        <f t="shared" si="9"/>
        <v>0</v>
      </c>
      <c r="I55" s="42">
        <f t="shared" si="0"/>
        <v>1.0722500000000001</v>
      </c>
      <c r="J55" s="43">
        <f>MIN('Výpočty '!$B$1*0.9, MAX('Výpočty '!$B$1*0.05, J54 + M55 - MIN(O55, MAX(0, J54 - ('Výpočty '!$B$1*0.1))) - P55))</f>
        <v>5.9017499999999998</v>
      </c>
      <c r="K55" s="46">
        <f>J55/'Výpočty '!$B$1</f>
        <v>0.2950875</v>
      </c>
      <c r="L55" s="42">
        <f t="shared" si="1"/>
        <v>0.96502500000000013</v>
      </c>
      <c r="M55" s="42">
        <f t="shared" si="2"/>
        <v>1.0722500000000001</v>
      </c>
      <c r="N55" s="42">
        <f t="shared" si="3"/>
        <v>1.8249999999999999E-2</v>
      </c>
      <c r="O55" s="42">
        <f t="shared" si="10"/>
        <v>2.0277777777777777E-2</v>
      </c>
      <c r="P55" s="42">
        <f t="shared" si="4"/>
        <v>1.8249999999999999E-2</v>
      </c>
    </row>
    <row r="56" spans="1:16" x14ac:dyDescent="0.3">
      <c r="A56" s="47">
        <f t="shared" si="11"/>
        <v>46309</v>
      </c>
      <c r="B56" s="49">
        <f t="shared" si="12"/>
        <v>0.55208333333333348</v>
      </c>
      <c r="C56" s="42">
        <f>'Říjen vík data'!V55+P56</f>
        <v>0.58074999999999999</v>
      </c>
      <c r="D56" s="42">
        <f t="shared" si="5"/>
        <v>0.58074999999999999</v>
      </c>
      <c r="E56">
        <f t="shared" si="6"/>
        <v>2.165</v>
      </c>
      <c r="F56" s="42">
        <f t="shared" si="7"/>
        <v>0</v>
      </c>
      <c r="G56" s="42">
        <f t="shared" si="8"/>
        <v>0</v>
      </c>
      <c r="H56" s="42">
        <f t="shared" si="9"/>
        <v>0</v>
      </c>
      <c r="I56" s="42">
        <f t="shared" si="0"/>
        <v>1.5842499999999999</v>
      </c>
      <c r="J56" s="43">
        <f>MIN('Výpočty '!$B$1*0.9, MAX('Výpočty '!$B$1*0.05, J55 + M56 - MIN(O56, MAX(0, J55 - ('Výpočty '!$B$1*0.1))) - P56))</f>
        <v>7.4474722222222223</v>
      </c>
      <c r="K56" s="46">
        <f>J56/'Výpočty '!$B$1</f>
        <v>0.37237361111111111</v>
      </c>
      <c r="L56" s="42">
        <f t="shared" si="1"/>
        <v>1.4258249999999999</v>
      </c>
      <c r="M56" s="42">
        <f t="shared" si="2"/>
        <v>1.5842499999999999</v>
      </c>
      <c r="N56" s="42">
        <f t="shared" si="3"/>
        <v>1.8249999999999999E-2</v>
      </c>
      <c r="O56" s="42">
        <f t="shared" si="10"/>
        <v>2.0277777777777777E-2</v>
      </c>
      <c r="P56" s="42">
        <f t="shared" si="4"/>
        <v>1.8249999999999999E-2</v>
      </c>
    </row>
    <row r="57" spans="1:16" x14ac:dyDescent="0.3">
      <c r="A57" s="47">
        <f t="shared" si="11"/>
        <v>46309</v>
      </c>
      <c r="B57" s="49">
        <f t="shared" si="12"/>
        <v>0.56250000000000011</v>
      </c>
      <c r="C57" s="42">
        <f>'Říjen vík data'!V56+P57</f>
        <v>0.61324999999999996</v>
      </c>
      <c r="D57" s="42">
        <f t="shared" si="5"/>
        <v>0.61324999999999996</v>
      </c>
      <c r="E57">
        <f t="shared" si="6"/>
        <v>2.0630000000000002</v>
      </c>
      <c r="F57" s="42">
        <f t="shared" si="7"/>
        <v>0</v>
      </c>
      <c r="G57" s="42">
        <f t="shared" si="8"/>
        <v>0</v>
      </c>
      <c r="H57" s="42">
        <f t="shared" si="9"/>
        <v>0</v>
      </c>
      <c r="I57" s="42">
        <f t="shared" si="0"/>
        <v>1.4497500000000003</v>
      </c>
      <c r="J57" s="43">
        <f>MIN('Výpočty '!$B$1*0.9, MAX('Výpočty '!$B$1*0.05, J56 + M57 - MIN(O57, MAX(0, J56 - ('Výpočty '!$B$1*0.1))) - P57))</f>
        <v>8.8586944444444438</v>
      </c>
      <c r="K57" s="46">
        <f>J57/'Výpočty '!$B$1</f>
        <v>0.44293472222222219</v>
      </c>
      <c r="L57" s="42">
        <f t="shared" si="1"/>
        <v>1.3047750000000002</v>
      </c>
      <c r="M57" s="42">
        <f t="shared" si="2"/>
        <v>1.4497500000000003</v>
      </c>
      <c r="N57" s="42">
        <f t="shared" si="3"/>
        <v>1.8249999999999999E-2</v>
      </c>
      <c r="O57" s="42">
        <f t="shared" si="10"/>
        <v>2.0277777777777777E-2</v>
      </c>
      <c r="P57" s="42">
        <f t="shared" si="4"/>
        <v>1.8249999999999999E-2</v>
      </c>
    </row>
    <row r="58" spans="1:16" x14ac:dyDescent="0.3">
      <c r="A58" s="47">
        <f t="shared" si="11"/>
        <v>46309</v>
      </c>
      <c r="B58" s="49">
        <f t="shared" si="12"/>
        <v>0.57291666666666674</v>
      </c>
      <c r="C58" s="42">
        <f>'Říjen vík data'!V57+P58</f>
        <v>0.58074999999999999</v>
      </c>
      <c r="D58" s="42">
        <f t="shared" si="5"/>
        <v>0.58074999999999999</v>
      </c>
      <c r="E58">
        <f t="shared" si="6"/>
        <v>1.929</v>
      </c>
      <c r="F58" s="42">
        <f t="shared" si="7"/>
        <v>0</v>
      </c>
      <c r="G58" s="42">
        <f t="shared" si="8"/>
        <v>0</v>
      </c>
      <c r="H58" s="42">
        <f t="shared" si="9"/>
        <v>0</v>
      </c>
      <c r="I58" s="42">
        <f t="shared" si="0"/>
        <v>1.3482500000000002</v>
      </c>
      <c r="J58" s="43">
        <f>MIN('Výpočty '!$B$1*0.9, MAX('Výpočty '!$B$1*0.05, J57 + M58 - MIN(O58, MAX(0, J57 - ('Výpočty '!$B$1*0.1))) - P58))</f>
        <v>10.168416666666666</v>
      </c>
      <c r="K58" s="46">
        <f>J58/'Výpočty '!$B$1</f>
        <v>0.50842083333333332</v>
      </c>
      <c r="L58" s="42">
        <f t="shared" si="1"/>
        <v>1.2134250000000002</v>
      </c>
      <c r="M58" s="42">
        <f t="shared" si="2"/>
        <v>1.3482500000000002</v>
      </c>
      <c r="N58" s="42">
        <f t="shared" si="3"/>
        <v>1.8249999999999999E-2</v>
      </c>
      <c r="O58" s="42">
        <f t="shared" si="10"/>
        <v>2.0277777777777777E-2</v>
      </c>
      <c r="P58" s="42">
        <f t="shared" si="4"/>
        <v>1.8249999999999999E-2</v>
      </c>
    </row>
    <row r="59" spans="1:16" x14ac:dyDescent="0.3">
      <c r="A59" s="47">
        <f t="shared" si="11"/>
        <v>46309</v>
      </c>
      <c r="B59" s="49">
        <f t="shared" si="12"/>
        <v>0.58333333333333337</v>
      </c>
      <c r="C59" s="42">
        <f>'Říjen vík data'!V58+P59</f>
        <v>0.6432500000000001</v>
      </c>
      <c r="D59" s="42">
        <f t="shared" si="5"/>
        <v>0.6432500000000001</v>
      </c>
      <c r="E59">
        <f t="shared" si="6"/>
        <v>1.7689999999999999</v>
      </c>
      <c r="F59" s="42">
        <f t="shared" si="7"/>
        <v>0</v>
      </c>
      <c r="G59" s="42">
        <f t="shared" si="8"/>
        <v>0</v>
      </c>
      <c r="H59" s="42">
        <f t="shared" si="9"/>
        <v>0</v>
      </c>
      <c r="I59" s="42">
        <f t="shared" si="0"/>
        <v>1.1257499999999998</v>
      </c>
      <c r="J59" s="43">
        <f>MIN('Výpočty '!$B$1*0.9, MAX('Výpočty '!$B$1*0.05, J58 + M59 - MIN(O59, MAX(0, J58 - ('Výpočty '!$B$1*0.1))) - P59))</f>
        <v>11.255638888888887</v>
      </c>
      <c r="K59" s="46">
        <f>J59/'Výpočty '!$B$1</f>
        <v>0.5627819444444444</v>
      </c>
      <c r="L59" s="42">
        <f t="shared" si="1"/>
        <v>1.0131749999999999</v>
      </c>
      <c r="M59" s="42">
        <f t="shared" si="2"/>
        <v>1.1257499999999998</v>
      </c>
      <c r="N59" s="42">
        <f t="shared" si="3"/>
        <v>1.8249999999999999E-2</v>
      </c>
      <c r="O59" s="42">
        <f t="shared" si="10"/>
        <v>2.0277777777777777E-2</v>
      </c>
      <c r="P59" s="42">
        <f t="shared" si="4"/>
        <v>1.8249999999999999E-2</v>
      </c>
    </row>
    <row r="60" spans="1:16" x14ac:dyDescent="0.3">
      <c r="A60" s="47">
        <f t="shared" si="11"/>
        <v>46309</v>
      </c>
      <c r="B60" s="49">
        <f t="shared" si="12"/>
        <v>0.59375</v>
      </c>
      <c r="C60" s="42">
        <f>'Říjen vík data'!V59+P60</f>
        <v>0.6432500000000001</v>
      </c>
      <c r="D60" s="42">
        <f t="shared" si="5"/>
        <v>0.6432500000000001</v>
      </c>
      <c r="E60">
        <f t="shared" si="6"/>
        <v>1.5920000000000001</v>
      </c>
      <c r="F60" s="42">
        <f t="shared" si="7"/>
        <v>0</v>
      </c>
      <c r="G60" s="42">
        <f t="shared" si="8"/>
        <v>0</v>
      </c>
      <c r="H60" s="42">
        <f t="shared" si="9"/>
        <v>0</v>
      </c>
      <c r="I60" s="42">
        <f t="shared" si="0"/>
        <v>0.94874999999999998</v>
      </c>
      <c r="J60" s="43">
        <f>MIN('Výpočty '!$B$1*0.9, MAX('Výpočty '!$B$1*0.05, J59 + M60 - MIN(O60, MAX(0, J59 - ('Výpočty '!$B$1*0.1))) - P60))</f>
        <v>12.165861111111109</v>
      </c>
      <c r="K60" s="46">
        <f>J60/'Výpočty '!$B$1</f>
        <v>0.60829305555555546</v>
      </c>
      <c r="L60" s="42">
        <f t="shared" si="1"/>
        <v>0.85387500000000005</v>
      </c>
      <c r="M60" s="42">
        <f t="shared" si="2"/>
        <v>0.94874999999999998</v>
      </c>
      <c r="N60" s="42">
        <f t="shared" si="3"/>
        <v>1.8249999999999999E-2</v>
      </c>
      <c r="O60" s="42">
        <f t="shared" si="10"/>
        <v>2.0277777777777777E-2</v>
      </c>
      <c r="P60" s="42">
        <f t="shared" si="4"/>
        <v>1.8249999999999999E-2</v>
      </c>
    </row>
    <row r="61" spans="1:16" x14ac:dyDescent="0.3">
      <c r="A61" s="47">
        <f t="shared" si="11"/>
        <v>46309</v>
      </c>
      <c r="B61" s="49">
        <f t="shared" si="12"/>
        <v>0.60416666666666663</v>
      </c>
      <c r="C61" s="42">
        <f>'Říjen vík data'!V60+P61</f>
        <v>9.3250000000000013E-2</v>
      </c>
      <c r="D61" s="42">
        <f t="shared" si="5"/>
        <v>9.3250000000000013E-2</v>
      </c>
      <c r="E61">
        <f t="shared" si="6"/>
        <v>1.405</v>
      </c>
      <c r="F61" s="42">
        <f t="shared" si="7"/>
        <v>0</v>
      </c>
      <c r="G61" s="42">
        <f t="shared" si="8"/>
        <v>0</v>
      </c>
      <c r="H61" s="42">
        <f t="shared" si="9"/>
        <v>0</v>
      </c>
      <c r="I61" s="42">
        <f t="shared" si="0"/>
        <v>1.31175</v>
      </c>
      <c r="J61" s="43">
        <f>MIN('Výpočty '!$B$1*0.9, MAX('Výpočty '!$B$1*0.05, J60 + M61 - MIN(O61, MAX(0, J60 - ('Výpočty '!$B$1*0.1))) - P61))</f>
        <v>13.439083333333331</v>
      </c>
      <c r="K61" s="46">
        <f>J61/'Výpočty '!$B$1</f>
        <v>0.67195416666666652</v>
      </c>
      <c r="L61" s="42">
        <f t="shared" si="1"/>
        <v>1.1805749999999999</v>
      </c>
      <c r="M61" s="42">
        <f t="shared" si="2"/>
        <v>1.31175</v>
      </c>
      <c r="N61" s="42">
        <f t="shared" si="3"/>
        <v>1.8249999999999999E-2</v>
      </c>
      <c r="O61" s="42">
        <f t="shared" si="10"/>
        <v>2.0277777777777777E-2</v>
      </c>
      <c r="P61" s="42">
        <f t="shared" si="4"/>
        <v>1.8249999999999999E-2</v>
      </c>
    </row>
    <row r="62" spans="1:16" x14ac:dyDescent="0.3">
      <c r="A62" s="47">
        <f t="shared" si="11"/>
        <v>46309</v>
      </c>
      <c r="B62" s="49">
        <f t="shared" si="12"/>
        <v>0.61458333333333326</v>
      </c>
      <c r="C62" s="42">
        <f>'Říjen vík data'!V61+P62</f>
        <v>9.3250000000000013E-2</v>
      </c>
      <c r="D62" s="42">
        <f t="shared" si="5"/>
        <v>9.3250000000000013E-2</v>
      </c>
      <c r="E62">
        <f t="shared" si="6"/>
        <v>1.216</v>
      </c>
      <c r="F62" s="42">
        <f t="shared" si="7"/>
        <v>0</v>
      </c>
      <c r="G62" s="42">
        <f t="shared" si="8"/>
        <v>0</v>
      </c>
      <c r="H62" s="42">
        <f t="shared" si="9"/>
        <v>0</v>
      </c>
      <c r="I62" s="42">
        <f t="shared" si="0"/>
        <v>1.1227499999999999</v>
      </c>
      <c r="J62" s="43">
        <f>MIN('Výpočty '!$B$1*0.9, MAX('Výpočty '!$B$1*0.05, J61 + M62 - MIN(O62, MAX(0, J61 - ('Výpočty '!$B$1*0.1))) - P62))</f>
        <v>14.523305555555552</v>
      </c>
      <c r="K62" s="46">
        <f>J62/'Výpočty '!$B$1</f>
        <v>0.72616527777777762</v>
      </c>
      <c r="L62" s="42">
        <f t="shared" si="1"/>
        <v>1.010475</v>
      </c>
      <c r="M62" s="42">
        <f t="shared" si="2"/>
        <v>1.1227499999999999</v>
      </c>
      <c r="N62" s="42">
        <f t="shared" si="3"/>
        <v>1.8249999999999999E-2</v>
      </c>
      <c r="O62" s="42">
        <f t="shared" si="10"/>
        <v>2.0277777777777777E-2</v>
      </c>
      <c r="P62" s="42">
        <f t="shared" si="4"/>
        <v>1.8249999999999999E-2</v>
      </c>
    </row>
    <row r="63" spans="1:16" x14ac:dyDescent="0.3">
      <c r="A63" s="47">
        <f t="shared" si="11"/>
        <v>46309</v>
      </c>
      <c r="B63" s="49">
        <f t="shared" si="12"/>
        <v>0.62499999999999989</v>
      </c>
      <c r="C63" s="42">
        <f>'Říjen vík data'!V62+P63</f>
        <v>0.1145</v>
      </c>
      <c r="D63" s="42">
        <f t="shared" si="5"/>
        <v>0.1145</v>
      </c>
      <c r="E63">
        <f t="shared" si="6"/>
        <v>1.0329999999999999</v>
      </c>
      <c r="F63" s="42">
        <f t="shared" si="7"/>
        <v>0</v>
      </c>
      <c r="G63" s="42">
        <f t="shared" si="8"/>
        <v>0</v>
      </c>
      <c r="H63" s="42">
        <f t="shared" si="9"/>
        <v>0</v>
      </c>
      <c r="I63" s="42">
        <f t="shared" si="0"/>
        <v>0.91849999999999987</v>
      </c>
      <c r="J63" s="43">
        <f>MIN('Výpočty '!$B$1*0.9, MAX('Výpočty '!$B$1*0.05, J62 + M63 - MIN(O63, MAX(0, J62 - ('Výpočty '!$B$1*0.1))) - P63))</f>
        <v>15.403277777777774</v>
      </c>
      <c r="K63" s="46">
        <f>J63/'Výpočty '!$B$1</f>
        <v>0.77016388888888865</v>
      </c>
      <c r="L63" s="42">
        <f t="shared" si="1"/>
        <v>0.82664999999999988</v>
      </c>
      <c r="M63" s="42">
        <f t="shared" si="2"/>
        <v>0.91849999999999987</v>
      </c>
      <c r="N63" s="42">
        <f t="shared" si="3"/>
        <v>1.8249999999999999E-2</v>
      </c>
      <c r="O63" s="42">
        <f t="shared" si="10"/>
        <v>2.0277777777777777E-2</v>
      </c>
      <c r="P63" s="42">
        <f t="shared" si="4"/>
        <v>1.8249999999999999E-2</v>
      </c>
    </row>
    <row r="64" spans="1:16" x14ac:dyDescent="0.3">
      <c r="A64" s="47">
        <f t="shared" si="11"/>
        <v>46309</v>
      </c>
      <c r="B64" s="49">
        <f t="shared" si="12"/>
        <v>0.63541666666666652</v>
      </c>
      <c r="C64" s="42">
        <f>'Říjen vík data'!V63+P64</f>
        <v>0.1145</v>
      </c>
      <c r="D64" s="42">
        <f t="shared" si="5"/>
        <v>0.1145</v>
      </c>
      <c r="E64">
        <f t="shared" si="6"/>
        <v>0.86</v>
      </c>
      <c r="F64" s="42">
        <f t="shared" si="7"/>
        <v>0</v>
      </c>
      <c r="G64" s="42">
        <f t="shared" si="8"/>
        <v>0</v>
      </c>
      <c r="H64" s="42">
        <f t="shared" si="9"/>
        <v>0</v>
      </c>
      <c r="I64" s="42">
        <f t="shared" si="0"/>
        <v>0.74549999999999994</v>
      </c>
      <c r="J64" s="43">
        <f>MIN('Výpočty '!$B$1*0.9, MAX('Výpočty '!$B$1*0.05, J63 + M64 - MIN(O64, MAX(0, J63 - ('Výpočty '!$B$1*0.1))) - P64))</f>
        <v>16.110249999999997</v>
      </c>
      <c r="K64" s="46">
        <f>J64/'Výpočty '!$B$1</f>
        <v>0.80551249999999985</v>
      </c>
      <c r="L64" s="42">
        <f t="shared" si="1"/>
        <v>0.67094999999999994</v>
      </c>
      <c r="M64" s="42">
        <f t="shared" si="2"/>
        <v>0.74549999999999994</v>
      </c>
      <c r="N64" s="42">
        <f t="shared" si="3"/>
        <v>1.8249999999999999E-2</v>
      </c>
      <c r="O64" s="42">
        <f t="shared" si="10"/>
        <v>2.0277777777777777E-2</v>
      </c>
      <c r="P64" s="42">
        <f t="shared" si="4"/>
        <v>1.8249999999999999E-2</v>
      </c>
    </row>
    <row r="65" spans="1:16" x14ac:dyDescent="0.3">
      <c r="A65" s="47">
        <f t="shared" si="11"/>
        <v>46309</v>
      </c>
      <c r="B65" s="49">
        <f t="shared" si="12"/>
        <v>0.64583333333333315</v>
      </c>
      <c r="C65" s="42">
        <f>'Říjen vík data'!V64+P65</f>
        <v>0.1145</v>
      </c>
      <c r="D65" s="42">
        <f t="shared" si="5"/>
        <v>0.1145</v>
      </c>
      <c r="E65">
        <f t="shared" si="6"/>
        <v>0.70299999999999996</v>
      </c>
      <c r="F65" s="42">
        <f t="shared" si="7"/>
        <v>0</v>
      </c>
      <c r="G65" s="42">
        <f t="shared" si="8"/>
        <v>0</v>
      </c>
      <c r="H65" s="42">
        <f t="shared" si="9"/>
        <v>0</v>
      </c>
      <c r="I65" s="42">
        <f t="shared" si="0"/>
        <v>0.58849999999999991</v>
      </c>
      <c r="J65" s="43">
        <f>MIN('Výpočty '!$B$1*0.9, MAX('Výpočty '!$B$1*0.05, J64 + M65 - MIN(O65, MAX(0, J64 - ('Výpočty '!$B$1*0.1))) - P65))</f>
        <v>16.66022222222222</v>
      </c>
      <c r="K65" s="46">
        <f>J65/'Výpočty '!$B$1</f>
        <v>0.83301111111111104</v>
      </c>
      <c r="L65" s="42">
        <f t="shared" si="1"/>
        <v>0.52964999999999995</v>
      </c>
      <c r="M65" s="42">
        <f t="shared" si="2"/>
        <v>0.58849999999999991</v>
      </c>
      <c r="N65" s="42">
        <f t="shared" si="3"/>
        <v>1.8249999999999999E-2</v>
      </c>
      <c r="O65" s="42">
        <f t="shared" si="10"/>
        <v>2.0277777777777777E-2</v>
      </c>
      <c r="P65" s="42">
        <f t="shared" si="4"/>
        <v>1.8249999999999999E-2</v>
      </c>
    </row>
    <row r="66" spans="1:16" x14ac:dyDescent="0.3">
      <c r="A66" s="47">
        <f t="shared" si="11"/>
        <v>46309</v>
      </c>
      <c r="B66" s="49">
        <f t="shared" si="12"/>
        <v>0.65624999999999978</v>
      </c>
      <c r="C66" s="42">
        <f>'Říjen vík data'!V65+P66</f>
        <v>0.1145</v>
      </c>
      <c r="D66" s="42">
        <f t="shared" si="5"/>
        <v>0.1145</v>
      </c>
      <c r="E66">
        <f t="shared" si="6"/>
        <v>0.56299999999999994</v>
      </c>
      <c r="F66" s="42">
        <f t="shared" si="7"/>
        <v>0</v>
      </c>
      <c r="G66" s="42">
        <f t="shared" si="8"/>
        <v>0</v>
      </c>
      <c r="H66" s="42">
        <f t="shared" si="9"/>
        <v>0</v>
      </c>
      <c r="I66" s="42">
        <f t="shared" si="0"/>
        <v>0.44849999999999995</v>
      </c>
      <c r="J66" s="43">
        <f>MIN('Výpočty '!$B$1*0.9, MAX('Výpočty '!$B$1*0.05, J65 + M66 - MIN(O66, MAX(0, J65 - ('Výpočty '!$B$1*0.1))) - P66))</f>
        <v>17.070194444444443</v>
      </c>
      <c r="K66" s="46">
        <f>J66/'Výpočty '!$B$1</f>
        <v>0.8535097222222221</v>
      </c>
      <c r="L66" s="42">
        <f t="shared" si="1"/>
        <v>0.40364999999999995</v>
      </c>
      <c r="M66" s="42">
        <f t="shared" si="2"/>
        <v>0.44849999999999995</v>
      </c>
      <c r="N66" s="42">
        <f t="shared" si="3"/>
        <v>1.8249999999999999E-2</v>
      </c>
      <c r="O66" s="42">
        <f t="shared" si="10"/>
        <v>2.0277777777777777E-2</v>
      </c>
      <c r="P66" s="42">
        <f t="shared" si="4"/>
        <v>1.8249999999999999E-2</v>
      </c>
    </row>
    <row r="67" spans="1:16" x14ac:dyDescent="0.3">
      <c r="A67" s="47">
        <f t="shared" si="11"/>
        <v>46309</v>
      </c>
      <c r="B67" s="49">
        <f t="shared" si="12"/>
        <v>0.66666666666666641</v>
      </c>
      <c r="C67" s="42">
        <f>'Říjen vík data'!V66+P67</f>
        <v>0.1145</v>
      </c>
      <c r="D67" s="42">
        <f t="shared" si="5"/>
        <v>0.1145</v>
      </c>
      <c r="E67">
        <f t="shared" si="6"/>
        <v>0.443</v>
      </c>
      <c r="F67" s="42">
        <f t="shared" si="7"/>
        <v>0</v>
      </c>
      <c r="G67" s="42">
        <f t="shared" si="8"/>
        <v>0</v>
      </c>
      <c r="H67" s="42">
        <f t="shared" si="9"/>
        <v>0</v>
      </c>
      <c r="I67" s="42">
        <f t="shared" ref="I67:I98" si="13">E67-C67</f>
        <v>0.32850000000000001</v>
      </c>
      <c r="J67" s="43">
        <f>MIN('Výpočty '!$B$1*0.9, MAX('Výpočty '!$B$1*0.05, J66 + M67 - MIN(O67, MAX(0, J66 - ('Výpočty '!$B$1*0.1))) - P67))</f>
        <v>17.360166666666668</v>
      </c>
      <c r="K67" s="46">
        <f>J67/'Výpočty '!$B$1</f>
        <v>0.86800833333333338</v>
      </c>
      <c r="L67" s="42">
        <f t="shared" ref="L67:L98" si="14">M67 * Účinnost_cyklu</f>
        <v>0.29565000000000002</v>
      </c>
      <c r="M67" s="42">
        <f t="shared" ref="M67:M98" si="15">MIN(MAX(0, I67), MAX(0, Kapacita_baterie * Soc_Max - J66) / Účinnost_cyklu, Stridac_limit)</f>
        <v>0.32850000000000001</v>
      </c>
      <c r="N67" s="42">
        <f t="shared" ref="N67:N98" si="16">MAX(0, MIN(J66 - (Kapacita_baterie * Soc_Kriticke), C67 - D67 + P67))</f>
        <v>1.8249999999999999E-2</v>
      </c>
      <c r="O67" s="42">
        <f t="shared" si="10"/>
        <v>2.0277777777777777E-2</v>
      </c>
      <c r="P67" s="42">
        <f t="shared" ref="P67:P98" si="17">Vlastní_Spotřeba_kWh</f>
        <v>1.8249999999999999E-2</v>
      </c>
    </row>
    <row r="68" spans="1:16" x14ac:dyDescent="0.3">
      <c r="A68" s="47">
        <f t="shared" si="11"/>
        <v>46309</v>
      </c>
      <c r="B68" s="49">
        <f t="shared" si="12"/>
        <v>0.67708333333333304</v>
      </c>
      <c r="C68" s="42">
        <f>'Říjen vík data'!V67+P68</f>
        <v>0.1145</v>
      </c>
      <c r="D68" s="42">
        <f t="shared" ref="D68:D98" si="18">MIN(C68, E68)</f>
        <v>0.1145</v>
      </c>
      <c r="E68">
        <f t="shared" ref="E68:E98" si="19">ROUND(MAX(0, 9 * EXP(-((HOUR(B68)+MINUTE(B68)/60 - 12.75)^2) / 6.5) * 0.25), 3)</f>
        <v>0.34200000000000003</v>
      </c>
      <c r="F68" s="42">
        <f t="shared" ref="F68:F98" si="20">MAX(0, C68 - D68 - H68 )</f>
        <v>0</v>
      </c>
      <c r="G68" s="42">
        <f t="shared" ref="G68:G98" si="21">MAX(0, E68 - D68 - M68)</f>
        <v>0</v>
      </c>
      <c r="H68" s="42">
        <f t="shared" ref="H68:H97" si="22">MAX(0, MIN(C68 - D68, N68 ))</f>
        <v>0</v>
      </c>
      <c r="I68" s="42">
        <f t="shared" si="13"/>
        <v>0.22750000000000004</v>
      </c>
      <c r="J68" s="43">
        <f>MIN('Výpočty '!$B$1*0.9, MAX('Výpočty '!$B$1*0.05, J67 + M68 - MIN(O68, MAX(0, J67 - ('Výpočty '!$B$1*0.1))) - P68))</f>
        <v>17.549138888888891</v>
      </c>
      <c r="K68" s="46">
        <f>J68/'Výpočty '!$B$1</f>
        <v>0.87745694444444455</v>
      </c>
      <c r="L68" s="42">
        <f t="shared" si="14"/>
        <v>0.20475000000000004</v>
      </c>
      <c r="M68" s="42">
        <f t="shared" si="15"/>
        <v>0.22750000000000004</v>
      </c>
      <c r="N68" s="42">
        <f t="shared" si="16"/>
        <v>1.8249999999999999E-2</v>
      </c>
      <c r="O68" s="42">
        <f t="shared" ref="O68:O98" si="23">N68 / Účinnost_cyklu</f>
        <v>2.0277777777777777E-2</v>
      </c>
      <c r="P68" s="42">
        <f t="shared" si="17"/>
        <v>1.8249999999999999E-2</v>
      </c>
    </row>
    <row r="69" spans="1:16" x14ac:dyDescent="0.3">
      <c r="A69" s="47">
        <f t="shared" ref="A69:A98" si="24">DATE(2026,10,14)</f>
        <v>46309</v>
      </c>
      <c r="B69" s="49">
        <f t="shared" ref="B69:B98" si="25">B68+TIME(0,15,0)</f>
        <v>0.68749999999999967</v>
      </c>
      <c r="C69" s="42">
        <f>'Říjen vík data'!V68+P69</f>
        <v>0.1145</v>
      </c>
      <c r="D69" s="42">
        <f t="shared" si="18"/>
        <v>0.1145</v>
      </c>
      <c r="E69">
        <f t="shared" si="19"/>
        <v>0.25900000000000001</v>
      </c>
      <c r="F69" s="42">
        <f t="shared" si="20"/>
        <v>0</v>
      </c>
      <c r="G69" s="42">
        <f t="shared" si="21"/>
        <v>0</v>
      </c>
      <c r="H69" s="42">
        <f t="shared" si="22"/>
        <v>0</v>
      </c>
      <c r="I69" s="42">
        <f t="shared" si="13"/>
        <v>0.14450000000000002</v>
      </c>
      <c r="J69" s="43">
        <f>MIN('Výpočty '!$B$1*0.9, MAX('Výpočty '!$B$1*0.05, J68 + M69 - MIN(O69, MAX(0, J68 - ('Výpočty '!$B$1*0.1))) - P69))</f>
        <v>17.655111111111115</v>
      </c>
      <c r="K69" s="46">
        <f>J69/'Výpočty '!$B$1</f>
        <v>0.88275555555555574</v>
      </c>
      <c r="L69" s="42">
        <f t="shared" si="14"/>
        <v>0.13005000000000003</v>
      </c>
      <c r="M69" s="42">
        <f t="shared" si="15"/>
        <v>0.14450000000000002</v>
      </c>
      <c r="N69" s="42">
        <f t="shared" si="16"/>
        <v>1.8249999999999999E-2</v>
      </c>
      <c r="O69" s="42">
        <f t="shared" si="23"/>
        <v>2.0277777777777777E-2</v>
      </c>
      <c r="P69" s="42">
        <f t="shared" si="17"/>
        <v>1.8249999999999999E-2</v>
      </c>
    </row>
    <row r="70" spans="1:16" x14ac:dyDescent="0.3">
      <c r="A70" s="47">
        <f t="shared" si="24"/>
        <v>46309</v>
      </c>
      <c r="B70" s="49">
        <f t="shared" si="25"/>
        <v>0.6979166666666663</v>
      </c>
      <c r="C70" s="42">
        <f>'Říjen vík data'!V69+P70</f>
        <v>0.1145</v>
      </c>
      <c r="D70" s="42">
        <f t="shared" si="18"/>
        <v>0.1145</v>
      </c>
      <c r="E70">
        <f t="shared" si="19"/>
        <v>0.192</v>
      </c>
      <c r="F70" s="42">
        <f t="shared" si="20"/>
        <v>0</v>
      </c>
      <c r="G70" s="42">
        <f t="shared" si="21"/>
        <v>0</v>
      </c>
      <c r="H70" s="42">
        <f t="shared" si="22"/>
        <v>0</v>
      </c>
      <c r="I70" s="42">
        <f t="shared" si="13"/>
        <v>7.7499999999999999E-2</v>
      </c>
      <c r="J70" s="43">
        <f>MIN('Výpočty '!$B$1*0.9, MAX('Výpočty '!$B$1*0.05, J69 + M70 - MIN(O70, MAX(0, J69 - ('Výpočty '!$B$1*0.1))) - P70))</f>
        <v>17.694083333333339</v>
      </c>
      <c r="K70" s="46">
        <f>J70/'Výpočty '!$B$1</f>
        <v>0.88470416666666696</v>
      </c>
      <c r="L70" s="42">
        <f t="shared" si="14"/>
        <v>6.9750000000000006E-2</v>
      </c>
      <c r="M70" s="42">
        <f t="shared" si="15"/>
        <v>7.7499999999999999E-2</v>
      </c>
      <c r="N70" s="42">
        <f t="shared" si="16"/>
        <v>1.8249999999999999E-2</v>
      </c>
      <c r="O70" s="42">
        <f t="shared" si="23"/>
        <v>2.0277777777777777E-2</v>
      </c>
      <c r="P70" s="42">
        <f t="shared" si="17"/>
        <v>1.8249999999999999E-2</v>
      </c>
    </row>
    <row r="71" spans="1:16" x14ac:dyDescent="0.3">
      <c r="A71" s="47">
        <f t="shared" si="24"/>
        <v>46309</v>
      </c>
      <c r="B71" s="49">
        <f t="shared" si="25"/>
        <v>0.70833333333333293</v>
      </c>
      <c r="C71" s="42">
        <f>'Říjen vík data'!V70+P71</f>
        <v>0.1145</v>
      </c>
      <c r="D71" s="42">
        <f t="shared" si="18"/>
        <v>0.1145</v>
      </c>
      <c r="E71">
        <f t="shared" si="19"/>
        <v>0.14000000000000001</v>
      </c>
      <c r="F71" s="42">
        <f t="shared" si="20"/>
        <v>0</v>
      </c>
      <c r="G71" s="42">
        <f t="shared" si="21"/>
        <v>0</v>
      </c>
      <c r="H71" s="42">
        <f t="shared" si="22"/>
        <v>0</v>
      </c>
      <c r="I71" s="42">
        <f t="shared" si="13"/>
        <v>2.5500000000000009E-2</v>
      </c>
      <c r="J71" s="43">
        <f>MIN('Výpočty '!$B$1*0.9, MAX('Výpočty '!$B$1*0.05, J70 + M71 - MIN(O71, MAX(0, J70 - ('Výpočty '!$B$1*0.1))) - P71))</f>
        <v>17.681055555555563</v>
      </c>
      <c r="K71" s="46">
        <f>J71/'Výpočty '!$B$1</f>
        <v>0.88405277777777813</v>
      </c>
      <c r="L71" s="42">
        <f t="shared" si="14"/>
        <v>2.2950000000000009E-2</v>
      </c>
      <c r="M71" s="42">
        <f t="shared" si="15"/>
        <v>2.5500000000000009E-2</v>
      </c>
      <c r="N71" s="42">
        <f t="shared" si="16"/>
        <v>1.8249999999999999E-2</v>
      </c>
      <c r="O71" s="42">
        <f t="shared" si="23"/>
        <v>2.0277777777777777E-2</v>
      </c>
      <c r="P71" s="42">
        <f t="shared" si="17"/>
        <v>1.8249999999999999E-2</v>
      </c>
    </row>
    <row r="72" spans="1:16" x14ac:dyDescent="0.3">
      <c r="A72" s="47">
        <f t="shared" si="24"/>
        <v>46309</v>
      </c>
      <c r="B72" s="49">
        <f t="shared" si="25"/>
        <v>0.71874999999999956</v>
      </c>
      <c r="C72" s="42">
        <f>'Říjen vík data'!V71+P72</f>
        <v>0.1145</v>
      </c>
      <c r="D72" s="42">
        <f t="shared" si="18"/>
        <v>0.1</v>
      </c>
      <c r="E72">
        <f t="shared" si="19"/>
        <v>0.1</v>
      </c>
      <c r="F72" s="42">
        <f t="shared" si="20"/>
        <v>0</v>
      </c>
      <c r="G72" s="42">
        <f t="shared" si="21"/>
        <v>0</v>
      </c>
      <c r="H72" s="42">
        <f t="shared" si="22"/>
        <v>1.4499999999999999E-2</v>
      </c>
      <c r="I72" s="42">
        <f t="shared" si="13"/>
        <v>-1.4499999999999999E-2</v>
      </c>
      <c r="J72" s="43">
        <f>MIN('Výpočty '!$B$1*0.9, MAX('Výpočty '!$B$1*0.05, J71 + M72 - MIN(O72, MAX(0, J71 - ('Výpočty '!$B$1*0.1))) - P72))</f>
        <v>17.626416666666675</v>
      </c>
      <c r="K72" s="46">
        <f>J72/'Výpočty '!$B$1</f>
        <v>0.88132083333333378</v>
      </c>
      <c r="L72" s="42">
        <f t="shared" si="14"/>
        <v>0</v>
      </c>
      <c r="M72" s="42">
        <f t="shared" si="15"/>
        <v>0</v>
      </c>
      <c r="N72" s="42">
        <f t="shared" si="16"/>
        <v>3.2750000000000001E-2</v>
      </c>
      <c r="O72" s="42">
        <f t="shared" si="23"/>
        <v>3.6388888888888887E-2</v>
      </c>
      <c r="P72" s="42">
        <f t="shared" si="17"/>
        <v>1.8249999999999999E-2</v>
      </c>
    </row>
    <row r="73" spans="1:16" x14ac:dyDescent="0.3">
      <c r="A73" s="47">
        <f t="shared" si="24"/>
        <v>46309</v>
      </c>
      <c r="B73" s="49">
        <f t="shared" si="25"/>
        <v>0.72916666666666619</v>
      </c>
      <c r="C73" s="42">
        <f>'Říjen vík data'!V72+P73</f>
        <v>0.16449999999999998</v>
      </c>
      <c r="D73" s="42">
        <f t="shared" si="18"/>
        <v>7.0000000000000007E-2</v>
      </c>
      <c r="E73">
        <f t="shared" si="19"/>
        <v>7.0000000000000007E-2</v>
      </c>
      <c r="F73" s="42">
        <f t="shared" si="20"/>
        <v>0</v>
      </c>
      <c r="G73" s="42">
        <f t="shared" si="21"/>
        <v>0</v>
      </c>
      <c r="H73" s="42">
        <f t="shared" si="22"/>
        <v>9.4499999999999973E-2</v>
      </c>
      <c r="I73" s="42">
        <f t="shared" si="13"/>
        <v>-9.4499999999999973E-2</v>
      </c>
      <c r="J73" s="43">
        <f>MIN('Výpočty '!$B$1*0.9, MAX('Výpočty '!$B$1*0.05, J72 + M73 - MIN(O73, MAX(0, J72 - ('Výpočty '!$B$1*0.1))) - P73))</f>
        <v>17.482888888888898</v>
      </c>
      <c r="K73" s="46">
        <f>J73/'Výpočty '!$B$1</f>
        <v>0.87414444444444483</v>
      </c>
      <c r="L73" s="42">
        <f t="shared" si="14"/>
        <v>0</v>
      </c>
      <c r="M73" s="42">
        <f t="shared" si="15"/>
        <v>0</v>
      </c>
      <c r="N73" s="42">
        <f t="shared" si="16"/>
        <v>0.11274999999999998</v>
      </c>
      <c r="O73" s="42">
        <f t="shared" si="23"/>
        <v>0.12527777777777774</v>
      </c>
      <c r="P73" s="42">
        <f t="shared" si="17"/>
        <v>1.8249999999999999E-2</v>
      </c>
    </row>
    <row r="74" spans="1:16" x14ac:dyDescent="0.3">
      <c r="A74" s="47">
        <f t="shared" si="24"/>
        <v>46309</v>
      </c>
      <c r="B74" s="49">
        <f t="shared" si="25"/>
        <v>0.73958333333333282</v>
      </c>
      <c r="C74" s="42">
        <f>'Říjen vík data'!V73+P74</f>
        <v>5.2000000000000005E-2</v>
      </c>
      <c r="D74" s="42">
        <f t="shared" si="18"/>
        <v>4.8000000000000001E-2</v>
      </c>
      <c r="E74">
        <f t="shared" si="19"/>
        <v>4.8000000000000001E-2</v>
      </c>
      <c r="F74" s="42">
        <f t="shared" si="20"/>
        <v>0</v>
      </c>
      <c r="G74" s="42">
        <f t="shared" si="21"/>
        <v>0</v>
      </c>
      <c r="H74" s="42">
        <f t="shared" si="22"/>
        <v>4.0000000000000036E-3</v>
      </c>
      <c r="I74" s="42">
        <f t="shared" si="13"/>
        <v>-4.0000000000000036E-3</v>
      </c>
      <c r="J74" s="43">
        <f>MIN('Výpočty '!$B$1*0.9, MAX('Výpočty '!$B$1*0.05, J73 + M74 - MIN(O74, MAX(0, J73 - ('Výpočty '!$B$1*0.1))) - P74))</f>
        <v>17.439916666666676</v>
      </c>
      <c r="K74" s="46">
        <f>J74/'Výpočty '!$B$1</f>
        <v>0.87199583333333375</v>
      </c>
      <c r="L74" s="42">
        <f t="shared" si="14"/>
        <v>0</v>
      </c>
      <c r="M74" s="42">
        <f t="shared" si="15"/>
        <v>0</v>
      </c>
      <c r="N74" s="42">
        <f t="shared" si="16"/>
        <v>2.2250000000000002E-2</v>
      </c>
      <c r="O74" s="42">
        <f t="shared" si="23"/>
        <v>2.4722222222222225E-2</v>
      </c>
      <c r="P74" s="42">
        <f t="shared" si="17"/>
        <v>1.8249999999999999E-2</v>
      </c>
    </row>
    <row r="75" spans="1:16" x14ac:dyDescent="0.3">
      <c r="A75" s="47">
        <f t="shared" si="24"/>
        <v>46309</v>
      </c>
      <c r="B75" s="49">
        <f t="shared" si="25"/>
        <v>0.74999999999999944</v>
      </c>
      <c r="C75" s="42">
        <f>'Říjen vík data'!V74+P75</f>
        <v>5.2000000000000005E-2</v>
      </c>
      <c r="D75" s="42">
        <f t="shared" si="18"/>
        <v>3.2000000000000001E-2</v>
      </c>
      <c r="E75">
        <f t="shared" si="19"/>
        <v>3.2000000000000001E-2</v>
      </c>
      <c r="F75" s="42">
        <f t="shared" si="20"/>
        <v>0</v>
      </c>
      <c r="G75" s="42">
        <f t="shared" si="21"/>
        <v>0</v>
      </c>
      <c r="H75" s="42">
        <f t="shared" si="22"/>
        <v>2.0000000000000004E-2</v>
      </c>
      <c r="I75" s="42">
        <f t="shared" si="13"/>
        <v>-2.0000000000000004E-2</v>
      </c>
      <c r="J75" s="43">
        <f>MIN('Výpočty '!$B$1*0.9, MAX('Výpočty '!$B$1*0.05, J74 + M75 - MIN(O75, MAX(0, J74 - ('Výpočty '!$B$1*0.1))) - P75))</f>
        <v>17.379166666666677</v>
      </c>
      <c r="K75" s="46">
        <f>J75/'Výpočty '!$B$1</f>
        <v>0.86895833333333383</v>
      </c>
      <c r="L75" s="42">
        <f t="shared" si="14"/>
        <v>0</v>
      </c>
      <c r="M75" s="42">
        <f t="shared" si="15"/>
        <v>0</v>
      </c>
      <c r="N75" s="42">
        <f t="shared" si="16"/>
        <v>3.8250000000000006E-2</v>
      </c>
      <c r="O75" s="42">
        <f t="shared" si="23"/>
        <v>4.2500000000000003E-2</v>
      </c>
      <c r="P75" s="42">
        <f t="shared" si="17"/>
        <v>1.8249999999999999E-2</v>
      </c>
    </row>
    <row r="76" spans="1:16" x14ac:dyDescent="0.3">
      <c r="A76" s="47">
        <f t="shared" si="24"/>
        <v>46309</v>
      </c>
      <c r="B76" s="49">
        <f t="shared" si="25"/>
        <v>0.76041666666666607</v>
      </c>
      <c r="C76" s="42">
        <f>'Říjen vík data'!V75+P76</f>
        <v>0.40575</v>
      </c>
      <c r="D76" s="42">
        <f t="shared" si="18"/>
        <v>2.1000000000000001E-2</v>
      </c>
      <c r="E76">
        <f t="shared" si="19"/>
        <v>2.1000000000000001E-2</v>
      </c>
      <c r="F76" s="42">
        <f t="shared" si="20"/>
        <v>0</v>
      </c>
      <c r="G76" s="42">
        <f t="shared" si="21"/>
        <v>0</v>
      </c>
      <c r="H76" s="42">
        <f t="shared" si="22"/>
        <v>0.38474999999999998</v>
      </c>
      <c r="I76" s="42">
        <f t="shared" si="13"/>
        <v>-0.38474999999999998</v>
      </c>
      <c r="J76" s="43">
        <f>MIN('Výpočty '!$B$1*0.9, MAX('Výpočty '!$B$1*0.05, J75 + M76 - MIN(O76, MAX(0, J75 - ('Výpočty '!$B$1*0.1))) - P76))</f>
        <v>16.913138888888902</v>
      </c>
      <c r="K76" s="46">
        <f>J76/'Výpočty '!$B$1</f>
        <v>0.84565694444444506</v>
      </c>
      <c r="L76" s="42">
        <f t="shared" si="14"/>
        <v>0</v>
      </c>
      <c r="M76" s="42">
        <f t="shared" si="15"/>
        <v>0</v>
      </c>
      <c r="N76" s="42">
        <f t="shared" si="16"/>
        <v>0.40299999999999997</v>
      </c>
      <c r="O76" s="42">
        <f t="shared" si="23"/>
        <v>0.44777777777777772</v>
      </c>
      <c r="P76" s="42">
        <f t="shared" si="17"/>
        <v>1.8249999999999999E-2</v>
      </c>
    </row>
    <row r="77" spans="1:16" x14ac:dyDescent="0.3">
      <c r="A77" s="47">
        <f t="shared" si="24"/>
        <v>46309</v>
      </c>
      <c r="B77" s="49">
        <f t="shared" si="25"/>
        <v>0.7708333333333327</v>
      </c>
      <c r="C77" s="42">
        <f>'Říjen vík data'!V76+P77</f>
        <v>2.2807499999999998</v>
      </c>
      <c r="D77" s="42">
        <f t="shared" si="18"/>
        <v>1.4E-2</v>
      </c>
      <c r="E77">
        <f t="shared" si="19"/>
        <v>1.4E-2</v>
      </c>
      <c r="F77" s="42">
        <f t="shared" si="20"/>
        <v>0</v>
      </c>
      <c r="G77" s="42">
        <f t="shared" si="21"/>
        <v>0</v>
      </c>
      <c r="H77" s="42">
        <f t="shared" si="22"/>
        <v>2.26675</v>
      </c>
      <c r="I77" s="42">
        <f t="shared" si="13"/>
        <v>-2.26675</v>
      </c>
      <c r="J77" s="43">
        <f>MIN('Výpočty '!$B$1*0.9, MAX('Výpočty '!$B$1*0.05, J76 + M77 - MIN(O77, MAX(0, J76 - ('Výpočty '!$B$1*0.1))) - P77))</f>
        <v>14.356000000000012</v>
      </c>
      <c r="K77" s="46">
        <f>J77/'Výpočty '!$B$1</f>
        <v>0.71780000000000066</v>
      </c>
      <c r="L77" s="42">
        <f t="shared" si="14"/>
        <v>0</v>
      </c>
      <c r="M77" s="42">
        <f t="shared" si="15"/>
        <v>0</v>
      </c>
      <c r="N77" s="42">
        <f t="shared" si="16"/>
        <v>2.2850000000000001</v>
      </c>
      <c r="O77" s="42">
        <f t="shared" si="23"/>
        <v>2.5388888888888892</v>
      </c>
      <c r="P77" s="42">
        <f t="shared" si="17"/>
        <v>1.8249999999999999E-2</v>
      </c>
    </row>
    <row r="78" spans="1:16" x14ac:dyDescent="0.3">
      <c r="A78" s="47">
        <f t="shared" si="24"/>
        <v>46309</v>
      </c>
      <c r="B78" s="49">
        <f t="shared" si="25"/>
        <v>0.78124999999999933</v>
      </c>
      <c r="C78" s="42">
        <f>'Říjen vík data'!V77+P78</f>
        <v>2.2807499999999998</v>
      </c>
      <c r="D78" s="42">
        <f t="shared" si="18"/>
        <v>8.9999999999999993E-3</v>
      </c>
      <c r="E78">
        <f t="shared" si="19"/>
        <v>8.9999999999999993E-3</v>
      </c>
      <c r="F78" s="42">
        <f t="shared" si="20"/>
        <v>0</v>
      </c>
      <c r="G78" s="42">
        <f t="shared" si="21"/>
        <v>0</v>
      </c>
      <c r="H78" s="42">
        <f t="shared" si="22"/>
        <v>2.2717499999999999</v>
      </c>
      <c r="I78" s="42">
        <f t="shared" si="13"/>
        <v>-2.2717499999999999</v>
      </c>
      <c r="J78" s="43">
        <f>MIN('Výpočty '!$B$1*0.9, MAX('Výpočty '!$B$1*0.05, J77 + M78 - MIN(O78, MAX(0, J77 - ('Výpočty '!$B$1*0.1))) - P78))</f>
        <v>11.793305555555568</v>
      </c>
      <c r="K78" s="46">
        <f>J78/'Výpočty '!$B$1</f>
        <v>0.58966527777777844</v>
      </c>
      <c r="L78" s="42">
        <f t="shared" si="14"/>
        <v>0</v>
      </c>
      <c r="M78" s="42">
        <f t="shared" si="15"/>
        <v>0</v>
      </c>
      <c r="N78" s="42">
        <f t="shared" si="16"/>
        <v>2.29</v>
      </c>
      <c r="O78" s="42">
        <f t="shared" si="23"/>
        <v>2.5444444444444443</v>
      </c>
      <c r="P78" s="42">
        <f t="shared" si="17"/>
        <v>1.8249999999999999E-2</v>
      </c>
    </row>
    <row r="79" spans="1:16" x14ac:dyDescent="0.3">
      <c r="A79" s="47">
        <f t="shared" si="24"/>
        <v>46309</v>
      </c>
      <c r="B79" s="49">
        <f t="shared" si="25"/>
        <v>0.79166666666666596</v>
      </c>
      <c r="C79" s="42">
        <f>'Říjen vík data'!V78+P79</f>
        <v>2.6819999999999999</v>
      </c>
      <c r="D79" s="42">
        <f t="shared" si="18"/>
        <v>6.0000000000000001E-3</v>
      </c>
      <c r="E79">
        <f t="shared" si="19"/>
        <v>6.0000000000000001E-3</v>
      </c>
      <c r="F79" s="42">
        <f t="shared" si="20"/>
        <v>0</v>
      </c>
      <c r="G79" s="42">
        <f t="shared" si="21"/>
        <v>0</v>
      </c>
      <c r="H79" s="42">
        <f t="shared" si="22"/>
        <v>2.6760000000000002</v>
      </c>
      <c r="I79" s="42">
        <f t="shared" si="13"/>
        <v>-2.6760000000000002</v>
      </c>
      <c r="J79" s="43">
        <f>MIN('Výpočty '!$B$1*0.9, MAX('Výpočty '!$B$1*0.05, J78 + M79 - MIN(O79, MAX(0, J78 - ('Výpočty '!$B$1*0.1))) - P79))</f>
        <v>8.7814444444444568</v>
      </c>
      <c r="K79" s="46">
        <f>J79/'Výpočty '!$B$1</f>
        <v>0.43907222222222286</v>
      </c>
      <c r="L79" s="42">
        <f t="shared" si="14"/>
        <v>0</v>
      </c>
      <c r="M79" s="42">
        <f t="shared" si="15"/>
        <v>0</v>
      </c>
      <c r="N79" s="42">
        <f t="shared" si="16"/>
        <v>2.6942500000000003</v>
      </c>
      <c r="O79" s="42">
        <f t="shared" si="23"/>
        <v>2.9936111111111114</v>
      </c>
      <c r="P79" s="42">
        <f t="shared" si="17"/>
        <v>1.8249999999999999E-2</v>
      </c>
    </row>
    <row r="80" spans="1:16" x14ac:dyDescent="0.3">
      <c r="A80" s="47">
        <f t="shared" si="24"/>
        <v>46309</v>
      </c>
      <c r="B80" s="49">
        <f t="shared" si="25"/>
        <v>0.80208333333333259</v>
      </c>
      <c r="C80" s="42">
        <f>'Říjen vík data'!V79+P80</f>
        <v>0.432</v>
      </c>
      <c r="D80" s="42">
        <f t="shared" si="18"/>
        <v>3.0000000000000001E-3</v>
      </c>
      <c r="E80">
        <f t="shared" si="19"/>
        <v>3.0000000000000001E-3</v>
      </c>
      <c r="F80" s="42">
        <f t="shared" si="20"/>
        <v>0</v>
      </c>
      <c r="G80" s="42">
        <f t="shared" si="21"/>
        <v>0</v>
      </c>
      <c r="H80" s="42">
        <f t="shared" si="22"/>
        <v>0.42899999999999999</v>
      </c>
      <c r="I80" s="42">
        <f t="shared" si="13"/>
        <v>-0.42899999999999999</v>
      </c>
      <c r="J80" s="43">
        <f>MIN('Výpočty '!$B$1*0.9, MAX('Výpočty '!$B$1*0.05, J79 + M80 - MIN(O80, MAX(0, J79 - ('Výpočty '!$B$1*0.1))) - P80))</f>
        <v>8.2662500000000119</v>
      </c>
      <c r="K80" s="46">
        <f>J80/'Výpočty '!$B$1</f>
        <v>0.41331250000000058</v>
      </c>
      <c r="L80" s="42">
        <f t="shared" si="14"/>
        <v>0</v>
      </c>
      <c r="M80" s="42">
        <f t="shared" si="15"/>
        <v>0</v>
      </c>
      <c r="N80" s="42">
        <f t="shared" si="16"/>
        <v>0.44724999999999998</v>
      </c>
      <c r="O80" s="42">
        <f t="shared" si="23"/>
        <v>0.49694444444444441</v>
      </c>
      <c r="P80" s="42">
        <f t="shared" si="17"/>
        <v>1.8249999999999999E-2</v>
      </c>
    </row>
    <row r="81" spans="1:16" x14ac:dyDescent="0.3">
      <c r="A81" s="47">
        <f t="shared" si="24"/>
        <v>46309</v>
      </c>
      <c r="B81" s="49">
        <f t="shared" si="25"/>
        <v>0.81249999999999922</v>
      </c>
      <c r="C81" s="42">
        <f>'Říjen vík data'!V80+P81</f>
        <v>0.432</v>
      </c>
      <c r="D81" s="42">
        <f t="shared" si="18"/>
        <v>2E-3</v>
      </c>
      <c r="E81">
        <f t="shared" si="19"/>
        <v>2E-3</v>
      </c>
      <c r="F81" s="42">
        <f t="shared" si="20"/>
        <v>0</v>
      </c>
      <c r="G81" s="42">
        <f t="shared" si="21"/>
        <v>0</v>
      </c>
      <c r="H81" s="42">
        <f t="shared" si="22"/>
        <v>0.43</v>
      </c>
      <c r="I81" s="42">
        <f t="shared" si="13"/>
        <v>-0.43</v>
      </c>
      <c r="J81" s="43">
        <f>MIN('Výpočty '!$B$1*0.9, MAX('Výpočty '!$B$1*0.05, J80 + M81 - MIN(O81, MAX(0, J80 - ('Výpočty '!$B$1*0.1))) - P81))</f>
        <v>7.7499444444444565</v>
      </c>
      <c r="K81" s="46">
        <f>J81/'Výpočty '!$B$1</f>
        <v>0.38749722222222283</v>
      </c>
      <c r="L81" s="42">
        <f t="shared" si="14"/>
        <v>0</v>
      </c>
      <c r="M81" s="42">
        <f t="shared" si="15"/>
        <v>0</v>
      </c>
      <c r="N81" s="42">
        <f t="shared" si="16"/>
        <v>0.44824999999999998</v>
      </c>
      <c r="O81" s="42">
        <f t="shared" si="23"/>
        <v>0.49805555555555553</v>
      </c>
      <c r="P81" s="42">
        <f t="shared" si="17"/>
        <v>1.8249999999999999E-2</v>
      </c>
    </row>
    <row r="82" spans="1:16" x14ac:dyDescent="0.3">
      <c r="A82" s="47">
        <f t="shared" si="24"/>
        <v>46309</v>
      </c>
      <c r="B82" s="49">
        <f t="shared" si="25"/>
        <v>0.82291666666666585</v>
      </c>
      <c r="C82" s="42">
        <f>'Říjen vík data'!V81+P82</f>
        <v>0.432</v>
      </c>
      <c r="D82" s="42">
        <f t="shared" si="18"/>
        <v>1E-3</v>
      </c>
      <c r="E82">
        <f t="shared" si="19"/>
        <v>1E-3</v>
      </c>
      <c r="F82" s="42">
        <f t="shared" si="20"/>
        <v>0</v>
      </c>
      <c r="G82" s="42">
        <f t="shared" si="21"/>
        <v>0</v>
      </c>
      <c r="H82" s="42">
        <f t="shared" si="22"/>
        <v>0.43099999999999999</v>
      </c>
      <c r="I82" s="42">
        <f t="shared" si="13"/>
        <v>-0.43099999999999999</v>
      </c>
      <c r="J82" s="43">
        <f>MIN('Výpočty '!$B$1*0.9, MAX('Výpočty '!$B$1*0.05, J81 + M82 - MIN(O82, MAX(0, J81 - ('Výpočty '!$B$1*0.1))) - P82))</f>
        <v>7.2325277777777899</v>
      </c>
      <c r="K82" s="46">
        <f>J82/'Výpočty '!$B$1</f>
        <v>0.36162638888888948</v>
      </c>
      <c r="L82" s="42">
        <f t="shared" si="14"/>
        <v>0</v>
      </c>
      <c r="M82" s="42">
        <f t="shared" si="15"/>
        <v>0</v>
      </c>
      <c r="N82" s="42">
        <f t="shared" si="16"/>
        <v>0.44924999999999998</v>
      </c>
      <c r="O82" s="42">
        <f t="shared" si="23"/>
        <v>0.49916666666666665</v>
      </c>
      <c r="P82" s="42">
        <f t="shared" si="17"/>
        <v>1.8249999999999999E-2</v>
      </c>
    </row>
    <row r="83" spans="1:16" x14ac:dyDescent="0.3">
      <c r="A83" s="47">
        <f t="shared" si="24"/>
        <v>46309</v>
      </c>
      <c r="B83" s="49">
        <f t="shared" si="25"/>
        <v>0.83333333333333248</v>
      </c>
      <c r="C83" s="42">
        <f>'Říjen vík data'!V82+P83</f>
        <v>0.437</v>
      </c>
      <c r="D83" s="42">
        <f t="shared" si="18"/>
        <v>1E-3</v>
      </c>
      <c r="E83">
        <f t="shared" si="19"/>
        <v>1E-3</v>
      </c>
      <c r="F83" s="42">
        <f t="shared" si="20"/>
        <v>0</v>
      </c>
      <c r="G83" s="42">
        <f t="shared" si="21"/>
        <v>0</v>
      </c>
      <c r="H83" s="42">
        <f t="shared" si="22"/>
        <v>0.436</v>
      </c>
      <c r="I83" s="42">
        <f t="shared" si="13"/>
        <v>-0.436</v>
      </c>
      <c r="J83" s="43">
        <f>MIN('Výpočty '!$B$1*0.9, MAX('Výpočty '!$B$1*0.05, J82 + M83 - MIN(O83, MAX(0, J82 - ('Výpočty '!$B$1*0.1))) - P83))</f>
        <v>6.7095555555555677</v>
      </c>
      <c r="K83" s="46">
        <f>J83/'Výpočty '!$B$1</f>
        <v>0.33547777777777837</v>
      </c>
      <c r="L83" s="42">
        <f t="shared" si="14"/>
        <v>0</v>
      </c>
      <c r="M83" s="42">
        <f t="shared" si="15"/>
        <v>0</v>
      </c>
      <c r="N83" s="42">
        <f t="shared" si="16"/>
        <v>0.45424999999999999</v>
      </c>
      <c r="O83" s="42">
        <f t="shared" si="23"/>
        <v>0.50472222222222218</v>
      </c>
      <c r="P83" s="42">
        <f t="shared" si="17"/>
        <v>1.8249999999999999E-2</v>
      </c>
    </row>
    <row r="84" spans="1:16" x14ac:dyDescent="0.3">
      <c r="A84" s="47">
        <f t="shared" si="24"/>
        <v>46309</v>
      </c>
      <c r="B84" s="49">
        <f t="shared" si="25"/>
        <v>0.84374999999999911</v>
      </c>
      <c r="C84" s="42">
        <f>'Říjen vík data'!V83+P84</f>
        <v>0.437</v>
      </c>
      <c r="D84" s="42">
        <f t="shared" si="18"/>
        <v>0</v>
      </c>
      <c r="E84">
        <f t="shared" si="19"/>
        <v>0</v>
      </c>
      <c r="F84" s="42">
        <f t="shared" si="20"/>
        <v>0</v>
      </c>
      <c r="G84" s="42">
        <f t="shared" si="21"/>
        <v>0</v>
      </c>
      <c r="H84" s="42">
        <f t="shared" si="22"/>
        <v>0.437</v>
      </c>
      <c r="I84" s="42">
        <f t="shared" si="13"/>
        <v>-0.437</v>
      </c>
      <c r="J84" s="43">
        <f>MIN('Výpočty '!$B$1*0.9, MAX('Výpočty '!$B$1*0.05, J83 + M84 - MIN(O84, MAX(0, J83 - ('Výpočty '!$B$1*0.1))) - P84))</f>
        <v>6.1854722222222343</v>
      </c>
      <c r="K84" s="46">
        <f>J84/'Výpočty '!$B$1</f>
        <v>0.30927361111111173</v>
      </c>
      <c r="L84" s="42">
        <f t="shared" si="14"/>
        <v>0</v>
      </c>
      <c r="M84" s="42">
        <f t="shared" si="15"/>
        <v>0</v>
      </c>
      <c r="N84" s="42">
        <f t="shared" si="16"/>
        <v>0.45524999999999999</v>
      </c>
      <c r="O84" s="42">
        <f t="shared" si="23"/>
        <v>0.50583333333333336</v>
      </c>
      <c r="P84" s="42">
        <f t="shared" si="17"/>
        <v>1.8249999999999999E-2</v>
      </c>
    </row>
    <row r="85" spans="1:16" x14ac:dyDescent="0.3">
      <c r="A85" s="47">
        <f t="shared" si="24"/>
        <v>46309</v>
      </c>
      <c r="B85" s="49">
        <f t="shared" si="25"/>
        <v>0.85416666666666574</v>
      </c>
      <c r="C85" s="42">
        <f>'Říjen vík data'!V84+P85</f>
        <v>0.47449999999999998</v>
      </c>
      <c r="D85" s="42">
        <f t="shared" si="18"/>
        <v>0</v>
      </c>
      <c r="E85">
        <f t="shared" si="19"/>
        <v>0</v>
      </c>
      <c r="F85" s="42">
        <f t="shared" si="20"/>
        <v>0</v>
      </c>
      <c r="G85" s="42">
        <f t="shared" si="21"/>
        <v>0</v>
      </c>
      <c r="H85" s="42">
        <f t="shared" si="22"/>
        <v>0.47449999999999998</v>
      </c>
      <c r="I85" s="42">
        <f t="shared" si="13"/>
        <v>-0.47449999999999998</v>
      </c>
      <c r="J85" s="43">
        <f>MIN('Výpočty '!$B$1*0.9, MAX('Výpočty '!$B$1*0.05, J84 + M85 - MIN(O85, MAX(0, J84 - ('Výpočty '!$B$1*0.1))) - P85))</f>
        <v>5.6197222222222338</v>
      </c>
      <c r="K85" s="46">
        <f>J85/'Výpočty '!$B$1</f>
        <v>0.28098611111111171</v>
      </c>
      <c r="L85" s="42">
        <f t="shared" si="14"/>
        <v>0</v>
      </c>
      <c r="M85" s="42">
        <f t="shared" si="15"/>
        <v>0</v>
      </c>
      <c r="N85" s="42">
        <f t="shared" si="16"/>
        <v>0.49274999999999997</v>
      </c>
      <c r="O85" s="42">
        <f t="shared" si="23"/>
        <v>0.54749999999999999</v>
      </c>
      <c r="P85" s="42">
        <f t="shared" si="17"/>
        <v>1.8249999999999999E-2</v>
      </c>
    </row>
    <row r="86" spans="1:16" x14ac:dyDescent="0.3">
      <c r="A86" s="47">
        <f t="shared" si="24"/>
        <v>46309</v>
      </c>
      <c r="B86" s="49">
        <f t="shared" si="25"/>
        <v>0.86458333333333237</v>
      </c>
      <c r="C86" s="42">
        <f>'Říjen vík data'!V85+P86</f>
        <v>0.84949999999999992</v>
      </c>
      <c r="D86" s="42">
        <f t="shared" si="18"/>
        <v>0</v>
      </c>
      <c r="E86">
        <f t="shared" si="19"/>
        <v>0</v>
      </c>
      <c r="F86" s="42">
        <f t="shared" si="20"/>
        <v>0</v>
      </c>
      <c r="G86" s="42">
        <f t="shared" si="21"/>
        <v>0</v>
      </c>
      <c r="H86" s="42">
        <f t="shared" si="22"/>
        <v>0.84949999999999992</v>
      </c>
      <c r="I86" s="42">
        <f t="shared" si="13"/>
        <v>-0.84949999999999992</v>
      </c>
      <c r="J86" s="43">
        <f>MIN('Výpočty '!$B$1*0.9, MAX('Výpočty '!$B$1*0.05, J85 + M86 - MIN(O86, MAX(0, J85 - ('Výpočty '!$B$1*0.1))) - P86))</f>
        <v>4.6373055555555673</v>
      </c>
      <c r="K86" s="46">
        <f>J86/'Výpočty '!$B$1</f>
        <v>0.23186527777777838</v>
      </c>
      <c r="L86" s="42">
        <f t="shared" si="14"/>
        <v>0</v>
      </c>
      <c r="M86" s="42">
        <f t="shared" si="15"/>
        <v>0</v>
      </c>
      <c r="N86" s="42">
        <f t="shared" si="16"/>
        <v>0.86774999999999991</v>
      </c>
      <c r="O86" s="42">
        <f t="shared" si="23"/>
        <v>0.96416666666666651</v>
      </c>
      <c r="P86" s="42">
        <f t="shared" si="17"/>
        <v>1.8249999999999999E-2</v>
      </c>
    </row>
    <row r="87" spans="1:16" x14ac:dyDescent="0.3">
      <c r="A87" s="47">
        <f t="shared" si="24"/>
        <v>46309</v>
      </c>
      <c r="B87" s="49">
        <f t="shared" si="25"/>
        <v>0.874999999999999</v>
      </c>
      <c r="C87" s="42">
        <f>'Říjen vík data'!V86+P87</f>
        <v>0.85449999999999993</v>
      </c>
      <c r="D87" s="42">
        <f t="shared" si="18"/>
        <v>0</v>
      </c>
      <c r="E87">
        <f t="shared" si="19"/>
        <v>0</v>
      </c>
      <c r="F87" s="42">
        <f t="shared" si="20"/>
        <v>0</v>
      </c>
      <c r="G87" s="42">
        <f t="shared" si="21"/>
        <v>0</v>
      </c>
      <c r="H87" s="42">
        <f t="shared" si="22"/>
        <v>0.85449999999999993</v>
      </c>
      <c r="I87" s="42">
        <f t="shared" si="13"/>
        <v>-0.85449999999999993</v>
      </c>
      <c r="J87" s="43">
        <f>MIN('Výpočty '!$B$1*0.9, MAX('Výpočty '!$B$1*0.05, J86 + M87 - MIN(O87, MAX(0, J86 - ('Výpočty '!$B$1*0.1))) - P87))</f>
        <v>3.6493333333333453</v>
      </c>
      <c r="K87" s="46">
        <f>J87/'Výpočty '!$B$1</f>
        <v>0.18246666666666728</v>
      </c>
      <c r="L87" s="42">
        <f t="shared" si="14"/>
        <v>0</v>
      </c>
      <c r="M87" s="42">
        <f t="shared" si="15"/>
        <v>0</v>
      </c>
      <c r="N87" s="42">
        <f t="shared" si="16"/>
        <v>0.87274999999999991</v>
      </c>
      <c r="O87" s="42">
        <f t="shared" si="23"/>
        <v>0.96972222222222215</v>
      </c>
      <c r="P87" s="42">
        <f t="shared" si="17"/>
        <v>1.8249999999999999E-2</v>
      </c>
    </row>
    <row r="88" spans="1:16" x14ac:dyDescent="0.3">
      <c r="A88" s="47">
        <f t="shared" si="24"/>
        <v>46309</v>
      </c>
      <c r="B88" s="49">
        <f t="shared" si="25"/>
        <v>0.88541666666666563</v>
      </c>
      <c r="C88" s="42">
        <f>'Říjen vík data'!V87+P88</f>
        <v>0.50450000000000006</v>
      </c>
      <c r="D88" s="42">
        <f t="shared" si="18"/>
        <v>0</v>
      </c>
      <c r="E88">
        <f t="shared" si="19"/>
        <v>0</v>
      </c>
      <c r="F88" s="42">
        <f t="shared" si="20"/>
        <v>0</v>
      </c>
      <c r="G88" s="42">
        <f t="shared" si="21"/>
        <v>0</v>
      </c>
      <c r="H88" s="42">
        <f t="shared" si="22"/>
        <v>0.50450000000000006</v>
      </c>
      <c r="I88" s="42">
        <f t="shared" si="13"/>
        <v>-0.50450000000000006</v>
      </c>
      <c r="J88" s="43">
        <f>MIN('Výpočty '!$B$1*0.9, MAX('Výpočty '!$B$1*0.05, J87 + M88 - MIN(O88, MAX(0, J87 - ('Výpočty '!$B$1*0.1))) - P88))</f>
        <v>3.0502500000000117</v>
      </c>
      <c r="K88" s="46">
        <f>J88/'Výpočty '!$B$1</f>
        <v>0.15251250000000058</v>
      </c>
      <c r="L88" s="42">
        <f t="shared" si="14"/>
        <v>0</v>
      </c>
      <c r="M88" s="42">
        <f t="shared" si="15"/>
        <v>0</v>
      </c>
      <c r="N88" s="42">
        <f t="shared" si="16"/>
        <v>0.52275000000000005</v>
      </c>
      <c r="O88" s="42">
        <f t="shared" si="23"/>
        <v>0.58083333333333342</v>
      </c>
      <c r="P88" s="42">
        <f t="shared" si="17"/>
        <v>1.8249999999999999E-2</v>
      </c>
    </row>
    <row r="89" spans="1:16" x14ac:dyDescent="0.3">
      <c r="A89" s="47">
        <f t="shared" si="24"/>
        <v>46309</v>
      </c>
      <c r="B89" s="49">
        <f t="shared" si="25"/>
        <v>0.89583333333333226</v>
      </c>
      <c r="C89" s="42">
        <f>'Říjen vík data'!V88+P89</f>
        <v>0.50450000000000006</v>
      </c>
      <c r="D89" s="42">
        <f t="shared" si="18"/>
        <v>0</v>
      </c>
      <c r="E89">
        <f t="shared" si="19"/>
        <v>0</v>
      </c>
      <c r="F89" s="42">
        <f t="shared" si="20"/>
        <v>0</v>
      </c>
      <c r="G89" s="42">
        <f t="shared" si="21"/>
        <v>0</v>
      </c>
      <c r="H89" s="42">
        <f t="shared" si="22"/>
        <v>0.50450000000000006</v>
      </c>
      <c r="I89" s="42">
        <f t="shared" si="13"/>
        <v>-0.50450000000000006</v>
      </c>
      <c r="J89" s="43">
        <f>MIN('Výpočty '!$B$1*0.9, MAX('Výpočty '!$B$1*0.05, J88 + M89 - MIN(O89, MAX(0, J88 - ('Výpočty '!$B$1*0.1))) - P89))</f>
        <v>2.451166666666678</v>
      </c>
      <c r="K89" s="46">
        <f>J89/'Výpočty '!$B$1</f>
        <v>0.12255833333333391</v>
      </c>
      <c r="L89" s="42">
        <f t="shared" si="14"/>
        <v>0</v>
      </c>
      <c r="M89" s="42">
        <f t="shared" si="15"/>
        <v>0</v>
      </c>
      <c r="N89" s="42">
        <f t="shared" si="16"/>
        <v>0.52275000000000005</v>
      </c>
      <c r="O89" s="42">
        <f t="shared" si="23"/>
        <v>0.58083333333333342</v>
      </c>
      <c r="P89" s="42">
        <f t="shared" si="17"/>
        <v>1.8249999999999999E-2</v>
      </c>
    </row>
    <row r="90" spans="1:16" x14ac:dyDescent="0.3">
      <c r="A90" s="47">
        <f t="shared" si="24"/>
        <v>46309</v>
      </c>
      <c r="B90" s="49">
        <f t="shared" si="25"/>
        <v>0.90624999999999889</v>
      </c>
      <c r="C90" s="42">
        <f>'Říjen vík data'!V89+P90</f>
        <v>0.50450000000000006</v>
      </c>
      <c r="D90" s="42">
        <f t="shared" si="18"/>
        <v>0</v>
      </c>
      <c r="E90">
        <f t="shared" si="19"/>
        <v>0</v>
      </c>
      <c r="F90" s="42">
        <f t="shared" si="20"/>
        <v>0</v>
      </c>
      <c r="G90" s="42">
        <f t="shared" si="21"/>
        <v>0</v>
      </c>
      <c r="H90" s="42">
        <f t="shared" si="22"/>
        <v>0.50450000000000006</v>
      </c>
      <c r="I90" s="42">
        <f t="shared" si="13"/>
        <v>-0.50450000000000006</v>
      </c>
      <c r="J90" s="43">
        <f>MIN('Výpočty '!$B$1*0.9, MAX('Výpočty '!$B$1*0.05, J89 + M90 - MIN(O90, MAX(0, J89 - ('Výpočty '!$B$1*0.1))) - P90))</f>
        <v>1.9817499999999999</v>
      </c>
      <c r="K90" s="46">
        <f>J90/'Výpočty '!$B$1</f>
        <v>9.9087499999999995E-2</v>
      </c>
      <c r="L90" s="42">
        <f t="shared" si="14"/>
        <v>0</v>
      </c>
      <c r="M90" s="42">
        <f t="shared" si="15"/>
        <v>0</v>
      </c>
      <c r="N90" s="42">
        <f t="shared" si="16"/>
        <v>0.52275000000000005</v>
      </c>
      <c r="O90" s="42">
        <f t="shared" si="23"/>
        <v>0.58083333333333342</v>
      </c>
      <c r="P90" s="42">
        <f t="shared" si="17"/>
        <v>1.8249999999999999E-2</v>
      </c>
    </row>
    <row r="91" spans="1:16" x14ac:dyDescent="0.3">
      <c r="A91" s="47">
        <f t="shared" si="24"/>
        <v>46309</v>
      </c>
      <c r="B91" s="49">
        <f t="shared" si="25"/>
        <v>0.91666666666666552</v>
      </c>
      <c r="C91" s="42">
        <f>'Říjen vík data'!V90+P91</f>
        <v>0.51949999999999996</v>
      </c>
      <c r="D91" s="42">
        <f t="shared" si="18"/>
        <v>0</v>
      </c>
      <c r="E91">
        <f t="shared" si="19"/>
        <v>0</v>
      </c>
      <c r="F91" s="42">
        <f t="shared" si="20"/>
        <v>0</v>
      </c>
      <c r="G91" s="42">
        <f t="shared" si="21"/>
        <v>0</v>
      </c>
      <c r="H91" s="42">
        <f t="shared" si="22"/>
        <v>0.51949999999999996</v>
      </c>
      <c r="I91" s="42">
        <f t="shared" si="13"/>
        <v>-0.51949999999999996</v>
      </c>
      <c r="J91" s="43">
        <f>MIN('Výpočty '!$B$1*0.9, MAX('Výpočty '!$B$1*0.05, J90 + M91 - MIN(O91, MAX(0, J90 - ('Výpočty '!$B$1*0.1))) - P91))</f>
        <v>1.9634999999999998</v>
      </c>
      <c r="K91" s="46">
        <f>J91/'Výpočty '!$B$1</f>
        <v>9.8174999999999985E-2</v>
      </c>
      <c r="L91" s="42">
        <f t="shared" si="14"/>
        <v>0</v>
      </c>
      <c r="M91" s="42">
        <f t="shared" si="15"/>
        <v>0</v>
      </c>
      <c r="N91" s="42">
        <f t="shared" si="16"/>
        <v>0.53774999999999995</v>
      </c>
      <c r="O91" s="42">
        <f t="shared" si="23"/>
        <v>0.59749999999999992</v>
      </c>
      <c r="P91" s="42">
        <f t="shared" si="17"/>
        <v>1.8249999999999999E-2</v>
      </c>
    </row>
    <row r="92" spans="1:16" x14ac:dyDescent="0.3">
      <c r="A92" s="47">
        <f t="shared" si="24"/>
        <v>46309</v>
      </c>
      <c r="B92" s="49">
        <f t="shared" si="25"/>
        <v>0.92708333333333215</v>
      </c>
      <c r="C92" s="42">
        <f>'Říjen vík data'!V91+P92</f>
        <v>0.51949999999999996</v>
      </c>
      <c r="D92" s="42">
        <f t="shared" si="18"/>
        <v>0</v>
      </c>
      <c r="E92">
        <f t="shared" si="19"/>
        <v>0</v>
      </c>
      <c r="F92" s="42">
        <f t="shared" si="20"/>
        <v>0</v>
      </c>
      <c r="G92" s="42">
        <f t="shared" si="21"/>
        <v>0</v>
      </c>
      <c r="H92" s="42">
        <f t="shared" si="22"/>
        <v>0.51949999999999996</v>
      </c>
      <c r="I92" s="42">
        <f t="shared" si="13"/>
        <v>-0.51949999999999996</v>
      </c>
      <c r="J92" s="43">
        <f>MIN('Výpočty '!$B$1*0.9, MAX('Výpočty '!$B$1*0.05, J91 + M92 - MIN(O92, MAX(0, J91 - ('Výpočty '!$B$1*0.1))) - P92))</f>
        <v>1.9452499999999997</v>
      </c>
      <c r="K92" s="46">
        <f>J92/'Výpočty '!$B$1</f>
        <v>9.7262499999999988E-2</v>
      </c>
      <c r="L92" s="42">
        <f t="shared" si="14"/>
        <v>0</v>
      </c>
      <c r="M92" s="42">
        <f t="shared" si="15"/>
        <v>0</v>
      </c>
      <c r="N92" s="42">
        <f t="shared" si="16"/>
        <v>0.53774999999999995</v>
      </c>
      <c r="O92" s="42">
        <f t="shared" si="23"/>
        <v>0.59749999999999992</v>
      </c>
      <c r="P92" s="42">
        <f t="shared" si="17"/>
        <v>1.8249999999999999E-2</v>
      </c>
    </row>
    <row r="93" spans="1:16" x14ac:dyDescent="0.3">
      <c r="A93" s="47">
        <f t="shared" si="24"/>
        <v>46309</v>
      </c>
      <c r="B93" s="49">
        <f t="shared" si="25"/>
        <v>0.93749999999999878</v>
      </c>
      <c r="C93" s="42">
        <f>'Říjen vík data'!V92+P93</f>
        <v>0.89449999999999996</v>
      </c>
      <c r="D93" s="42">
        <f t="shared" si="18"/>
        <v>0</v>
      </c>
      <c r="E93">
        <f t="shared" si="19"/>
        <v>0</v>
      </c>
      <c r="F93" s="42">
        <f t="shared" si="20"/>
        <v>0</v>
      </c>
      <c r="G93" s="42">
        <f t="shared" si="21"/>
        <v>0</v>
      </c>
      <c r="H93" s="42">
        <f t="shared" si="22"/>
        <v>0.89449999999999996</v>
      </c>
      <c r="I93" s="42">
        <f t="shared" si="13"/>
        <v>-0.89449999999999996</v>
      </c>
      <c r="J93" s="43">
        <f>MIN('Výpočty '!$B$1*0.9, MAX('Výpočty '!$B$1*0.05, J92 + M93 - MIN(O93, MAX(0, J92 - ('Výpočty '!$B$1*0.1))) - P93))</f>
        <v>1.9269999999999996</v>
      </c>
      <c r="K93" s="46">
        <f>J93/'Výpočty '!$B$1</f>
        <v>9.6349999999999977E-2</v>
      </c>
      <c r="L93" s="42">
        <f t="shared" si="14"/>
        <v>0</v>
      </c>
      <c r="M93" s="42">
        <f t="shared" si="15"/>
        <v>0</v>
      </c>
      <c r="N93" s="42">
        <f t="shared" si="16"/>
        <v>0.91274999999999995</v>
      </c>
      <c r="O93" s="42">
        <f t="shared" si="23"/>
        <v>1.0141666666666667</v>
      </c>
      <c r="P93" s="42">
        <f t="shared" si="17"/>
        <v>1.8249999999999999E-2</v>
      </c>
    </row>
    <row r="94" spans="1:16" x14ac:dyDescent="0.3">
      <c r="A94" s="47">
        <f t="shared" si="24"/>
        <v>46309</v>
      </c>
      <c r="B94" s="49">
        <f t="shared" si="25"/>
        <v>0.94791666666666541</v>
      </c>
      <c r="C94" s="42">
        <f>'Říjen vík data'!V93+P94</f>
        <v>0.85099999999999998</v>
      </c>
      <c r="D94" s="42">
        <f t="shared" si="18"/>
        <v>0</v>
      </c>
      <c r="E94">
        <f t="shared" si="19"/>
        <v>0</v>
      </c>
      <c r="F94" s="42">
        <f t="shared" si="20"/>
        <v>0</v>
      </c>
      <c r="G94" s="42">
        <f t="shared" si="21"/>
        <v>0</v>
      </c>
      <c r="H94" s="42">
        <f t="shared" si="22"/>
        <v>0.85099999999999998</v>
      </c>
      <c r="I94" s="42">
        <f t="shared" si="13"/>
        <v>-0.85099999999999998</v>
      </c>
      <c r="J94" s="43">
        <f>MIN('Výpočty '!$B$1*0.9, MAX('Výpočty '!$B$1*0.05, J93 + M94 - MIN(O94, MAX(0, J93 - ('Výpočty '!$B$1*0.1))) - P94))</f>
        <v>1.9087499999999995</v>
      </c>
      <c r="K94" s="46">
        <f>J94/'Výpočty '!$B$1</f>
        <v>9.5437499999999981E-2</v>
      </c>
      <c r="L94" s="42">
        <f t="shared" si="14"/>
        <v>0</v>
      </c>
      <c r="M94" s="42">
        <f t="shared" si="15"/>
        <v>0</v>
      </c>
      <c r="N94" s="42">
        <f t="shared" si="16"/>
        <v>0.86924999999999997</v>
      </c>
      <c r="O94" s="42">
        <f t="shared" si="23"/>
        <v>0.96583333333333332</v>
      </c>
      <c r="P94" s="42">
        <f t="shared" si="17"/>
        <v>1.8249999999999999E-2</v>
      </c>
    </row>
    <row r="95" spans="1:16" x14ac:dyDescent="0.3">
      <c r="A95" s="47">
        <f t="shared" si="24"/>
        <v>46309</v>
      </c>
      <c r="B95" s="49">
        <f t="shared" si="25"/>
        <v>0.95833333333333204</v>
      </c>
      <c r="C95" s="42">
        <f>'Říjen vík data'!V94+P95</f>
        <v>0.45100000000000001</v>
      </c>
      <c r="D95" s="42">
        <f t="shared" si="18"/>
        <v>0</v>
      </c>
      <c r="E95">
        <f t="shared" si="19"/>
        <v>0</v>
      </c>
      <c r="F95" s="42">
        <f t="shared" si="20"/>
        <v>0</v>
      </c>
      <c r="G95" s="42">
        <f t="shared" si="21"/>
        <v>0</v>
      </c>
      <c r="H95" s="42">
        <f t="shared" si="22"/>
        <v>0.45100000000000001</v>
      </c>
      <c r="I95" s="42">
        <f t="shared" si="13"/>
        <v>-0.45100000000000001</v>
      </c>
      <c r="J95" s="43">
        <f>MIN('Výpočty '!$B$1*0.9, MAX('Výpočty '!$B$1*0.05, J94 + M95 - MIN(O95, MAX(0, J94 - ('Výpočty '!$B$1*0.1))) - P95))</f>
        <v>1.8904999999999994</v>
      </c>
      <c r="K95" s="46">
        <f>J95/'Výpočty '!$B$1</f>
        <v>9.452499999999997E-2</v>
      </c>
      <c r="L95" s="42">
        <f t="shared" si="14"/>
        <v>0</v>
      </c>
      <c r="M95" s="42">
        <f t="shared" si="15"/>
        <v>0</v>
      </c>
      <c r="N95" s="42">
        <f t="shared" si="16"/>
        <v>0.46925</v>
      </c>
      <c r="O95" s="42">
        <f t="shared" si="23"/>
        <v>0.5213888888888889</v>
      </c>
      <c r="P95" s="42">
        <f t="shared" si="17"/>
        <v>1.8249999999999999E-2</v>
      </c>
    </row>
    <row r="96" spans="1:16" x14ac:dyDescent="0.3">
      <c r="A96" s="47">
        <f t="shared" si="24"/>
        <v>46309</v>
      </c>
      <c r="B96" s="49">
        <f t="shared" si="25"/>
        <v>0.96874999999999867</v>
      </c>
      <c r="C96" s="42">
        <f>'Říjen vík data'!V95+P96</f>
        <v>0.45100000000000001</v>
      </c>
      <c r="D96" s="42">
        <f t="shared" si="18"/>
        <v>0</v>
      </c>
      <c r="E96">
        <f t="shared" si="19"/>
        <v>0</v>
      </c>
      <c r="F96" s="42">
        <f t="shared" si="20"/>
        <v>0</v>
      </c>
      <c r="G96" s="42">
        <f t="shared" si="21"/>
        <v>0</v>
      </c>
      <c r="H96" s="42">
        <f t="shared" si="22"/>
        <v>0.45100000000000001</v>
      </c>
      <c r="I96" s="42">
        <f t="shared" si="13"/>
        <v>-0.45100000000000001</v>
      </c>
      <c r="J96" s="43">
        <f>MIN('Výpočty '!$B$1*0.9, MAX('Výpočty '!$B$1*0.05, J95 + M96 - MIN(O96, MAX(0, J95 - ('Výpočty '!$B$1*0.1))) - P96))</f>
        <v>1.8722499999999993</v>
      </c>
      <c r="K96" s="46">
        <f>J96/'Výpočty '!$B$1</f>
        <v>9.361249999999996E-2</v>
      </c>
      <c r="L96" s="42">
        <f t="shared" si="14"/>
        <v>0</v>
      </c>
      <c r="M96" s="42">
        <f t="shared" si="15"/>
        <v>0</v>
      </c>
      <c r="N96" s="42">
        <f t="shared" si="16"/>
        <v>0.46925</v>
      </c>
      <c r="O96" s="42">
        <f t="shared" si="23"/>
        <v>0.5213888888888889</v>
      </c>
      <c r="P96" s="42">
        <f t="shared" si="17"/>
        <v>1.8249999999999999E-2</v>
      </c>
    </row>
    <row r="97" spans="1:16" x14ac:dyDescent="0.3">
      <c r="A97" s="47">
        <f t="shared" si="24"/>
        <v>46309</v>
      </c>
      <c r="B97" s="49">
        <f t="shared" si="25"/>
        <v>0.9791666666666653</v>
      </c>
      <c r="C97" s="42">
        <f>'Říjen vík data'!V96+P97</f>
        <v>0.44600000000000001</v>
      </c>
      <c r="D97" s="42">
        <f t="shared" si="18"/>
        <v>0</v>
      </c>
      <c r="E97">
        <f t="shared" si="19"/>
        <v>0</v>
      </c>
      <c r="F97" s="42">
        <f t="shared" si="20"/>
        <v>0</v>
      </c>
      <c r="G97" s="42">
        <f t="shared" si="21"/>
        <v>0</v>
      </c>
      <c r="H97" s="42">
        <f t="shared" si="22"/>
        <v>0.44600000000000001</v>
      </c>
      <c r="I97" s="42">
        <f t="shared" si="13"/>
        <v>-0.44600000000000001</v>
      </c>
      <c r="J97" s="43">
        <f>MIN('Výpočty '!$B$1*0.9, MAX('Výpočty '!$B$1*0.05, J96 + M97 - MIN(O97, MAX(0, J96 - ('Výpočty '!$B$1*0.1))) - P97))</f>
        <v>1.8539999999999992</v>
      </c>
      <c r="K97" s="46">
        <f>J97/'Výpočty '!$B$1</f>
        <v>9.2699999999999963E-2</v>
      </c>
      <c r="L97" s="42">
        <f t="shared" si="14"/>
        <v>0</v>
      </c>
      <c r="M97" s="42">
        <f t="shared" si="15"/>
        <v>0</v>
      </c>
      <c r="N97" s="42">
        <f t="shared" si="16"/>
        <v>0.46425</v>
      </c>
      <c r="O97" s="42">
        <f t="shared" si="23"/>
        <v>0.51583333333333337</v>
      </c>
      <c r="P97" s="42">
        <f t="shared" si="17"/>
        <v>1.8249999999999999E-2</v>
      </c>
    </row>
    <row r="98" spans="1:16" x14ac:dyDescent="0.3">
      <c r="A98" s="47">
        <f t="shared" si="24"/>
        <v>46309</v>
      </c>
      <c r="B98" s="49">
        <f t="shared" si="25"/>
        <v>0.98958333333333193</v>
      </c>
      <c r="C98" s="42">
        <f>'Říjen vík data'!V97+P98</f>
        <v>0.41975000000000001</v>
      </c>
      <c r="D98" s="42">
        <f t="shared" si="18"/>
        <v>0</v>
      </c>
      <c r="E98">
        <f t="shared" si="19"/>
        <v>0</v>
      </c>
      <c r="F98" s="42">
        <f t="shared" si="20"/>
        <v>0</v>
      </c>
      <c r="G98" s="42">
        <f t="shared" si="21"/>
        <v>0</v>
      </c>
      <c r="H98" s="42">
        <f>MAX(0, MIN(C98 - D98, N98 ))</f>
        <v>0.41975000000000001</v>
      </c>
      <c r="I98" s="42">
        <f t="shared" si="13"/>
        <v>-0.41975000000000001</v>
      </c>
      <c r="J98" s="43">
        <f>MIN('Výpočty '!$B$1*0.9, MAX('Výpočty '!$B$1*0.05, J97 + M98 - MIN(O98, MAX(0, J97 - ('Výpočty '!$B$1*0.1))) - P98))</f>
        <v>1.8357499999999991</v>
      </c>
      <c r="K98" s="46">
        <f>J98/'Výpočty '!$B$1</f>
        <v>9.1787499999999952E-2</v>
      </c>
      <c r="L98" s="42">
        <f t="shared" si="14"/>
        <v>0</v>
      </c>
      <c r="M98" s="42">
        <f t="shared" si="15"/>
        <v>0</v>
      </c>
      <c r="N98" s="42">
        <f t="shared" si="16"/>
        <v>0.438</v>
      </c>
      <c r="O98" s="42">
        <f t="shared" si="23"/>
        <v>0.48666666666666664</v>
      </c>
      <c r="P98" s="42">
        <f t="shared" si="17"/>
        <v>1.8249999999999999E-2</v>
      </c>
    </row>
    <row r="99" spans="1:16" x14ac:dyDescent="0.3">
      <c r="A99" s="48" t="s">
        <v>5</v>
      </c>
      <c r="B99" s="48" t="s">
        <v>268</v>
      </c>
      <c r="C99" s="44">
        <f t="shared" ref="C99:D99" si="26">SUM(C3:C98)</f>
        <v>48.461500000000001</v>
      </c>
      <c r="D99" s="44">
        <f t="shared" si="26"/>
        <v>20.799750000000003</v>
      </c>
      <c r="E99" s="4">
        <f>SUM(E3:E98)</f>
        <v>40.668000000000006</v>
      </c>
      <c r="F99" s="44">
        <f t="shared" ref="F99:I99" si="27">SUM(F3:F98)</f>
        <v>0</v>
      </c>
      <c r="G99" s="44">
        <f t="shared" si="27"/>
        <v>0</v>
      </c>
      <c r="H99" s="44">
        <f t="shared" si="27"/>
        <v>27.661750000000005</v>
      </c>
      <c r="I99" s="44">
        <f t="shared" si="27"/>
        <v>-7.7934999999999999</v>
      </c>
      <c r="J99" s="45">
        <f>J98</f>
        <v>1.8357499999999991</v>
      </c>
      <c r="K99" s="51">
        <f>K98</f>
        <v>9.1787499999999952E-2</v>
      </c>
      <c r="L99" s="44">
        <f>SUM(L3:L98)</f>
        <v>17.881425000000004</v>
      </c>
      <c r="M99" s="44">
        <f t="shared" ref="M99:P99" si="28">SUM(M3:M98)</f>
        <v>19.868250000000003</v>
      </c>
      <c r="N99" s="44">
        <f t="shared" si="28"/>
        <v>29.413749999999993</v>
      </c>
      <c r="O99" s="44">
        <f t="shared" si="28"/>
        <v>32.681944444444468</v>
      </c>
      <c r="P99" s="44">
        <f t="shared" si="28"/>
        <v>1.7520000000000036</v>
      </c>
    </row>
    <row r="102" spans="1:16" ht="23.4" x14ac:dyDescent="0.45">
      <c r="J102" s="69" t="s">
        <v>312</v>
      </c>
      <c r="K102" s="71">
        <f>MAX(J3:J98)</f>
        <v>17.694083333333339</v>
      </c>
      <c r="L102" s="97" t="s">
        <v>316</v>
      </c>
    </row>
    <row r="103" spans="1:16" ht="23.4" x14ac:dyDescent="0.45">
      <c r="J103" s="69" t="s">
        <v>313</v>
      </c>
      <c r="K103" s="71">
        <f>MIN(J3:J98)</f>
        <v>1.8357499999999991</v>
      </c>
      <c r="L103" s="97"/>
    </row>
    <row r="104" spans="1:16" ht="23.4" x14ac:dyDescent="0.45">
      <c r="J104" s="69" t="s">
        <v>314</v>
      </c>
      <c r="K104" s="71">
        <f>J98 -J2</f>
        <v>-8.1642500000000009</v>
      </c>
      <c r="L104" s="97"/>
    </row>
    <row r="105" spans="1:16" ht="23.4" x14ac:dyDescent="0.45">
      <c r="J105" s="69" t="s">
        <v>315</v>
      </c>
      <c r="K105" s="71">
        <f>MAX(J3:J98) - MIN(J3:J98)</f>
        <v>15.85833333333334</v>
      </c>
      <c r="L105" s="97"/>
    </row>
    <row r="108" spans="1:16" x14ac:dyDescent="0.3">
      <c r="D108" s="2" t="s">
        <v>72</v>
      </c>
      <c r="E108" s="72">
        <f ca="1">SUM(OFFSET('Říjen vík data'!$D$2:$D$97, 0, ROW(A1)-1))</f>
        <v>16.125</v>
      </c>
      <c r="F108" s="80" t="s">
        <v>316</v>
      </c>
    </row>
    <row r="109" spans="1:16" x14ac:dyDescent="0.3">
      <c r="D109" s="2" t="s">
        <v>181</v>
      </c>
      <c r="E109" s="72">
        <f ca="1">SUM(OFFSET('Říjen vík data'!$D$2:$D$97, 0, ROW(A2)-1))</f>
        <v>0.33749999999999997</v>
      </c>
      <c r="F109" s="80"/>
    </row>
    <row r="110" spans="1:16" x14ac:dyDescent="0.3">
      <c r="D110" s="2" t="s">
        <v>180</v>
      </c>
      <c r="E110" s="72">
        <f ca="1">SUM(OFFSET('Říjen vík data'!$D$2:$D$97, 0, ROW(A3)-1))</f>
        <v>0.25500000000000012</v>
      </c>
      <c r="F110" s="80"/>
    </row>
    <row r="111" spans="1:16" x14ac:dyDescent="0.3">
      <c r="D111" s="2" t="s">
        <v>179</v>
      </c>
      <c r="E111" s="72">
        <f ca="1">SUM(OFFSET('Říjen vík data'!$D$2:$D$97, 0, ROW(A4)-1))</f>
        <v>13.5</v>
      </c>
      <c r="F111" s="80"/>
    </row>
    <row r="112" spans="1:16" x14ac:dyDescent="0.3">
      <c r="D112" s="2" t="s">
        <v>178</v>
      </c>
      <c r="E112" s="72">
        <f ca="1">SUM(OFFSET('Říjen vík data'!$D$2:$D$97, 0, ROW(A5)-1))</f>
        <v>0.75</v>
      </c>
      <c r="F112" s="80"/>
    </row>
    <row r="113" spans="4:6" x14ac:dyDescent="0.3">
      <c r="D113" s="2" t="s">
        <v>177</v>
      </c>
      <c r="E113" s="72">
        <f ca="1">SUM(OFFSET('Říjen vík data'!$D$2:$D$97, 0, ROW(A6)-1))</f>
        <v>4.5</v>
      </c>
      <c r="F113" s="80"/>
    </row>
    <row r="114" spans="4:6" x14ac:dyDescent="0.3">
      <c r="D114" s="2" t="s">
        <v>60</v>
      </c>
      <c r="E114" s="72">
        <f ca="1">SUM(OFFSET('Říjen vík data'!$D$2:$D$97, 0, ROW(A7)-1))</f>
        <v>0.67999999999999983</v>
      </c>
      <c r="F114" s="80"/>
    </row>
    <row r="115" spans="4:6" x14ac:dyDescent="0.3">
      <c r="D115" s="2" t="s">
        <v>176</v>
      </c>
      <c r="E115" s="72">
        <f ca="1">SUM(OFFSET('Říjen vík data'!$D$2:$D$97, 0, ROW(A8)-1))</f>
        <v>0.9375</v>
      </c>
      <c r="F115" s="80"/>
    </row>
    <row r="116" spans="4:6" x14ac:dyDescent="0.3">
      <c r="D116" s="2" t="s">
        <v>39</v>
      </c>
      <c r="E116" s="72">
        <f ca="1">SUM(OFFSET('Říjen vík data'!$D$2:$D$97, 0, ROW(A9)-1))</f>
        <v>3.15</v>
      </c>
      <c r="F116" s="80"/>
    </row>
    <row r="117" spans="4:6" x14ac:dyDescent="0.3">
      <c r="D117" s="2" t="s">
        <v>36</v>
      </c>
      <c r="E117" s="72">
        <f ca="1">SUM(OFFSET('Říjen vík data'!$D$2:$D$97, 0, ROW(A10)-1))</f>
        <v>1.875</v>
      </c>
      <c r="F117" s="80"/>
    </row>
    <row r="118" spans="4:6" x14ac:dyDescent="0.3">
      <c r="D118" s="2" t="s">
        <v>41</v>
      </c>
      <c r="E118" s="72">
        <f ca="1">SUM(OFFSET('Říjen vík data'!$D$2:$D$97, 0, ROW(A11)-1))</f>
        <v>2.75</v>
      </c>
      <c r="F118" s="80"/>
    </row>
    <row r="119" spans="4:6" x14ac:dyDescent="0.3">
      <c r="D119" s="2" t="s">
        <v>175</v>
      </c>
      <c r="E119" s="72">
        <f ca="1">SUM(OFFSET('Říjen vík data'!$D$2:$D$97, 0, ROW(A12)-1))</f>
        <v>0.25200000000000011</v>
      </c>
      <c r="F119" s="80"/>
    </row>
    <row r="120" spans="4:6" x14ac:dyDescent="0.3">
      <c r="D120" s="2" t="s">
        <v>64</v>
      </c>
      <c r="E120" s="72">
        <f ca="1">SUM(OFFSET('Říjen vík data'!$D$2:$D$97, 0, ROW(A13)-1))</f>
        <v>0.32000000000000017</v>
      </c>
      <c r="F120" s="80"/>
    </row>
    <row r="121" spans="4:6" x14ac:dyDescent="0.3">
      <c r="D121" s="2" t="s">
        <v>62</v>
      </c>
      <c r="E121" s="72">
        <f ca="1">SUM(OFFSET('Říjen vík data'!$D$2:$D$97, 0, ROW(A14)-1))</f>
        <v>0.1</v>
      </c>
      <c r="F121" s="80"/>
    </row>
    <row r="122" spans="4:6" x14ac:dyDescent="0.3">
      <c r="D122" s="2" t="s">
        <v>174</v>
      </c>
      <c r="E122" s="72">
        <f ca="1">SUM(OFFSET('Říjen vík data'!$D$2:$D$97, 0, ROW(A15)-1))</f>
        <v>9.7500000000000003E-2</v>
      </c>
      <c r="F122" s="80"/>
    </row>
    <row r="123" spans="4:6" x14ac:dyDescent="0.3">
      <c r="D123" s="2" t="s">
        <v>173</v>
      </c>
      <c r="E123" s="72">
        <f ca="1">SUM(OFFSET('Říjen vík data'!$D$2:$D$97, 0, ROW(A16)-1))</f>
        <v>0.19999999999999998</v>
      </c>
      <c r="F123" s="80"/>
    </row>
    <row r="124" spans="4:6" x14ac:dyDescent="0.3">
      <c r="D124" s="2" t="s">
        <v>172</v>
      </c>
      <c r="E124" s="72">
        <f ca="1">SUM(OFFSET('Říjen vík data'!$D$2:$D$97, 0, ROW(A17)-1))</f>
        <v>0.16</v>
      </c>
      <c r="F124" s="80"/>
    </row>
    <row r="125" spans="4:6" x14ac:dyDescent="0.3">
      <c r="D125" s="2" t="s">
        <v>171</v>
      </c>
      <c r="E125" s="72">
        <f ca="1">SUM(OFFSET('Říjen vík data'!$D$2:$D$97, 0, ROW(A18)-1))</f>
        <v>0</v>
      </c>
      <c r="F125" s="80"/>
    </row>
  </sheetData>
  <mergeCells count="4">
    <mergeCell ref="A1:A2"/>
    <mergeCell ref="B1:B2"/>
    <mergeCell ref="L102:L105"/>
    <mergeCell ref="F108:F125"/>
  </mergeCells>
  <conditionalFormatting sqref="I1:I99">
    <cfRule type="cellIs" dxfId="6" priority="7" operator="lessThan">
      <formula>0</formula>
    </cfRule>
  </conditionalFormatting>
  <conditionalFormatting sqref="I3:I99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J3:J98">
    <cfRule type="expression" dxfId="3" priority="2">
      <formula>J3&lt;Kapacita_baterie*Soc_Min</formula>
    </cfRule>
    <cfRule type="expression" dxfId="2" priority="3">
      <formula>J3=Kapacita_baterie*Soc_Min</formula>
    </cfRule>
    <cfRule type="expression" dxfId="1" priority="4">
      <formula>J3&gt;=Kapacita_baterie*Soc_Max</formula>
    </cfRule>
  </conditionalFormatting>
  <conditionalFormatting sqref="J102">
    <cfRule type="cellIs" dxfId="0" priority="1" operator="lessThan">
      <formula>0</formula>
    </cfRule>
  </conditionalFormatting>
  <pageMargins left="0.7" right="0.7" top="0.78740157499999996" bottom="0.78740157499999996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C585-BD50-483E-8C61-AE613A2A31A1}">
  <sheetPr>
    <tabColor rgb="FFFFC000"/>
  </sheetPr>
  <dimension ref="A1:V126"/>
  <sheetViews>
    <sheetView topLeftCell="A65" zoomScale="70" zoomScaleNormal="70" workbookViewId="0">
      <selection activeCell="V2" sqref="V2"/>
    </sheetView>
  </sheetViews>
  <sheetFormatPr defaultRowHeight="14.4" x14ac:dyDescent="0.3"/>
  <cols>
    <col min="1" max="1" width="12" customWidth="1"/>
    <col min="3" max="3" width="31.88671875" customWidth="1"/>
    <col min="4" max="4" width="31.109375" customWidth="1"/>
    <col min="6" max="6" width="14.88671875" customWidth="1"/>
    <col min="7" max="7" width="19.109375" customWidth="1"/>
    <col min="8" max="8" width="11.6640625" customWidth="1"/>
    <col min="9" max="9" width="17.5546875" customWidth="1"/>
    <col min="15" max="15" width="17.6640625" customWidth="1"/>
    <col min="17" max="17" width="16.6640625" customWidth="1"/>
    <col min="19" max="19" width="11.6640625" customWidth="1"/>
    <col min="20" max="20" width="12.109375" customWidth="1"/>
    <col min="22" max="22" width="20.33203125" customWidth="1"/>
  </cols>
  <sheetData>
    <row r="1" spans="1:22" x14ac:dyDescent="0.3">
      <c r="A1" s="17" t="s">
        <v>184</v>
      </c>
      <c r="B1" s="17" t="s">
        <v>183</v>
      </c>
      <c r="C1" s="17" t="s">
        <v>182</v>
      </c>
      <c r="D1" s="17" t="s">
        <v>72</v>
      </c>
      <c r="E1" s="17" t="s">
        <v>181</v>
      </c>
      <c r="F1" s="17" t="s">
        <v>180</v>
      </c>
      <c r="G1" s="17" t="s">
        <v>179</v>
      </c>
      <c r="H1" s="17" t="s">
        <v>178</v>
      </c>
      <c r="I1" s="17" t="s">
        <v>177</v>
      </c>
      <c r="J1" s="17" t="s">
        <v>60</v>
      </c>
      <c r="K1" s="17" t="s">
        <v>176</v>
      </c>
      <c r="L1" s="17" t="s">
        <v>39</v>
      </c>
      <c r="M1" s="17" t="s">
        <v>36</v>
      </c>
      <c r="N1" s="17" t="s">
        <v>41</v>
      </c>
      <c r="O1" s="17" t="s">
        <v>175</v>
      </c>
      <c r="P1" s="17" t="s">
        <v>64</v>
      </c>
      <c r="Q1" s="17" t="s">
        <v>62</v>
      </c>
      <c r="R1" s="17" t="s">
        <v>174</v>
      </c>
      <c r="S1" s="17" t="s">
        <v>173</v>
      </c>
      <c r="T1" s="17" t="s">
        <v>172</v>
      </c>
      <c r="U1" s="17" t="s">
        <v>171</v>
      </c>
      <c r="V1" s="17" t="s">
        <v>170</v>
      </c>
    </row>
    <row r="2" spans="1:22" x14ac:dyDescent="0.3">
      <c r="A2" s="19">
        <v>46309</v>
      </c>
      <c r="B2" s="4" t="s">
        <v>169</v>
      </c>
      <c r="C2" s="4">
        <v>7.4999999999999997E-3</v>
      </c>
      <c r="D2" s="4">
        <v>0</v>
      </c>
      <c r="E2" s="4">
        <v>0</v>
      </c>
      <c r="F2" s="4">
        <v>1.4999999999999999E-2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4.0000000000000001E-3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13">
        <f>C2+D2+E2+F2+G2+H2+I2+J2+K2+L2+M2+N2+O2+P2+Q2+R2+S2+T2+U2</f>
        <v>2.6499999999999999E-2</v>
      </c>
    </row>
    <row r="3" spans="1:22" x14ac:dyDescent="0.3">
      <c r="A3" s="19">
        <v>46309</v>
      </c>
      <c r="B3" s="4" t="s">
        <v>168</v>
      </c>
      <c r="C3" s="4">
        <v>7.4999999999999997E-3</v>
      </c>
      <c r="D3" s="4">
        <v>0</v>
      </c>
      <c r="E3" s="4">
        <v>0</v>
      </c>
      <c r="F3" s="4">
        <v>1.4999999999999999E-2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13">
        <f t="shared" ref="V3:V66" si="0">C3+D3+E3+F3+G3+H3+I3+J3+K3+L3+M3+N3+O3+P3+Q3+R3+S3+T3+U3</f>
        <v>2.2499999999999999E-2</v>
      </c>
    </row>
    <row r="4" spans="1:22" x14ac:dyDescent="0.3">
      <c r="A4" s="19">
        <v>46309</v>
      </c>
      <c r="B4" s="4" t="s">
        <v>167</v>
      </c>
      <c r="C4" s="4">
        <v>7.4999999999999997E-3</v>
      </c>
      <c r="D4" s="4">
        <v>0</v>
      </c>
      <c r="E4" s="4">
        <v>0</v>
      </c>
      <c r="F4" s="4">
        <v>1.4999999999999999E-2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13">
        <f t="shared" si="0"/>
        <v>2.2499999999999999E-2</v>
      </c>
    </row>
    <row r="5" spans="1:22" x14ac:dyDescent="0.3">
      <c r="A5" s="19">
        <v>46309</v>
      </c>
      <c r="B5" s="4" t="s">
        <v>166</v>
      </c>
      <c r="C5" s="4">
        <v>7.4999999999999997E-3</v>
      </c>
      <c r="D5" s="4">
        <v>0</v>
      </c>
      <c r="E5" s="4">
        <v>0</v>
      </c>
      <c r="F5" s="4">
        <v>1.4999999999999999E-2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13">
        <f t="shared" si="0"/>
        <v>2.2499999999999999E-2</v>
      </c>
    </row>
    <row r="6" spans="1:22" x14ac:dyDescent="0.3">
      <c r="A6" s="19">
        <v>46309</v>
      </c>
      <c r="B6" s="4" t="s">
        <v>165</v>
      </c>
      <c r="C6" s="4">
        <v>7.4999999999999997E-3</v>
      </c>
      <c r="D6" s="4">
        <v>0</v>
      </c>
      <c r="E6" s="4">
        <v>0</v>
      </c>
      <c r="F6" s="4">
        <v>1.4999999999999999E-2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13">
        <f t="shared" si="0"/>
        <v>2.2499999999999999E-2</v>
      </c>
    </row>
    <row r="7" spans="1:22" x14ac:dyDescent="0.3">
      <c r="A7" s="19">
        <v>46309</v>
      </c>
      <c r="B7" s="4" t="s">
        <v>164</v>
      </c>
      <c r="C7" s="4">
        <v>7.4999999999999997E-3</v>
      </c>
      <c r="D7" s="4">
        <v>0</v>
      </c>
      <c r="E7" s="4">
        <v>0</v>
      </c>
      <c r="F7" s="4">
        <v>1.4999999999999999E-2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13">
        <f t="shared" si="0"/>
        <v>2.2499999999999999E-2</v>
      </c>
    </row>
    <row r="8" spans="1:22" x14ac:dyDescent="0.3">
      <c r="A8" s="19">
        <v>46309</v>
      </c>
      <c r="B8" s="4" t="s">
        <v>163</v>
      </c>
      <c r="C8" s="4">
        <v>7.4999999999999997E-3</v>
      </c>
      <c r="D8" s="4">
        <v>0</v>
      </c>
      <c r="E8" s="4">
        <v>0</v>
      </c>
      <c r="F8" s="4">
        <v>1.4999999999999999E-2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13">
        <f t="shared" si="0"/>
        <v>2.2499999999999999E-2</v>
      </c>
    </row>
    <row r="9" spans="1:22" x14ac:dyDescent="0.3">
      <c r="A9" s="19">
        <v>46309</v>
      </c>
      <c r="B9" s="4" t="s">
        <v>162</v>
      </c>
      <c r="C9" s="4">
        <v>7.4999999999999997E-3</v>
      </c>
      <c r="D9" s="4">
        <v>0</v>
      </c>
      <c r="E9" s="4">
        <v>0</v>
      </c>
      <c r="F9" s="4">
        <v>1.4999999999999999E-2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13">
        <f t="shared" si="0"/>
        <v>2.2499999999999999E-2</v>
      </c>
    </row>
    <row r="10" spans="1:22" x14ac:dyDescent="0.3">
      <c r="A10" s="19">
        <v>46309</v>
      </c>
      <c r="B10" s="68" t="s">
        <v>161</v>
      </c>
      <c r="C10" s="4">
        <v>7.4999999999999997E-3</v>
      </c>
      <c r="D10" s="4">
        <v>0</v>
      </c>
      <c r="E10" s="4">
        <v>0</v>
      </c>
      <c r="F10" s="4">
        <v>1.4999999999999999E-2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13">
        <f t="shared" si="0"/>
        <v>2.2499999999999999E-2</v>
      </c>
    </row>
    <row r="11" spans="1:22" x14ac:dyDescent="0.3">
      <c r="A11" s="19">
        <v>46309</v>
      </c>
      <c r="B11" s="68" t="s">
        <v>160</v>
      </c>
      <c r="C11" s="4">
        <v>7.4999999999999997E-3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13">
        <f t="shared" si="0"/>
        <v>7.4999999999999997E-3</v>
      </c>
    </row>
    <row r="12" spans="1:22" x14ac:dyDescent="0.3">
      <c r="A12" s="19">
        <v>46309</v>
      </c>
      <c r="B12" s="68" t="s">
        <v>159</v>
      </c>
      <c r="C12" s="4">
        <v>7.4999999999999997E-3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13">
        <f t="shared" si="0"/>
        <v>7.4999999999999997E-3</v>
      </c>
    </row>
    <row r="13" spans="1:22" x14ac:dyDescent="0.3">
      <c r="A13" s="19">
        <v>46309</v>
      </c>
      <c r="B13" s="68" t="s">
        <v>158</v>
      </c>
      <c r="C13" s="4">
        <v>7.4999999999999997E-3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13">
        <f t="shared" si="0"/>
        <v>7.4999999999999997E-3</v>
      </c>
    </row>
    <row r="14" spans="1:22" x14ac:dyDescent="0.3">
      <c r="A14" s="19">
        <v>46309</v>
      </c>
      <c r="B14" s="68" t="s">
        <v>157</v>
      </c>
      <c r="C14" s="4">
        <v>7.4999999999999997E-3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13">
        <f t="shared" si="0"/>
        <v>7.4999999999999997E-3</v>
      </c>
    </row>
    <row r="15" spans="1:22" x14ac:dyDescent="0.3">
      <c r="A15" s="19">
        <v>46309</v>
      </c>
      <c r="B15" s="68" t="s">
        <v>156</v>
      </c>
      <c r="C15" s="4">
        <v>7.4999999999999997E-3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13">
        <f t="shared" si="0"/>
        <v>7.4999999999999997E-3</v>
      </c>
    </row>
    <row r="16" spans="1:22" x14ac:dyDescent="0.3">
      <c r="A16" s="19">
        <v>46309</v>
      </c>
      <c r="B16" s="68" t="s">
        <v>155</v>
      </c>
      <c r="C16" s="4">
        <v>7.4999999999999997E-3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13">
        <f t="shared" si="0"/>
        <v>7.4999999999999997E-3</v>
      </c>
    </row>
    <row r="17" spans="1:22" x14ac:dyDescent="0.3">
      <c r="A17" s="19">
        <v>46309</v>
      </c>
      <c r="B17" s="68" t="s">
        <v>154</v>
      </c>
      <c r="C17" s="4">
        <v>7.4999999999999997E-3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13">
        <f t="shared" si="0"/>
        <v>7.4999999999999997E-3</v>
      </c>
    </row>
    <row r="18" spans="1:22" x14ac:dyDescent="0.3">
      <c r="A18" s="19">
        <v>46309</v>
      </c>
      <c r="B18" s="68" t="s">
        <v>153</v>
      </c>
      <c r="C18" s="4">
        <v>7.4999999999999997E-3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13">
        <f t="shared" si="0"/>
        <v>7.4999999999999997E-3</v>
      </c>
    </row>
    <row r="19" spans="1:22" x14ac:dyDescent="0.3">
      <c r="A19" s="19">
        <v>46309</v>
      </c>
      <c r="B19" s="68" t="s">
        <v>152</v>
      </c>
      <c r="C19" s="4">
        <v>7.4999999999999997E-3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13">
        <f t="shared" si="0"/>
        <v>7.4999999999999997E-3</v>
      </c>
    </row>
    <row r="20" spans="1:22" x14ac:dyDescent="0.3">
      <c r="A20" s="19">
        <v>46309</v>
      </c>
      <c r="B20" s="68" t="s">
        <v>151</v>
      </c>
      <c r="C20" s="4">
        <v>7.4999999999999997E-3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13">
        <f t="shared" si="0"/>
        <v>7.4999999999999997E-3</v>
      </c>
    </row>
    <row r="21" spans="1:22" x14ac:dyDescent="0.3">
      <c r="A21" s="19">
        <v>46309</v>
      </c>
      <c r="B21" s="68" t="s">
        <v>150</v>
      </c>
      <c r="C21" s="4">
        <v>7.4999999999999997E-3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13">
        <f t="shared" si="0"/>
        <v>7.4999999999999997E-3</v>
      </c>
    </row>
    <row r="22" spans="1:22" x14ac:dyDescent="0.3">
      <c r="A22" s="19">
        <v>46309</v>
      </c>
      <c r="B22" s="68" t="s">
        <v>149</v>
      </c>
      <c r="C22" s="4">
        <v>7.4999999999999997E-3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13">
        <f t="shared" si="0"/>
        <v>7.4999999999999997E-3</v>
      </c>
    </row>
    <row r="23" spans="1:22" x14ac:dyDescent="0.3">
      <c r="A23" s="19">
        <v>46309</v>
      </c>
      <c r="B23" s="68" t="s">
        <v>148</v>
      </c>
      <c r="C23" s="4">
        <v>7.4999999999999997E-3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13">
        <f t="shared" si="0"/>
        <v>7.4999999999999997E-3</v>
      </c>
    </row>
    <row r="24" spans="1:22" x14ac:dyDescent="0.3">
      <c r="A24" s="19">
        <v>46309</v>
      </c>
      <c r="B24" s="68" t="s">
        <v>147</v>
      </c>
      <c r="C24" s="4">
        <v>7.4999999999999997E-3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13">
        <f t="shared" si="0"/>
        <v>7.4999999999999997E-3</v>
      </c>
    </row>
    <row r="25" spans="1:22" x14ac:dyDescent="0.3">
      <c r="A25" s="19">
        <v>46309</v>
      </c>
      <c r="B25" s="68" t="s">
        <v>146</v>
      </c>
      <c r="C25" s="4">
        <v>7.4999999999999997E-3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13">
        <f t="shared" si="0"/>
        <v>7.4999999999999997E-3</v>
      </c>
    </row>
    <row r="26" spans="1:22" x14ac:dyDescent="0.3">
      <c r="A26" s="19">
        <v>46309</v>
      </c>
      <c r="B26" s="68" t="s">
        <v>145</v>
      </c>
      <c r="C26" s="4">
        <v>7.4999999999999997E-3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13">
        <f t="shared" si="0"/>
        <v>7.4999999999999997E-3</v>
      </c>
    </row>
    <row r="27" spans="1:22" x14ac:dyDescent="0.3">
      <c r="A27" s="19">
        <v>46309</v>
      </c>
      <c r="B27" s="4" t="s">
        <v>144</v>
      </c>
      <c r="C27" s="4">
        <v>7.4999999999999997E-3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13">
        <f t="shared" si="0"/>
        <v>7.4999999999999997E-3</v>
      </c>
    </row>
    <row r="28" spans="1:22" x14ac:dyDescent="0.3">
      <c r="A28" s="19">
        <v>46309</v>
      </c>
      <c r="B28" s="4" t="s">
        <v>143</v>
      </c>
      <c r="C28" s="4">
        <v>7.4999999999999997E-3</v>
      </c>
      <c r="D28" s="4">
        <v>0.375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13">
        <f t="shared" si="0"/>
        <v>0.38250000000000001</v>
      </c>
    </row>
    <row r="29" spans="1:22" x14ac:dyDescent="0.3">
      <c r="A29" s="19">
        <v>46309</v>
      </c>
      <c r="B29" s="4" t="s">
        <v>142</v>
      </c>
      <c r="C29" s="4">
        <v>7.4999999999999997E-3</v>
      </c>
      <c r="D29" s="4">
        <v>0.375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13">
        <f t="shared" si="0"/>
        <v>0.38250000000000001</v>
      </c>
    </row>
    <row r="30" spans="1:22" x14ac:dyDescent="0.3">
      <c r="A30" s="19">
        <v>46309</v>
      </c>
      <c r="B30" s="4" t="s">
        <v>141</v>
      </c>
      <c r="C30" s="4">
        <v>7.4999999999999997E-3</v>
      </c>
      <c r="D30" s="4">
        <v>0.375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8.0000000000000002E-3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13">
        <f t="shared" si="0"/>
        <v>0.39050000000000001</v>
      </c>
    </row>
    <row r="31" spans="1:22" x14ac:dyDescent="0.3">
      <c r="A31" s="19">
        <v>46309</v>
      </c>
      <c r="B31" s="4" t="s">
        <v>140</v>
      </c>
      <c r="C31" s="4">
        <v>7.4999999999999997E-3</v>
      </c>
      <c r="D31" s="4">
        <v>0.375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8.0000000000000002E-3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13">
        <f t="shared" si="0"/>
        <v>0.39050000000000001</v>
      </c>
    </row>
    <row r="32" spans="1:22" x14ac:dyDescent="0.3">
      <c r="A32" s="19">
        <v>46309</v>
      </c>
      <c r="B32" s="4" t="s">
        <v>139</v>
      </c>
      <c r="C32" s="4">
        <v>7.4999999999999997E-3</v>
      </c>
      <c r="D32" s="4">
        <v>0.375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8.0000000000000002E-3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13">
        <f t="shared" si="0"/>
        <v>0.39050000000000001</v>
      </c>
    </row>
    <row r="33" spans="1:22" x14ac:dyDescent="0.3">
      <c r="A33" s="19">
        <v>46309</v>
      </c>
      <c r="B33" s="4" t="s">
        <v>138</v>
      </c>
      <c r="C33" s="4">
        <v>7.4999999999999997E-3</v>
      </c>
      <c r="D33" s="4">
        <v>0.375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1.2E-2</v>
      </c>
      <c r="P33" s="4">
        <v>5.0000000000000001E-3</v>
      </c>
      <c r="Q33" s="4">
        <v>0.05</v>
      </c>
      <c r="R33" s="4">
        <v>0</v>
      </c>
      <c r="S33" s="4">
        <v>0</v>
      </c>
      <c r="T33" s="4">
        <v>0</v>
      </c>
      <c r="U33" s="4">
        <v>0</v>
      </c>
      <c r="V33" s="13">
        <f t="shared" si="0"/>
        <v>0.44950000000000001</v>
      </c>
    </row>
    <row r="34" spans="1:22" x14ac:dyDescent="0.3">
      <c r="A34" s="19">
        <v>46309</v>
      </c>
      <c r="B34" s="4" t="s">
        <v>137</v>
      </c>
      <c r="C34" s="4">
        <v>7.4999999999999997E-3</v>
      </c>
      <c r="D34" s="4">
        <v>0.375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1.2E-2</v>
      </c>
      <c r="P34" s="4">
        <v>5.0000000000000001E-3</v>
      </c>
      <c r="Q34" s="4">
        <v>0</v>
      </c>
      <c r="R34" s="4">
        <v>3.2500000000000001E-2</v>
      </c>
      <c r="S34" s="4">
        <v>0</v>
      </c>
      <c r="T34" s="4">
        <v>0</v>
      </c>
      <c r="U34" s="4">
        <v>0</v>
      </c>
      <c r="V34" s="13">
        <f t="shared" si="0"/>
        <v>0.43200000000000005</v>
      </c>
    </row>
    <row r="35" spans="1:22" x14ac:dyDescent="0.3">
      <c r="A35" s="19">
        <v>46309</v>
      </c>
      <c r="B35" s="4" t="s">
        <v>136</v>
      </c>
      <c r="C35" s="4">
        <v>7.4999999999999997E-3</v>
      </c>
      <c r="D35" s="4">
        <v>0.375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5.0000000000000001E-3</v>
      </c>
      <c r="Q35" s="4">
        <v>0</v>
      </c>
      <c r="R35" s="4">
        <v>0</v>
      </c>
      <c r="S35" s="4">
        <v>0</v>
      </c>
      <c r="T35" s="4">
        <v>0.16</v>
      </c>
      <c r="U35" s="4">
        <v>0</v>
      </c>
      <c r="V35" s="13">
        <f t="shared" si="0"/>
        <v>0.54749999999999999</v>
      </c>
    </row>
    <row r="36" spans="1:22" x14ac:dyDescent="0.3">
      <c r="A36" s="19">
        <v>46309</v>
      </c>
      <c r="B36" s="4" t="s">
        <v>135</v>
      </c>
      <c r="C36" s="4">
        <v>7.4999999999999997E-3</v>
      </c>
      <c r="D36" s="4">
        <v>0</v>
      </c>
      <c r="E36" s="4">
        <v>0</v>
      </c>
      <c r="F36" s="4">
        <v>0</v>
      </c>
      <c r="G36" s="4">
        <v>1.5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5.0000000000000001E-3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13">
        <f t="shared" si="0"/>
        <v>1.5125</v>
      </c>
    </row>
    <row r="37" spans="1:22" x14ac:dyDescent="0.3">
      <c r="A37" s="19">
        <v>46309</v>
      </c>
      <c r="B37" s="4" t="s">
        <v>134</v>
      </c>
      <c r="C37" s="4">
        <v>7.4999999999999997E-3</v>
      </c>
      <c r="D37" s="4">
        <v>0</v>
      </c>
      <c r="E37" s="4">
        <v>0</v>
      </c>
      <c r="F37" s="4">
        <v>0</v>
      </c>
      <c r="G37" s="4">
        <v>1.5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5.0000000000000001E-3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13">
        <f t="shared" si="0"/>
        <v>1.5125</v>
      </c>
    </row>
    <row r="38" spans="1:22" x14ac:dyDescent="0.3">
      <c r="A38" s="19">
        <v>46309</v>
      </c>
      <c r="B38" s="4" t="s">
        <v>133</v>
      </c>
      <c r="C38" s="4">
        <v>7.4999999999999997E-3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5.0000000000000001E-3</v>
      </c>
      <c r="Q38" s="4">
        <v>0</v>
      </c>
      <c r="R38" s="4">
        <v>3.2500000000000001E-2</v>
      </c>
      <c r="S38" s="4">
        <v>0</v>
      </c>
      <c r="T38" s="4">
        <v>0</v>
      </c>
      <c r="U38" s="4">
        <v>0</v>
      </c>
      <c r="V38" s="13">
        <f t="shared" si="0"/>
        <v>4.4999999999999998E-2</v>
      </c>
    </row>
    <row r="39" spans="1:22" x14ac:dyDescent="0.3">
      <c r="A39" s="19">
        <v>46309</v>
      </c>
      <c r="B39" s="4" t="s">
        <v>132</v>
      </c>
      <c r="C39" s="4">
        <v>7.4999999999999997E-3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5.0000000000000001E-3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13">
        <f t="shared" si="0"/>
        <v>1.2500000000000001E-2</v>
      </c>
    </row>
    <row r="40" spans="1:22" x14ac:dyDescent="0.3">
      <c r="A40" s="19">
        <v>46309</v>
      </c>
      <c r="B40" s="4" t="s">
        <v>131</v>
      </c>
      <c r="C40" s="4">
        <v>7.4999999999999997E-3</v>
      </c>
      <c r="D40" s="4">
        <v>0</v>
      </c>
      <c r="E40" s="4">
        <v>0</v>
      </c>
      <c r="F40" s="4">
        <v>0</v>
      </c>
      <c r="G40" s="4">
        <v>0</v>
      </c>
      <c r="H40" s="4">
        <v>0.375</v>
      </c>
      <c r="I40" s="4">
        <v>0</v>
      </c>
      <c r="J40" s="4">
        <v>0</v>
      </c>
      <c r="K40" s="4">
        <v>0</v>
      </c>
      <c r="L40" s="4">
        <v>0.52500000000000002</v>
      </c>
      <c r="M40" s="4">
        <v>0</v>
      </c>
      <c r="N40" s="4">
        <v>0</v>
      </c>
      <c r="O40" s="4">
        <v>0</v>
      </c>
      <c r="P40" s="4">
        <v>5.0000000000000001E-3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13">
        <f t="shared" si="0"/>
        <v>0.91249999999999998</v>
      </c>
    </row>
    <row r="41" spans="1:22" x14ac:dyDescent="0.3">
      <c r="A41" s="19">
        <v>46309</v>
      </c>
      <c r="B41" s="4" t="s">
        <v>130</v>
      </c>
      <c r="C41" s="4">
        <v>7.4999999999999997E-3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0.52500000000000002</v>
      </c>
      <c r="M41" s="4">
        <v>0</v>
      </c>
      <c r="N41" s="4">
        <v>0</v>
      </c>
      <c r="O41" s="4">
        <v>0</v>
      </c>
      <c r="P41" s="4">
        <v>5.0000000000000001E-3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13">
        <f t="shared" si="0"/>
        <v>0.53749999999999998</v>
      </c>
    </row>
    <row r="42" spans="1:22" x14ac:dyDescent="0.3">
      <c r="A42" s="19">
        <v>46309</v>
      </c>
      <c r="B42" s="4" t="s">
        <v>129</v>
      </c>
      <c r="C42" s="4">
        <v>7.4999999999999997E-3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0.52500000000000002</v>
      </c>
      <c r="M42" s="4">
        <v>0</v>
      </c>
      <c r="N42" s="4">
        <v>0</v>
      </c>
      <c r="O42" s="4">
        <v>0</v>
      </c>
      <c r="P42" s="4">
        <v>5.0000000000000001E-3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13">
        <f t="shared" si="0"/>
        <v>0.53749999999999998</v>
      </c>
    </row>
    <row r="43" spans="1:22" x14ac:dyDescent="0.3">
      <c r="A43" s="19">
        <v>46309</v>
      </c>
      <c r="B43" s="4" t="s">
        <v>128</v>
      </c>
      <c r="C43" s="4">
        <v>7.4999999999999997E-3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0.52500000000000002</v>
      </c>
      <c r="M43" s="4">
        <v>0</v>
      </c>
      <c r="N43" s="4">
        <v>0</v>
      </c>
      <c r="O43" s="4">
        <v>0</v>
      </c>
      <c r="P43" s="4">
        <v>5.0000000000000001E-3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13">
        <f t="shared" si="0"/>
        <v>0.53749999999999998</v>
      </c>
    </row>
    <row r="44" spans="1:22" x14ac:dyDescent="0.3">
      <c r="A44" s="19">
        <v>46309</v>
      </c>
      <c r="B44" s="4" t="s">
        <v>127</v>
      </c>
      <c r="C44" s="4">
        <v>7.4999999999999997E-3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0.52500000000000002</v>
      </c>
      <c r="M44" s="4">
        <v>0</v>
      </c>
      <c r="N44" s="4">
        <v>0</v>
      </c>
      <c r="O44" s="4">
        <v>0</v>
      </c>
      <c r="P44" s="4">
        <v>5.0000000000000001E-3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13">
        <f t="shared" si="0"/>
        <v>0.53749999999999998</v>
      </c>
    </row>
    <row r="45" spans="1:22" x14ac:dyDescent="0.3">
      <c r="A45" s="19">
        <v>46309</v>
      </c>
      <c r="B45" s="4" t="s">
        <v>126</v>
      </c>
      <c r="C45" s="4">
        <v>7.4999999999999997E-3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0.52500000000000002</v>
      </c>
      <c r="M45" s="4">
        <v>0</v>
      </c>
      <c r="N45" s="4">
        <v>0</v>
      </c>
      <c r="O45" s="4">
        <v>0</v>
      </c>
      <c r="P45" s="4">
        <v>5.0000000000000001E-3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13">
        <f t="shared" si="0"/>
        <v>0.53749999999999998</v>
      </c>
    </row>
    <row r="46" spans="1:22" x14ac:dyDescent="0.3">
      <c r="A46" s="19">
        <v>46309</v>
      </c>
      <c r="B46" s="68" t="s">
        <v>125</v>
      </c>
      <c r="C46" s="4">
        <v>7.4999999999999997E-3</v>
      </c>
      <c r="D46" s="4">
        <v>0.375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5.0000000000000001E-3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13">
        <f t="shared" si="0"/>
        <v>0.38750000000000001</v>
      </c>
    </row>
    <row r="47" spans="1:22" x14ac:dyDescent="0.3">
      <c r="A47" s="19">
        <v>46309</v>
      </c>
      <c r="B47" s="68" t="s">
        <v>124</v>
      </c>
      <c r="C47" s="4">
        <v>7.4999999999999997E-3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5.0000000000000001E-3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13">
        <f t="shared" si="0"/>
        <v>1.2500000000000001E-2</v>
      </c>
    </row>
    <row r="48" spans="1:22" x14ac:dyDescent="0.3">
      <c r="A48" s="19">
        <v>46309</v>
      </c>
      <c r="B48" s="68" t="s">
        <v>123</v>
      </c>
      <c r="C48" s="4">
        <v>7.4999999999999997E-3</v>
      </c>
      <c r="D48" s="4">
        <v>0.375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0.375</v>
      </c>
      <c r="N48" s="4">
        <v>0</v>
      </c>
      <c r="O48" s="4">
        <v>0</v>
      </c>
      <c r="P48" s="4">
        <v>5.0000000000000001E-3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13">
        <f t="shared" si="0"/>
        <v>0.76250000000000007</v>
      </c>
    </row>
    <row r="49" spans="1:22" x14ac:dyDescent="0.3">
      <c r="A49" s="19">
        <v>46309</v>
      </c>
      <c r="B49" s="68" t="s">
        <v>122</v>
      </c>
      <c r="C49" s="4">
        <v>7.4999999999999997E-3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0.75</v>
      </c>
      <c r="J49" s="4">
        <v>0</v>
      </c>
      <c r="K49" s="4">
        <v>0</v>
      </c>
      <c r="L49" s="4">
        <v>0</v>
      </c>
      <c r="M49" s="4">
        <v>0.375</v>
      </c>
      <c r="N49" s="4">
        <v>0</v>
      </c>
      <c r="O49" s="4">
        <v>0</v>
      </c>
      <c r="P49" s="4">
        <v>5.0000000000000001E-3</v>
      </c>
      <c r="Q49" s="4">
        <v>0</v>
      </c>
      <c r="R49" s="4">
        <v>0</v>
      </c>
      <c r="S49" s="4">
        <v>2.5000000000000001E-2</v>
      </c>
      <c r="T49" s="4">
        <v>0</v>
      </c>
      <c r="U49" s="4">
        <v>0</v>
      </c>
      <c r="V49" s="13">
        <f t="shared" si="0"/>
        <v>1.1624999999999996</v>
      </c>
    </row>
    <row r="50" spans="1:22" x14ac:dyDescent="0.3">
      <c r="A50" s="19">
        <v>46309</v>
      </c>
      <c r="B50" s="68" t="s">
        <v>121</v>
      </c>
      <c r="C50" s="4">
        <v>7.4999999999999997E-3</v>
      </c>
      <c r="D50" s="4">
        <v>0.375</v>
      </c>
      <c r="E50" s="4">
        <v>0</v>
      </c>
      <c r="F50" s="4">
        <v>0</v>
      </c>
      <c r="G50" s="4">
        <v>1.5</v>
      </c>
      <c r="H50" s="4">
        <v>0</v>
      </c>
      <c r="I50" s="4">
        <v>0.75</v>
      </c>
      <c r="J50" s="4">
        <v>0</v>
      </c>
      <c r="K50" s="4">
        <v>0</v>
      </c>
      <c r="L50" s="4">
        <v>0</v>
      </c>
      <c r="M50" s="4">
        <v>0.375</v>
      </c>
      <c r="N50" s="4">
        <v>0</v>
      </c>
      <c r="O50" s="4">
        <v>0</v>
      </c>
      <c r="P50" s="4">
        <v>5.0000000000000001E-3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13">
        <f t="shared" si="0"/>
        <v>3.0125000000000002</v>
      </c>
    </row>
    <row r="51" spans="1:22" x14ac:dyDescent="0.3">
      <c r="A51" s="19">
        <v>46309</v>
      </c>
      <c r="B51" s="68" t="s">
        <v>120</v>
      </c>
      <c r="C51" s="4">
        <v>7.4999999999999997E-3</v>
      </c>
      <c r="D51" s="4">
        <v>0</v>
      </c>
      <c r="E51" s="4">
        <v>0</v>
      </c>
      <c r="F51" s="4">
        <v>0</v>
      </c>
      <c r="G51" s="4">
        <v>1.5</v>
      </c>
      <c r="H51" s="4">
        <v>0</v>
      </c>
      <c r="I51" s="4">
        <v>0.75</v>
      </c>
      <c r="J51" s="4">
        <v>0</v>
      </c>
      <c r="K51" s="4">
        <v>0</v>
      </c>
      <c r="L51" s="4">
        <v>0</v>
      </c>
      <c r="M51" s="4">
        <v>0.375</v>
      </c>
      <c r="N51" s="4">
        <v>0</v>
      </c>
      <c r="O51" s="4">
        <v>0</v>
      </c>
      <c r="P51" s="4">
        <v>5.0000000000000001E-3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13">
        <f t="shared" si="0"/>
        <v>2.6375000000000002</v>
      </c>
    </row>
    <row r="52" spans="1:22" x14ac:dyDescent="0.3">
      <c r="A52" s="19">
        <v>46309</v>
      </c>
      <c r="B52" s="68" t="s">
        <v>119</v>
      </c>
      <c r="C52" s="4">
        <v>7.4999999999999997E-3</v>
      </c>
      <c r="D52" s="4">
        <v>0.375</v>
      </c>
      <c r="E52" s="4">
        <v>0</v>
      </c>
      <c r="F52" s="4">
        <v>0</v>
      </c>
      <c r="G52" s="4">
        <v>1.5</v>
      </c>
      <c r="H52" s="4">
        <v>0</v>
      </c>
      <c r="I52" s="4">
        <v>0.75</v>
      </c>
      <c r="J52" s="4">
        <v>0</v>
      </c>
      <c r="K52" s="4">
        <v>0</v>
      </c>
      <c r="L52" s="4">
        <v>0</v>
      </c>
      <c r="M52" s="4">
        <v>0.375</v>
      </c>
      <c r="N52" s="4">
        <v>0</v>
      </c>
      <c r="O52" s="4">
        <v>0</v>
      </c>
      <c r="P52" s="4">
        <v>5.0000000000000001E-3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13">
        <f t="shared" si="0"/>
        <v>3.0125000000000002</v>
      </c>
    </row>
    <row r="53" spans="1:22" x14ac:dyDescent="0.3">
      <c r="A53" s="19">
        <v>46309</v>
      </c>
      <c r="B53" s="68" t="s">
        <v>118</v>
      </c>
      <c r="C53" s="4">
        <v>7.4999999999999997E-3</v>
      </c>
      <c r="D53" s="4">
        <v>0</v>
      </c>
      <c r="E53" s="4">
        <v>0</v>
      </c>
      <c r="F53" s="4">
        <v>0</v>
      </c>
      <c r="G53" s="4">
        <v>1.5</v>
      </c>
      <c r="H53" s="4">
        <v>0</v>
      </c>
      <c r="I53" s="4">
        <v>0.75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5.0000000000000001E-3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13">
        <f t="shared" si="0"/>
        <v>2.2625000000000002</v>
      </c>
    </row>
    <row r="54" spans="1:22" x14ac:dyDescent="0.3">
      <c r="A54" s="19">
        <v>46309</v>
      </c>
      <c r="B54" s="68" t="s">
        <v>117</v>
      </c>
      <c r="C54" s="4">
        <v>7.4999999999999997E-3</v>
      </c>
      <c r="D54" s="4">
        <v>0.375</v>
      </c>
      <c r="E54" s="4">
        <v>0</v>
      </c>
      <c r="F54" s="4">
        <v>0</v>
      </c>
      <c r="G54" s="4">
        <v>0</v>
      </c>
      <c r="H54" s="4">
        <v>0</v>
      </c>
      <c r="I54" s="4">
        <v>0.75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5.0000000000000001E-3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13">
        <f t="shared" si="0"/>
        <v>1.1375</v>
      </c>
    </row>
    <row r="55" spans="1:22" x14ac:dyDescent="0.3">
      <c r="A55" s="19">
        <v>46309</v>
      </c>
      <c r="B55" s="4" t="s">
        <v>116</v>
      </c>
      <c r="C55" s="4">
        <v>7.4999999999999997E-3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0.55000000000000004</v>
      </c>
      <c r="O55" s="4">
        <v>0</v>
      </c>
      <c r="P55" s="4">
        <v>5.0000000000000001E-3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13">
        <f t="shared" si="0"/>
        <v>0.5625</v>
      </c>
    </row>
    <row r="56" spans="1:22" x14ac:dyDescent="0.3">
      <c r="A56" s="19">
        <v>46309</v>
      </c>
      <c r="B56" s="4" t="s">
        <v>115</v>
      </c>
      <c r="C56" s="4">
        <v>7.4999999999999997E-3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0.55000000000000004</v>
      </c>
      <c r="O56" s="4">
        <v>0</v>
      </c>
      <c r="P56" s="4">
        <v>5.0000000000000001E-3</v>
      </c>
      <c r="Q56" s="4">
        <v>0</v>
      </c>
      <c r="R56" s="4">
        <v>3.2500000000000001E-2</v>
      </c>
      <c r="S56" s="4">
        <v>0</v>
      </c>
      <c r="T56" s="4">
        <v>0</v>
      </c>
      <c r="U56" s="4">
        <v>0</v>
      </c>
      <c r="V56" s="13">
        <f t="shared" si="0"/>
        <v>0.59499999999999997</v>
      </c>
    </row>
    <row r="57" spans="1:22" x14ac:dyDescent="0.3">
      <c r="A57" s="19">
        <v>46309</v>
      </c>
      <c r="B57" s="4" t="s">
        <v>114</v>
      </c>
      <c r="C57" s="4">
        <v>7.4999999999999997E-3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0.55000000000000004</v>
      </c>
      <c r="O57" s="4">
        <v>0</v>
      </c>
      <c r="P57" s="4">
        <v>5.0000000000000001E-3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13">
        <f t="shared" si="0"/>
        <v>0.5625</v>
      </c>
    </row>
    <row r="58" spans="1:22" x14ac:dyDescent="0.3">
      <c r="A58" s="19">
        <v>46309</v>
      </c>
      <c r="B58" s="4" t="s">
        <v>113</v>
      </c>
      <c r="C58" s="4">
        <v>7.4999999999999997E-3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6.25E-2</v>
      </c>
      <c r="L58" s="4">
        <v>0</v>
      </c>
      <c r="M58" s="4">
        <v>0</v>
      </c>
      <c r="N58" s="4">
        <v>0.55000000000000004</v>
      </c>
      <c r="O58" s="4">
        <v>0</v>
      </c>
      <c r="P58" s="4">
        <v>5.0000000000000001E-3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13">
        <f t="shared" si="0"/>
        <v>0.62500000000000011</v>
      </c>
    </row>
    <row r="59" spans="1:22" x14ac:dyDescent="0.3">
      <c r="A59" s="19">
        <v>46309</v>
      </c>
      <c r="B59" s="4" t="s">
        <v>112</v>
      </c>
      <c r="C59" s="4">
        <v>7.4999999999999997E-3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6.25E-2</v>
      </c>
      <c r="L59" s="4">
        <v>0</v>
      </c>
      <c r="M59" s="4">
        <v>0</v>
      </c>
      <c r="N59" s="4">
        <v>0.55000000000000004</v>
      </c>
      <c r="O59" s="4">
        <v>0</v>
      </c>
      <c r="P59" s="4">
        <v>5.0000000000000001E-3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13">
        <f t="shared" si="0"/>
        <v>0.62500000000000011</v>
      </c>
    </row>
    <row r="60" spans="1:22" x14ac:dyDescent="0.3">
      <c r="A60" s="19">
        <v>46309</v>
      </c>
      <c r="B60" s="4" t="s">
        <v>111</v>
      </c>
      <c r="C60" s="4">
        <v>7.4999999999999997E-3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6.25E-2</v>
      </c>
      <c r="L60" s="4">
        <v>0</v>
      </c>
      <c r="M60" s="4">
        <v>0</v>
      </c>
      <c r="N60" s="4">
        <v>0</v>
      </c>
      <c r="O60" s="4">
        <v>0</v>
      </c>
      <c r="P60" s="4">
        <v>5.0000000000000001E-3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13">
        <f t="shared" si="0"/>
        <v>7.5000000000000011E-2</v>
      </c>
    </row>
    <row r="61" spans="1:22" x14ac:dyDescent="0.3">
      <c r="A61" s="19">
        <v>46309</v>
      </c>
      <c r="B61" s="4" t="s">
        <v>110</v>
      </c>
      <c r="C61" s="4">
        <v>7.4999999999999997E-3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6.25E-2</v>
      </c>
      <c r="L61" s="4">
        <v>0</v>
      </c>
      <c r="M61" s="4">
        <v>0</v>
      </c>
      <c r="N61" s="4">
        <v>0</v>
      </c>
      <c r="O61" s="4">
        <v>0</v>
      </c>
      <c r="P61" s="4">
        <v>5.0000000000000001E-3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13">
        <f t="shared" si="0"/>
        <v>7.5000000000000011E-2</v>
      </c>
    </row>
    <row r="62" spans="1:22" x14ac:dyDescent="0.3">
      <c r="A62" s="19">
        <v>46309</v>
      </c>
      <c r="B62" s="4" t="s">
        <v>109</v>
      </c>
      <c r="C62" s="4">
        <v>7.4999999999999997E-3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2.1250000000000002E-2</v>
      </c>
      <c r="K62" s="4">
        <v>6.25E-2</v>
      </c>
      <c r="L62" s="4">
        <v>0</v>
      </c>
      <c r="M62" s="4">
        <v>0</v>
      </c>
      <c r="N62" s="4">
        <v>0</v>
      </c>
      <c r="O62" s="4">
        <v>0</v>
      </c>
      <c r="P62" s="4">
        <v>5.0000000000000001E-3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13">
        <f t="shared" si="0"/>
        <v>9.6250000000000002E-2</v>
      </c>
    </row>
    <row r="63" spans="1:22" x14ac:dyDescent="0.3">
      <c r="A63" s="19">
        <v>46309</v>
      </c>
      <c r="B63" s="4" t="s">
        <v>108</v>
      </c>
      <c r="C63" s="4">
        <v>7.4999999999999997E-3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2.1250000000000002E-2</v>
      </c>
      <c r="K63" s="4">
        <v>6.25E-2</v>
      </c>
      <c r="L63" s="4">
        <v>0</v>
      </c>
      <c r="M63" s="4">
        <v>0</v>
      </c>
      <c r="N63" s="4">
        <v>0</v>
      </c>
      <c r="O63" s="4">
        <v>0</v>
      </c>
      <c r="P63" s="4">
        <v>5.0000000000000001E-3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13">
        <f t="shared" si="0"/>
        <v>9.6250000000000002E-2</v>
      </c>
    </row>
    <row r="64" spans="1:22" x14ac:dyDescent="0.3">
      <c r="A64" s="19">
        <v>46309</v>
      </c>
      <c r="B64" s="4" t="s">
        <v>107</v>
      </c>
      <c r="C64" s="4">
        <v>7.4999999999999997E-3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2.1250000000000002E-2</v>
      </c>
      <c r="K64" s="4">
        <v>6.25E-2</v>
      </c>
      <c r="L64" s="4">
        <v>0</v>
      </c>
      <c r="M64" s="4">
        <v>0</v>
      </c>
      <c r="N64" s="4">
        <v>0</v>
      </c>
      <c r="O64" s="4">
        <v>0</v>
      </c>
      <c r="P64" s="4">
        <v>5.0000000000000001E-3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13">
        <f t="shared" si="0"/>
        <v>9.6250000000000002E-2</v>
      </c>
    </row>
    <row r="65" spans="1:22" x14ac:dyDescent="0.3">
      <c r="A65" s="19">
        <v>46309</v>
      </c>
      <c r="B65" s="4" t="s">
        <v>106</v>
      </c>
      <c r="C65" s="4">
        <v>7.4999999999999997E-3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2.1250000000000002E-2</v>
      </c>
      <c r="K65" s="4">
        <v>6.25E-2</v>
      </c>
      <c r="L65" s="4">
        <v>0</v>
      </c>
      <c r="M65" s="4">
        <v>0</v>
      </c>
      <c r="N65" s="4">
        <v>0</v>
      </c>
      <c r="O65" s="4">
        <v>0</v>
      </c>
      <c r="P65" s="4">
        <v>5.0000000000000001E-3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13">
        <f t="shared" si="0"/>
        <v>9.6250000000000002E-2</v>
      </c>
    </row>
    <row r="66" spans="1:22" x14ac:dyDescent="0.3">
      <c r="A66" s="19">
        <v>46309</v>
      </c>
      <c r="B66" s="68" t="s">
        <v>105</v>
      </c>
      <c r="C66" s="4">
        <v>7.4999999999999997E-3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2.1250000000000002E-2</v>
      </c>
      <c r="K66" s="4">
        <v>6.25E-2</v>
      </c>
      <c r="L66" s="4">
        <v>0</v>
      </c>
      <c r="M66" s="4">
        <v>0</v>
      </c>
      <c r="N66" s="4">
        <v>0</v>
      </c>
      <c r="O66" s="4">
        <v>0</v>
      </c>
      <c r="P66" s="4">
        <v>5.0000000000000001E-3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13">
        <f t="shared" si="0"/>
        <v>9.6250000000000002E-2</v>
      </c>
    </row>
    <row r="67" spans="1:22" x14ac:dyDescent="0.3">
      <c r="A67" s="19">
        <v>46309</v>
      </c>
      <c r="B67" s="68" t="s">
        <v>104</v>
      </c>
      <c r="C67" s="4">
        <v>7.4999999999999997E-3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2.1250000000000002E-2</v>
      </c>
      <c r="K67" s="4">
        <v>6.25E-2</v>
      </c>
      <c r="L67" s="4">
        <v>0</v>
      </c>
      <c r="M67" s="4">
        <v>0</v>
      </c>
      <c r="N67" s="4">
        <v>0</v>
      </c>
      <c r="O67" s="4">
        <v>0</v>
      </c>
      <c r="P67" s="4">
        <v>5.0000000000000001E-3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13">
        <f t="shared" ref="V67:V126" si="1">C67+D67+E67+F67+G67+H67+I67+J67+K67+L67+M67+N67+O67+P67+Q67+R67+S67+T67+U67</f>
        <v>9.6250000000000002E-2</v>
      </c>
    </row>
    <row r="68" spans="1:22" x14ac:dyDescent="0.3">
      <c r="A68" s="19">
        <v>46309</v>
      </c>
      <c r="B68" s="68" t="s">
        <v>103</v>
      </c>
      <c r="C68" s="4">
        <v>7.4999999999999997E-3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2.1250000000000002E-2</v>
      </c>
      <c r="K68" s="4">
        <v>6.25E-2</v>
      </c>
      <c r="L68" s="4">
        <v>0</v>
      </c>
      <c r="M68" s="4">
        <v>0</v>
      </c>
      <c r="N68" s="4">
        <v>0</v>
      </c>
      <c r="O68" s="4">
        <v>0</v>
      </c>
      <c r="P68" s="4">
        <v>5.0000000000000001E-3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13">
        <f t="shared" si="1"/>
        <v>9.6250000000000002E-2</v>
      </c>
    </row>
    <row r="69" spans="1:22" x14ac:dyDescent="0.3">
      <c r="A69" s="19">
        <v>46309</v>
      </c>
      <c r="B69" s="68" t="s">
        <v>102</v>
      </c>
      <c r="C69" s="4">
        <v>7.4999999999999997E-3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2.1250000000000002E-2</v>
      </c>
      <c r="K69" s="4">
        <v>6.25E-2</v>
      </c>
      <c r="L69" s="4">
        <v>0</v>
      </c>
      <c r="M69" s="4">
        <v>0</v>
      </c>
      <c r="N69" s="4">
        <v>0</v>
      </c>
      <c r="O69" s="4">
        <v>0</v>
      </c>
      <c r="P69" s="4">
        <v>5.0000000000000001E-3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13">
        <f t="shared" si="1"/>
        <v>9.6250000000000002E-2</v>
      </c>
    </row>
    <row r="70" spans="1:22" x14ac:dyDescent="0.3">
      <c r="A70" s="19">
        <v>46309</v>
      </c>
      <c r="B70" s="68" t="s">
        <v>101</v>
      </c>
      <c r="C70" s="4">
        <v>7.4999999999999997E-3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2.1250000000000002E-2</v>
      </c>
      <c r="K70" s="4">
        <v>6.25E-2</v>
      </c>
      <c r="L70" s="4">
        <v>0</v>
      </c>
      <c r="M70" s="4">
        <v>0</v>
      </c>
      <c r="N70" s="4">
        <v>0</v>
      </c>
      <c r="O70" s="4">
        <v>0</v>
      </c>
      <c r="P70" s="4">
        <v>5.0000000000000001E-3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13">
        <f t="shared" si="1"/>
        <v>9.6250000000000002E-2</v>
      </c>
    </row>
    <row r="71" spans="1:22" x14ac:dyDescent="0.3">
      <c r="A71" s="19">
        <v>46309</v>
      </c>
      <c r="B71" s="68" t="s">
        <v>100</v>
      </c>
      <c r="C71" s="4">
        <v>7.4999999999999997E-3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2.1250000000000002E-2</v>
      </c>
      <c r="K71" s="4">
        <v>6.25E-2</v>
      </c>
      <c r="L71" s="4">
        <v>0</v>
      </c>
      <c r="M71" s="4">
        <v>0</v>
      </c>
      <c r="N71" s="4">
        <v>0</v>
      </c>
      <c r="O71" s="4">
        <v>0</v>
      </c>
      <c r="P71" s="4">
        <v>5.0000000000000001E-3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13">
        <f t="shared" si="1"/>
        <v>9.6250000000000002E-2</v>
      </c>
    </row>
    <row r="72" spans="1:22" x14ac:dyDescent="0.3">
      <c r="A72" s="19">
        <v>46309</v>
      </c>
      <c r="B72" s="68" t="s">
        <v>99</v>
      </c>
      <c r="C72" s="4">
        <v>7.4999999999999997E-3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2.1250000000000002E-2</v>
      </c>
      <c r="K72" s="4">
        <v>6.25E-2</v>
      </c>
      <c r="L72" s="4">
        <v>0</v>
      </c>
      <c r="M72" s="4">
        <v>0</v>
      </c>
      <c r="N72" s="4">
        <v>0</v>
      </c>
      <c r="O72" s="4">
        <v>0</v>
      </c>
      <c r="P72" s="4">
        <v>5.0000000000000001E-3</v>
      </c>
      <c r="Q72" s="4">
        <v>0.05</v>
      </c>
      <c r="R72" s="4">
        <v>0</v>
      </c>
      <c r="S72" s="4">
        <v>0</v>
      </c>
      <c r="T72" s="4">
        <v>0</v>
      </c>
      <c r="U72" s="4">
        <v>0</v>
      </c>
      <c r="V72" s="13">
        <f t="shared" si="1"/>
        <v>0.14624999999999999</v>
      </c>
    </row>
    <row r="73" spans="1:22" x14ac:dyDescent="0.3">
      <c r="A73" s="19">
        <v>46309</v>
      </c>
      <c r="B73" s="68" t="s">
        <v>98</v>
      </c>
      <c r="C73" s="4">
        <v>7.4999999999999997E-3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2.1250000000000002E-2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5.0000000000000001E-3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13">
        <f t="shared" si="1"/>
        <v>3.3750000000000002E-2</v>
      </c>
    </row>
    <row r="74" spans="1:22" x14ac:dyDescent="0.3">
      <c r="A74" s="19">
        <v>46309</v>
      </c>
      <c r="B74" s="68" t="s">
        <v>97</v>
      </c>
      <c r="C74" s="4">
        <v>7.4999999999999997E-3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2.1250000000000002E-2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5.0000000000000001E-3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13">
        <f t="shared" si="1"/>
        <v>3.3750000000000002E-2</v>
      </c>
    </row>
    <row r="75" spans="1:22" x14ac:dyDescent="0.3">
      <c r="A75" s="19">
        <v>46309</v>
      </c>
      <c r="B75" s="4" t="s">
        <v>96</v>
      </c>
      <c r="C75" s="4">
        <v>7.4999999999999997E-3</v>
      </c>
      <c r="D75" s="4">
        <v>0.375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5.0000000000000001E-3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13">
        <f t="shared" si="1"/>
        <v>0.38750000000000001</v>
      </c>
    </row>
    <row r="76" spans="1:22" x14ac:dyDescent="0.3">
      <c r="A76" s="19">
        <v>46309</v>
      </c>
      <c r="B76" s="4" t="s">
        <v>95</v>
      </c>
      <c r="C76" s="4">
        <v>7.4999999999999997E-3</v>
      </c>
      <c r="D76" s="4">
        <v>0.75</v>
      </c>
      <c r="E76" s="4">
        <v>0</v>
      </c>
      <c r="F76" s="4">
        <v>0</v>
      </c>
      <c r="G76" s="4">
        <v>1.5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5.0000000000000001E-3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13">
        <f t="shared" si="1"/>
        <v>2.2624999999999997</v>
      </c>
    </row>
    <row r="77" spans="1:22" x14ac:dyDescent="0.3">
      <c r="A77" s="19">
        <v>46309</v>
      </c>
      <c r="B77" s="4" t="s">
        <v>94</v>
      </c>
      <c r="C77" s="4">
        <v>7.4999999999999997E-3</v>
      </c>
      <c r="D77" s="4">
        <v>0.75</v>
      </c>
      <c r="E77" s="4">
        <v>0</v>
      </c>
      <c r="F77" s="4">
        <v>0</v>
      </c>
      <c r="G77" s="4">
        <v>1.5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5.0000000000000001E-3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13">
        <f t="shared" si="1"/>
        <v>2.2624999999999997</v>
      </c>
    </row>
    <row r="78" spans="1:22" x14ac:dyDescent="0.3">
      <c r="A78" s="19">
        <v>46309</v>
      </c>
      <c r="B78" s="4" t="s">
        <v>93</v>
      </c>
      <c r="C78" s="4">
        <v>7.4999999999999997E-3</v>
      </c>
      <c r="D78" s="4">
        <v>0.75</v>
      </c>
      <c r="E78" s="4">
        <v>0</v>
      </c>
      <c r="F78" s="4">
        <v>0</v>
      </c>
      <c r="G78" s="4">
        <v>1.5</v>
      </c>
      <c r="H78" s="4">
        <v>0.375</v>
      </c>
      <c r="I78" s="4">
        <v>0</v>
      </c>
      <c r="J78" s="4">
        <v>2.1250000000000002E-2</v>
      </c>
      <c r="K78" s="4">
        <v>0</v>
      </c>
      <c r="L78" s="4">
        <v>0</v>
      </c>
      <c r="M78" s="4">
        <v>0</v>
      </c>
      <c r="N78" s="4">
        <v>0</v>
      </c>
      <c r="O78" s="4">
        <v>5.0000000000000001E-3</v>
      </c>
      <c r="P78" s="4">
        <v>5.0000000000000001E-3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13">
        <f t="shared" si="1"/>
        <v>2.6637499999999998</v>
      </c>
    </row>
    <row r="79" spans="1:22" x14ac:dyDescent="0.3">
      <c r="A79" s="19">
        <v>46309</v>
      </c>
      <c r="B79" s="4" t="s">
        <v>92</v>
      </c>
      <c r="C79" s="4">
        <v>7.4999999999999997E-3</v>
      </c>
      <c r="D79" s="4">
        <v>0.375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2.1250000000000002E-2</v>
      </c>
      <c r="K79" s="4">
        <v>0</v>
      </c>
      <c r="L79" s="4">
        <v>0</v>
      </c>
      <c r="M79" s="4">
        <v>0</v>
      </c>
      <c r="N79" s="4">
        <v>0</v>
      </c>
      <c r="O79" s="4">
        <v>5.0000000000000001E-3</v>
      </c>
      <c r="P79" s="4">
        <v>5.0000000000000001E-3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13">
        <f t="shared" si="1"/>
        <v>0.41375000000000001</v>
      </c>
    </row>
    <row r="80" spans="1:22" x14ac:dyDescent="0.3">
      <c r="A80" s="19">
        <v>46309</v>
      </c>
      <c r="B80" s="4" t="s">
        <v>91</v>
      </c>
      <c r="C80" s="4">
        <v>7.4999999999999997E-3</v>
      </c>
      <c r="D80" s="4">
        <v>0.375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2.1250000000000002E-2</v>
      </c>
      <c r="K80" s="4">
        <v>0</v>
      </c>
      <c r="L80" s="4">
        <v>0</v>
      </c>
      <c r="M80" s="4">
        <v>0</v>
      </c>
      <c r="N80" s="4">
        <v>0</v>
      </c>
      <c r="O80" s="4">
        <v>5.0000000000000001E-3</v>
      </c>
      <c r="P80" s="4">
        <v>5.0000000000000001E-3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13">
        <f t="shared" si="1"/>
        <v>0.41375000000000001</v>
      </c>
    </row>
    <row r="81" spans="1:22" x14ac:dyDescent="0.3">
      <c r="A81" s="19">
        <v>46309</v>
      </c>
      <c r="B81" s="4" t="s">
        <v>90</v>
      </c>
      <c r="C81" s="4">
        <v>7.4999999999999997E-3</v>
      </c>
      <c r="D81" s="4">
        <v>0.375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2.1250000000000002E-2</v>
      </c>
      <c r="K81" s="4">
        <v>0</v>
      </c>
      <c r="L81" s="4">
        <v>0</v>
      </c>
      <c r="M81" s="4">
        <v>0</v>
      </c>
      <c r="N81" s="4">
        <v>0</v>
      </c>
      <c r="O81" s="4">
        <v>5.0000000000000001E-3</v>
      </c>
      <c r="P81" s="4">
        <v>5.0000000000000001E-3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13">
        <f t="shared" si="1"/>
        <v>0.41375000000000001</v>
      </c>
    </row>
    <row r="82" spans="1:22" x14ac:dyDescent="0.3">
      <c r="A82" s="19">
        <v>46309</v>
      </c>
      <c r="B82" s="4" t="s">
        <v>89</v>
      </c>
      <c r="C82" s="4">
        <v>7.4999999999999997E-3</v>
      </c>
      <c r="D82" s="4">
        <v>0.375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2.1250000000000002E-2</v>
      </c>
      <c r="K82" s="4">
        <v>0</v>
      </c>
      <c r="L82" s="4">
        <v>0</v>
      </c>
      <c r="M82" s="4">
        <v>0</v>
      </c>
      <c r="N82" s="4">
        <v>0</v>
      </c>
      <c r="O82" s="4">
        <v>0.01</v>
      </c>
      <c r="P82" s="4">
        <v>5.0000000000000001E-3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13">
        <f t="shared" si="1"/>
        <v>0.41875000000000001</v>
      </c>
    </row>
    <row r="83" spans="1:22" x14ac:dyDescent="0.3">
      <c r="A83" s="19">
        <v>46309</v>
      </c>
      <c r="B83" s="4" t="s">
        <v>88</v>
      </c>
      <c r="C83" s="4">
        <v>7.4999999999999997E-3</v>
      </c>
      <c r="D83" s="4">
        <v>0.375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2.1250000000000002E-2</v>
      </c>
      <c r="K83" s="4">
        <v>0</v>
      </c>
      <c r="L83" s="4">
        <v>0</v>
      </c>
      <c r="M83" s="4">
        <v>0</v>
      </c>
      <c r="N83" s="4">
        <v>0</v>
      </c>
      <c r="O83" s="4">
        <v>0.01</v>
      </c>
      <c r="P83" s="4">
        <v>5.0000000000000001E-3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13">
        <f t="shared" si="1"/>
        <v>0.41875000000000001</v>
      </c>
    </row>
    <row r="84" spans="1:22" x14ac:dyDescent="0.3">
      <c r="A84" s="19">
        <v>46309</v>
      </c>
      <c r="B84" s="4" t="s">
        <v>87</v>
      </c>
      <c r="C84" s="4">
        <v>7.4999999999999997E-3</v>
      </c>
      <c r="D84" s="4">
        <v>0.375</v>
      </c>
      <c r="E84" s="4">
        <v>3.7499999999999999E-2</v>
      </c>
      <c r="F84" s="4">
        <v>0</v>
      </c>
      <c r="G84" s="4">
        <v>0</v>
      </c>
      <c r="H84" s="4">
        <v>0</v>
      </c>
      <c r="I84" s="4">
        <v>0</v>
      </c>
      <c r="J84" s="4">
        <v>2.1250000000000002E-2</v>
      </c>
      <c r="K84" s="4">
        <v>0</v>
      </c>
      <c r="L84" s="4">
        <v>0</v>
      </c>
      <c r="M84" s="4">
        <v>0</v>
      </c>
      <c r="N84" s="4">
        <v>0</v>
      </c>
      <c r="O84" s="4">
        <v>0.01</v>
      </c>
      <c r="P84" s="4">
        <v>5.0000000000000001E-3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13">
        <f t="shared" si="1"/>
        <v>0.45624999999999999</v>
      </c>
    </row>
    <row r="85" spans="1:22" x14ac:dyDescent="0.3">
      <c r="A85" s="19">
        <v>46309</v>
      </c>
      <c r="B85" s="4" t="s">
        <v>86</v>
      </c>
      <c r="C85" s="4">
        <v>7.4999999999999997E-3</v>
      </c>
      <c r="D85" s="4">
        <v>0.75</v>
      </c>
      <c r="E85" s="4">
        <v>3.7499999999999999E-2</v>
      </c>
      <c r="F85" s="4">
        <v>0</v>
      </c>
      <c r="G85" s="4">
        <v>0</v>
      </c>
      <c r="H85" s="4">
        <v>0</v>
      </c>
      <c r="I85" s="4">
        <v>0</v>
      </c>
      <c r="J85" s="4">
        <v>2.1250000000000002E-2</v>
      </c>
      <c r="K85" s="4">
        <v>0</v>
      </c>
      <c r="L85" s="4">
        <v>0</v>
      </c>
      <c r="M85" s="4">
        <v>0</v>
      </c>
      <c r="N85" s="4">
        <v>0</v>
      </c>
      <c r="O85" s="4">
        <v>0.01</v>
      </c>
      <c r="P85" s="4">
        <v>5.0000000000000001E-3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13">
        <f t="shared" si="1"/>
        <v>0.83124999999999993</v>
      </c>
    </row>
    <row r="86" spans="1:22" x14ac:dyDescent="0.3">
      <c r="A86" s="19">
        <v>46309</v>
      </c>
      <c r="B86" s="4" t="s">
        <v>85</v>
      </c>
      <c r="C86" s="4">
        <v>7.4999999999999997E-3</v>
      </c>
      <c r="D86" s="4">
        <v>0.75</v>
      </c>
      <c r="E86" s="4">
        <v>3.7499999999999999E-2</v>
      </c>
      <c r="F86" s="4">
        <v>0</v>
      </c>
      <c r="G86" s="4">
        <v>0</v>
      </c>
      <c r="H86" s="4">
        <v>0</v>
      </c>
      <c r="I86" s="4">
        <v>0</v>
      </c>
      <c r="J86" s="4">
        <v>2.1250000000000002E-2</v>
      </c>
      <c r="K86" s="4">
        <v>0</v>
      </c>
      <c r="L86" s="4">
        <v>0</v>
      </c>
      <c r="M86" s="4">
        <v>0</v>
      </c>
      <c r="N86" s="4">
        <v>0</v>
      </c>
      <c r="O86" s="4">
        <v>1.4999999999999999E-2</v>
      </c>
      <c r="P86" s="4">
        <v>5.0000000000000001E-3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13">
        <f t="shared" si="1"/>
        <v>0.83624999999999994</v>
      </c>
    </row>
    <row r="87" spans="1:22" x14ac:dyDescent="0.3">
      <c r="A87" s="19">
        <v>46309</v>
      </c>
      <c r="B87" s="4" t="s">
        <v>84</v>
      </c>
      <c r="C87" s="4">
        <v>7.4999999999999997E-3</v>
      </c>
      <c r="D87" s="4">
        <v>0.375</v>
      </c>
      <c r="E87" s="4">
        <v>3.7499999999999999E-2</v>
      </c>
      <c r="F87" s="4">
        <v>0</v>
      </c>
      <c r="G87" s="4">
        <v>0</v>
      </c>
      <c r="H87" s="4">
        <v>0</v>
      </c>
      <c r="I87" s="4">
        <v>0</v>
      </c>
      <c r="J87" s="4">
        <v>2.1250000000000002E-2</v>
      </c>
      <c r="K87" s="4">
        <v>0</v>
      </c>
      <c r="L87" s="4">
        <v>0</v>
      </c>
      <c r="M87" s="4">
        <v>0</v>
      </c>
      <c r="N87" s="4">
        <v>0</v>
      </c>
      <c r="O87" s="4">
        <v>1.4999999999999999E-2</v>
      </c>
      <c r="P87" s="4">
        <v>5.0000000000000001E-3</v>
      </c>
      <c r="Q87" s="4">
        <v>0</v>
      </c>
      <c r="R87" s="4">
        <v>0</v>
      </c>
      <c r="S87" s="4">
        <v>2.5000000000000001E-2</v>
      </c>
      <c r="T87" s="4">
        <v>0</v>
      </c>
      <c r="U87" s="4">
        <v>0</v>
      </c>
      <c r="V87" s="13">
        <f t="shared" si="1"/>
        <v>0.48625000000000002</v>
      </c>
    </row>
    <row r="88" spans="1:22" x14ac:dyDescent="0.3">
      <c r="A88" s="19">
        <v>46309</v>
      </c>
      <c r="B88" s="4" t="s">
        <v>83</v>
      </c>
      <c r="C88" s="4">
        <v>7.4999999999999997E-3</v>
      </c>
      <c r="D88" s="4">
        <v>0.375</v>
      </c>
      <c r="E88" s="4">
        <v>3.7499999999999999E-2</v>
      </c>
      <c r="F88" s="4">
        <v>0</v>
      </c>
      <c r="G88" s="4">
        <v>0</v>
      </c>
      <c r="H88" s="4">
        <v>0</v>
      </c>
      <c r="I88" s="4">
        <v>0</v>
      </c>
      <c r="J88" s="4">
        <v>2.1250000000000002E-2</v>
      </c>
      <c r="K88" s="4">
        <v>0</v>
      </c>
      <c r="L88" s="4">
        <v>0</v>
      </c>
      <c r="M88" s="4">
        <v>0</v>
      </c>
      <c r="N88" s="4">
        <v>0</v>
      </c>
      <c r="O88" s="4">
        <v>1.4999999999999999E-2</v>
      </c>
      <c r="P88" s="4">
        <v>5.0000000000000001E-3</v>
      </c>
      <c r="Q88" s="4">
        <v>0</v>
      </c>
      <c r="R88" s="4">
        <v>0</v>
      </c>
      <c r="S88" s="4">
        <v>2.5000000000000001E-2</v>
      </c>
      <c r="T88" s="4">
        <v>0</v>
      </c>
      <c r="U88" s="4">
        <v>0</v>
      </c>
      <c r="V88" s="13">
        <f t="shared" si="1"/>
        <v>0.48625000000000002</v>
      </c>
    </row>
    <row r="89" spans="1:22" x14ac:dyDescent="0.3">
      <c r="A89" s="19">
        <v>46309</v>
      </c>
      <c r="B89" s="4" t="s">
        <v>82</v>
      </c>
      <c r="C89" s="4">
        <v>7.4999999999999997E-3</v>
      </c>
      <c r="D89" s="4">
        <v>0.375</v>
      </c>
      <c r="E89" s="4">
        <v>3.7499999999999999E-2</v>
      </c>
      <c r="F89" s="4">
        <v>0</v>
      </c>
      <c r="G89" s="4">
        <v>0</v>
      </c>
      <c r="H89" s="4">
        <v>0</v>
      </c>
      <c r="I89" s="4">
        <v>0</v>
      </c>
      <c r="J89" s="4">
        <v>2.1250000000000002E-2</v>
      </c>
      <c r="K89" s="4">
        <v>0</v>
      </c>
      <c r="L89" s="4">
        <v>0</v>
      </c>
      <c r="M89" s="4">
        <v>0</v>
      </c>
      <c r="N89" s="4">
        <v>0</v>
      </c>
      <c r="O89" s="4">
        <v>1.4999999999999999E-2</v>
      </c>
      <c r="P89" s="4">
        <v>5.0000000000000001E-3</v>
      </c>
      <c r="Q89" s="4">
        <v>0</v>
      </c>
      <c r="R89" s="4">
        <v>0</v>
      </c>
      <c r="S89" s="4">
        <v>2.5000000000000001E-2</v>
      </c>
      <c r="T89" s="4">
        <v>0</v>
      </c>
      <c r="U89" s="4">
        <v>0</v>
      </c>
      <c r="V89" s="13">
        <f t="shared" si="1"/>
        <v>0.48625000000000002</v>
      </c>
    </row>
    <row r="90" spans="1:22" x14ac:dyDescent="0.3">
      <c r="A90" s="19">
        <v>46309</v>
      </c>
      <c r="B90" s="4" t="s">
        <v>81</v>
      </c>
      <c r="C90" s="4">
        <v>7.4999999999999997E-3</v>
      </c>
      <c r="D90" s="4">
        <v>0.375</v>
      </c>
      <c r="E90" s="4">
        <v>3.7499999999999999E-2</v>
      </c>
      <c r="F90" s="4">
        <v>1.4999999999999999E-2</v>
      </c>
      <c r="G90" s="4">
        <v>0</v>
      </c>
      <c r="H90" s="4">
        <v>0</v>
      </c>
      <c r="I90" s="4">
        <v>0</v>
      </c>
      <c r="J90" s="4">
        <v>2.1250000000000002E-2</v>
      </c>
      <c r="K90" s="4">
        <v>0</v>
      </c>
      <c r="L90" s="4">
        <v>0</v>
      </c>
      <c r="M90" s="4">
        <v>0</v>
      </c>
      <c r="N90" s="4">
        <v>0</v>
      </c>
      <c r="O90" s="4">
        <v>1.4999999999999999E-2</v>
      </c>
      <c r="P90" s="4">
        <v>5.0000000000000001E-3</v>
      </c>
      <c r="Q90" s="4">
        <v>0</v>
      </c>
      <c r="R90" s="4">
        <v>0</v>
      </c>
      <c r="S90" s="4">
        <v>2.5000000000000001E-2</v>
      </c>
      <c r="T90" s="4">
        <v>0</v>
      </c>
      <c r="U90" s="4">
        <v>0</v>
      </c>
      <c r="V90" s="13">
        <f t="shared" si="1"/>
        <v>0.50124999999999997</v>
      </c>
    </row>
    <row r="91" spans="1:22" x14ac:dyDescent="0.3">
      <c r="A91" s="19">
        <v>46309</v>
      </c>
      <c r="B91" s="4" t="s">
        <v>80</v>
      </c>
      <c r="C91" s="4">
        <v>7.4999999999999997E-3</v>
      </c>
      <c r="D91" s="4">
        <v>0.375</v>
      </c>
      <c r="E91" s="4">
        <v>3.7499999999999999E-2</v>
      </c>
      <c r="F91" s="4">
        <v>1.4999999999999999E-2</v>
      </c>
      <c r="G91" s="4">
        <v>0</v>
      </c>
      <c r="H91" s="4">
        <v>0</v>
      </c>
      <c r="I91" s="4">
        <v>0</v>
      </c>
      <c r="J91" s="4">
        <v>2.1250000000000002E-2</v>
      </c>
      <c r="K91" s="4">
        <v>0</v>
      </c>
      <c r="L91" s="4">
        <v>0</v>
      </c>
      <c r="M91" s="4">
        <v>0</v>
      </c>
      <c r="N91" s="4">
        <v>0</v>
      </c>
      <c r="O91" s="4">
        <v>1.4999999999999999E-2</v>
      </c>
      <c r="P91" s="4">
        <v>5.0000000000000001E-3</v>
      </c>
      <c r="Q91" s="4">
        <v>0</v>
      </c>
      <c r="R91" s="4">
        <v>0</v>
      </c>
      <c r="S91" s="4">
        <v>2.5000000000000001E-2</v>
      </c>
      <c r="T91" s="4">
        <v>0</v>
      </c>
      <c r="U91" s="4">
        <v>0</v>
      </c>
      <c r="V91" s="13">
        <f t="shared" si="1"/>
        <v>0.50124999999999997</v>
      </c>
    </row>
    <row r="92" spans="1:22" x14ac:dyDescent="0.3">
      <c r="A92" s="19">
        <v>46309</v>
      </c>
      <c r="B92" s="4" t="s">
        <v>79</v>
      </c>
      <c r="C92" s="4">
        <v>7.4999999999999997E-3</v>
      </c>
      <c r="D92" s="4">
        <v>0.75</v>
      </c>
      <c r="E92" s="4">
        <v>3.7499999999999999E-2</v>
      </c>
      <c r="F92" s="4">
        <v>1.4999999999999999E-2</v>
      </c>
      <c r="G92" s="4">
        <v>0</v>
      </c>
      <c r="H92" s="4">
        <v>0</v>
      </c>
      <c r="I92" s="4">
        <v>0</v>
      </c>
      <c r="J92" s="4">
        <v>2.1250000000000002E-2</v>
      </c>
      <c r="K92" s="4">
        <v>0</v>
      </c>
      <c r="L92" s="4">
        <v>0</v>
      </c>
      <c r="M92" s="4">
        <v>0</v>
      </c>
      <c r="N92" s="4">
        <v>0</v>
      </c>
      <c r="O92" s="4">
        <v>1.4999999999999999E-2</v>
      </c>
      <c r="P92" s="4">
        <v>5.0000000000000001E-3</v>
      </c>
      <c r="Q92" s="4">
        <v>0</v>
      </c>
      <c r="R92" s="4">
        <v>0</v>
      </c>
      <c r="S92" s="4">
        <v>2.5000000000000001E-2</v>
      </c>
      <c r="T92" s="4">
        <v>0</v>
      </c>
      <c r="U92" s="4">
        <v>0</v>
      </c>
      <c r="V92" s="13">
        <f t="shared" si="1"/>
        <v>0.87624999999999997</v>
      </c>
    </row>
    <row r="93" spans="1:22" x14ac:dyDescent="0.3">
      <c r="A93" s="19">
        <v>46309</v>
      </c>
      <c r="B93" s="4" t="s">
        <v>78</v>
      </c>
      <c r="C93" s="4">
        <v>7.4999999999999997E-3</v>
      </c>
      <c r="D93" s="4">
        <v>0.75</v>
      </c>
      <c r="E93" s="4">
        <v>0</v>
      </c>
      <c r="F93" s="4">
        <v>1.4999999999999999E-2</v>
      </c>
      <c r="G93" s="4">
        <v>0</v>
      </c>
      <c r="H93" s="4">
        <v>0</v>
      </c>
      <c r="I93" s="4">
        <v>0</v>
      </c>
      <c r="J93" s="4">
        <v>2.1250000000000002E-2</v>
      </c>
      <c r="K93" s="4">
        <v>0</v>
      </c>
      <c r="L93" s="4">
        <v>0</v>
      </c>
      <c r="M93" s="4">
        <v>0</v>
      </c>
      <c r="N93" s="4">
        <v>0</v>
      </c>
      <c r="O93" s="4">
        <v>8.9999999999999993E-3</v>
      </c>
      <c r="P93" s="4">
        <v>5.0000000000000001E-3</v>
      </c>
      <c r="Q93" s="4">
        <v>0</v>
      </c>
      <c r="R93" s="4">
        <v>0</v>
      </c>
      <c r="S93" s="4">
        <v>2.5000000000000001E-2</v>
      </c>
      <c r="T93" s="4">
        <v>0</v>
      </c>
      <c r="U93" s="4">
        <v>0</v>
      </c>
      <c r="V93" s="13">
        <f t="shared" si="1"/>
        <v>0.83274999999999999</v>
      </c>
    </row>
    <row r="94" spans="1:22" x14ac:dyDescent="0.3">
      <c r="A94" s="19">
        <v>46309</v>
      </c>
      <c r="B94" s="4" t="s">
        <v>77</v>
      </c>
      <c r="C94" s="4">
        <v>7.4999999999999997E-3</v>
      </c>
      <c r="D94" s="4">
        <v>0.375</v>
      </c>
      <c r="E94" s="4">
        <v>0</v>
      </c>
      <c r="F94" s="4">
        <v>1.4999999999999999E-2</v>
      </c>
      <c r="G94" s="4">
        <v>0</v>
      </c>
      <c r="H94" s="4">
        <v>0</v>
      </c>
      <c r="I94" s="4">
        <v>0</v>
      </c>
      <c r="J94" s="4">
        <v>2.1250000000000002E-2</v>
      </c>
      <c r="K94" s="4">
        <v>0</v>
      </c>
      <c r="L94" s="4">
        <v>0</v>
      </c>
      <c r="M94" s="4">
        <v>0</v>
      </c>
      <c r="N94" s="4">
        <v>0</v>
      </c>
      <c r="O94" s="4">
        <v>8.9999999999999993E-3</v>
      </c>
      <c r="P94" s="4">
        <v>5.0000000000000001E-3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13">
        <f t="shared" si="1"/>
        <v>0.43275000000000002</v>
      </c>
    </row>
    <row r="95" spans="1:22" x14ac:dyDescent="0.3">
      <c r="A95" s="19">
        <v>46309</v>
      </c>
      <c r="B95" s="4" t="s">
        <v>76</v>
      </c>
      <c r="C95" s="4">
        <v>7.4999999999999997E-3</v>
      </c>
      <c r="D95" s="4">
        <v>0.375</v>
      </c>
      <c r="E95" s="4">
        <v>0</v>
      </c>
      <c r="F95" s="4">
        <v>1.4999999999999999E-2</v>
      </c>
      <c r="G95" s="4">
        <v>0</v>
      </c>
      <c r="H95" s="4">
        <v>0</v>
      </c>
      <c r="I95" s="4">
        <v>0</v>
      </c>
      <c r="J95" s="4">
        <v>2.1250000000000002E-2</v>
      </c>
      <c r="K95" s="4">
        <v>0</v>
      </c>
      <c r="L95" s="4">
        <v>0</v>
      </c>
      <c r="M95" s="4">
        <v>0</v>
      </c>
      <c r="N95" s="4">
        <v>0</v>
      </c>
      <c r="O95" s="4">
        <v>8.9999999999999993E-3</v>
      </c>
      <c r="P95" s="4">
        <v>5.0000000000000001E-3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13">
        <f t="shared" si="1"/>
        <v>0.43275000000000002</v>
      </c>
    </row>
    <row r="96" spans="1:22" x14ac:dyDescent="0.3">
      <c r="A96" s="19">
        <v>46309</v>
      </c>
      <c r="B96" s="4" t="s">
        <v>75</v>
      </c>
      <c r="C96" s="4">
        <v>7.4999999999999997E-3</v>
      </c>
      <c r="D96" s="4">
        <v>0.375</v>
      </c>
      <c r="E96" s="4">
        <v>0</v>
      </c>
      <c r="F96" s="4">
        <v>1.4999999999999999E-2</v>
      </c>
      <c r="G96" s="4">
        <v>0</v>
      </c>
      <c r="H96" s="4">
        <v>0</v>
      </c>
      <c r="I96" s="4">
        <v>0</v>
      </c>
      <c r="J96" s="4">
        <v>2.1250000000000002E-2</v>
      </c>
      <c r="K96" s="4">
        <v>0</v>
      </c>
      <c r="L96" s="4">
        <v>0</v>
      </c>
      <c r="M96" s="4">
        <v>0</v>
      </c>
      <c r="N96" s="4">
        <v>0</v>
      </c>
      <c r="O96" s="4">
        <v>4.0000000000000001E-3</v>
      </c>
      <c r="P96" s="4">
        <v>5.0000000000000001E-3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13">
        <f t="shared" si="1"/>
        <v>0.42775000000000002</v>
      </c>
    </row>
    <row r="97" spans="1:22" x14ac:dyDescent="0.3">
      <c r="A97" s="19">
        <v>46309</v>
      </c>
      <c r="B97" s="4" t="s">
        <v>74</v>
      </c>
      <c r="C97" s="4">
        <v>7.4999999999999997E-3</v>
      </c>
      <c r="D97" s="4">
        <v>0.375</v>
      </c>
      <c r="E97" s="4">
        <v>0</v>
      </c>
      <c r="F97" s="4">
        <v>1.4999999999999999E-2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4.0000000000000001E-3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13">
        <f t="shared" si="1"/>
        <v>0.40150000000000002</v>
      </c>
    </row>
    <row r="98" spans="1:2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13">
        <f t="shared" si="1"/>
        <v>0</v>
      </c>
    </row>
    <row r="99" spans="1:22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13">
        <f t="shared" si="1"/>
        <v>0</v>
      </c>
    </row>
    <row r="100" spans="1:22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13">
        <f t="shared" si="1"/>
        <v>0</v>
      </c>
    </row>
    <row r="101" spans="1:22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13">
        <f t="shared" si="1"/>
        <v>0</v>
      </c>
    </row>
    <row r="102" spans="1:22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13">
        <f t="shared" si="1"/>
        <v>0</v>
      </c>
    </row>
    <row r="103" spans="1:22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13">
        <f t="shared" si="1"/>
        <v>0</v>
      </c>
    </row>
    <row r="104" spans="1:22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s="13">
        <f t="shared" si="1"/>
        <v>0</v>
      </c>
    </row>
    <row r="105" spans="1:22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13">
        <f t="shared" si="1"/>
        <v>0</v>
      </c>
    </row>
    <row r="106" spans="1:22" x14ac:dyDescent="0.3">
      <c r="A106">
        <v>0</v>
      </c>
      <c r="B106">
        <v>0</v>
      </c>
      <c r="C106" s="17" t="s">
        <v>73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13" t="e">
        <f t="shared" si="1"/>
        <v>#VALUE!</v>
      </c>
    </row>
    <row r="107" spans="1:22" x14ac:dyDescent="0.3">
      <c r="A107">
        <v>0</v>
      </c>
      <c r="B107">
        <v>0</v>
      </c>
      <c r="C107" s="16" t="s">
        <v>72</v>
      </c>
      <c r="D107" s="15" t="s">
        <v>71</v>
      </c>
      <c r="E107" s="4">
        <v>0</v>
      </c>
      <c r="F107" s="4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13" t="e">
        <f t="shared" si="1"/>
        <v>#VALUE!</v>
      </c>
    </row>
    <row r="108" spans="1:22" x14ac:dyDescent="0.3">
      <c r="A108">
        <v>0</v>
      </c>
      <c r="B108">
        <v>13</v>
      </c>
      <c r="C108" s="16" t="s">
        <v>70</v>
      </c>
      <c r="D108" s="15">
        <v>90</v>
      </c>
      <c r="E108" s="14" t="s">
        <v>69</v>
      </c>
      <c r="F108" s="4">
        <v>22.5</v>
      </c>
      <c r="G108">
        <v>2.2499999999999999E-2</v>
      </c>
      <c r="H108">
        <v>0</v>
      </c>
      <c r="I108" t="s">
        <v>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13" t="e">
        <f t="shared" si="1"/>
        <v>#VALUE!</v>
      </c>
    </row>
    <row r="109" spans="1:22" x14ac:dyDescent="0.3">
      <c r="A109">
        <v>0</v>
      </c>
      <c r="B109">
        <v>3</v>
      </c>
      <c r="C109" s="16" t="s">
        <v>68</v>
      </c>
      <c r="D109" s="15">
        <v>60</v>
      </c>
      <c r="E109" s="14" t="s">
        <v>67</v>
      </c>
      <c r="F109" s="4">
        <v>15</v>
      </c>
      <c r="G109">
        <v>1.4999999999999999E-2</v>
      </c>
      <c r="H109">
        <v>0</v>
      </c>
      <c r="I109" t="s">
        <v>37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3" t="e">
        <f t="shared" si="1"/>
        <v>#VALUE!</v>
      </c>
    </row>
    <row r="110" spans="1:22" x14ac:dyDescent="0.3">
      <c r="A110">
        <v>0</v>
      </c>
      <c r="B110">
        <v>1</v>
      </c>
      <c r="C110" s="16" t="s">
        <v>66</v>
      </c>
      <c r="D110" s="15">
        <v>15</v>
      </c>
      <c r="E110" s="14" t="s">
        <v>65</v>
      </c>
      <c r="F110" s="4">
        <v>3.75</v>
      </c>
      <c r="G110">
        <v>3.7499999999999999E-3</v>
      </c>
      <c r="H110">
        <v>0</v>
      </c>
      <c r="I110" t="s">
        <v>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13" t="e">
        <f t="shared" si="1"/>
        <v>#VALUE!</v>
      </c>
    </row>
    <row r="111" spans="1:22" x14ac:dyDescent="0.3">
      <c r="A111">
        <v>0</v>
      </c>
      <c r="B111">
        <v>2</v>
      </c>
      <c r="C111" s="16" t="s">
        <v>64</v>
      </c>
      <c r="D111" s="15">
        <v>20</v>
      </c>
      <c r="E111" s="14" t="s">
        <v>63</v>
      </c>
      <c r="F111" s="4">
        <v>5</v>
      </c>
      <c r="G111">
        <v>5.0000000000000001E-3</v>
      </c>
      <c r="H111">
        <v>0</v>
      </c>
      <c r="I111" t="s">
        <v>37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13" t="e">
        <f t="shared" si="1"/>
        <v>#VALUE!</v>
      </c>
    </row>
    <row r="112" spans="1:22" x14ac:dyDescent="0.3">
      <c r="A112">
        <v>0</v>
      </c>
      <c r="B112">
        <v>0</v>
      </c>
      <c r="C112" s="16" t="s">
        <v>62</v>
      </c>
      <c r="D112" s="15">
        <v>200</v>
      </c>
      <c r="E112" s="14" t="s">
        <v>61</v>
      </c>
      <c r="F112" s="4">
        <v>50</v>
      </c>
      <c r="G112">
        <v>0.05</v>
      </c>
      <c r="H112">
        <v>0</v>
      </c>
      <c r="I112" t="s">
        <v>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13" t="e">
        <f t="shared" si="1"/>
        <v>#VALUE!</v>
      </c>
    </row>
    <row r="113" spans="1:22" x14ac:dyDescent="0.3">
      <c r="A113">
        <v>0</v>
      </c>
      <c r="B113">
        <v>1</v>
      </c>
      <c r="C113" s="16" t="s">
        <v>60</v>
      </c>
      <c r="D113" s="15">
        <v>85</v>
      </c>
      <c r="E113" s="14" t="s">
        <v>59</v>
      </c>
      <c r="F113" s="4" t="s">
        <v>58</v>
      </c>
      <c r="G113">
        <v>2.1250000000000002E-2</v>
      </c>
      <c r="H113">
        <v>0</v>
      </c>
      <c r="I113" t="s">
        <v>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13" t="e">
        <f t="shared" si="1"/>
        <v>#VALUE!</v>
      </c>
    </row>
    <row r="114" spans="1:22" x14ac:dyDescent="0.3">
      <c r="A114">
        <v>0</v>
      </c>
      <c r="B114">
        <v>1</v>
      </c>
      <c r="C114" s="16" t="s">
        <v>57</v>
      </c>
      <c r="D114" s="15">
        <v>250</v>
      </c>
      <c r="E114" s="14" t="s">
        <v>56</v>
      </c>
      <c r="F114" s="4">
        <v>62.5</v>
      </c>
      <c r="G114">
        <v>6.25E-2</v>
      </c>
      <c r="H114">
        <v>0</v>
      </c>
      <c r="I114" t="s">
        <v>37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13" t="e">
        <f t="shared" si="1"/>
        <v>#VALUE!</v>
      </c>
    </row>
    <row r="115" spans="1:22" x14ac:dyDescent="0.3">
      <c r="A115">
        <v>0</v>
      </c>
      <c r="B115">
        <v>1</v>
      </c>
      <c r="C115" s="16" t="s">
        <v>55</v>
      </c>
      <c r="D115" s="15">
        <v>100</v>
      </c>
      <c r="E115" s="14" t="s">
        <v>54</v>
      </c>
      <c r="F115" s="4">
        <v>25</v>
      </c>
      <c r="G115">
        <v>2.5000000000000001E-2</v>
      </c>
      <c r="H115">
        <v>0</v>
      </c>
      <c r="I115" t="s">
        <v>37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13" t="e">
        <f t="shared" si="1"/>
        <v>#VALUE!</v>
      </c>
    </row>
    <row r="116" spans="1:22" x14ac:dyDescent="0.3">
      <c r="A116">
        <v>0</v>
      </c>
      <c r="B116">
        <v>1</v>
      </c>
      <c r="C116" s="16" t="s">
        <v>53</v>
      </c>
      <c r="D116" s="15">
        <v>1300</v>
      </c>
      <c r="E116" s="14" t="s">
        <v>52</v>
      </c>
      <c r="F116" s="4">
        <v>325</v>
      </c>
      <c r="G116">
        <v>3.2500000000000001E-2</v>
      </c>
      <c r="H116">
        <v>0</v>
      </c>
      <c r="I116" t="s">
        <v>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13" t="e">
        <f t="shared" si="1"/>
        <v>#VALUE!</v>
      </c>
    </row>
    <row r="117" spans="1:22" x14ac:dyDescent="0.3">
      <c r="A117">
        <v>0</v>
      </c>
      <c r="B117">
        <v>1</v>
      </c>
      <c r="C117" s="16" t="s">
        <v>51</v>
      </c>
      <c r="D117" s="15">
        <v>800</v>
      </c>
      <c r="E117" s="14" t="s">
        <v>50</v>
      </c>
      <c r="F117" s="4">
        <v>160</v>
      </c>
      <c r="G117">
        <v>0.16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13" t="e">
        <f t="shared" si="1"/>
        <v>#VALUE!</v>
      </c>
    </row>
    <row r="118" spans="1:22" x14ac:dyDescent="0.3">
      <c r="A118">
        <v>0</v>
      </c>
      <c r="B118">
        <v>1</v>
      </c>
      <c r="C118" s="16" t="s">
        <v>49</v>
      </c>
      <c r="D118" s="15">
        <v>1500</v>
      </c>
      <c r="E118" s="14" t="s">
        <v>35</v>
      </c>
      <c r="F118" s="4">
        <v>375</v>
      </c>
      <c r="G118">
        <v>0.375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13" t="e">
        <f t="shared" si="1"/>
        <v>#VALUE!</v>
      </c>
    </row>
    <row r="119" spans="1:22" x14ac:dyDescent="0.3">
      <c r="A119">
        <v>0</v>
      </c>
      <c r="B119">
        <v>1</v>
      </c>
      <c r="C119" s="16" t="s">
        <v>48</v>
      </c>
      <c r="D119" s="15">
        <v>120</v>
      </c>
      <c r="E119" s="14" t="s">
        <v>47</v>
      </c>
      <c r="F119" s="4">
        <v>30</v>
      </c>
      <c r="G119">
        <v>0.03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13" t="e">
        <f t="shared" si="1"/>
        <v>#VALUE!</v>
      </c>
    </row>
    <row r="120" spans="1:22" x14ac:dyDescent="0.3">
      <c r="A120">
        <v>0</v>
      </c>
      <c r="B120">
        <v>1</v>
      </c>
      <c r="C120" s="16" t="s">
        <v>46</v>
      </c>
      <c r="D120" s="15">
        <v>3000</v>
      </c>
      <c r="E120" s="14" t="s">
        <v>45</v>
      </c>
      <c r="F120" s="4">
        <v>750</v>
      </c>
      <c r="G120">
        <v>0.75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13" t="e">
        <f t="shared" si="1"/>
        <v>#VALUE!</v>
      </c>
    </row>
    <row r="121" spans="1:22" x14ac:dyDescent="0.3">
      <c r="A121">
        <v>0</v>
      </c>
      <c r="B121">
        <v>1</v>
      </c>
      <c r="C121" s="16" t="s">
        <v>44</v>
      </c>
      <c r="D121" s="15">
        <v>6000</v>
      </c>
      <c r="E121" s="14" t="s">
        <v>43</v>
      </c>
      <c r="F121" s="4">
        <v>1500</v>
      </c>
      <c r="G121" t="s">
        <v>42</v>
      </c>
      <c r="H121">
        <v>1.5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13" t="e">
        <f t="shared" si="1"/>
        <v>#VALUE!</v>
      </c>
    </row>
    <row r="122" spans="1:22" x14ac:dyDescent="0.3">
      <c r="A122">
        <v>0</v>
      </c>
      <c r="B122">
        <v>1</v>
      </c>
      <c r="C122" s="16" t="s">
        <v>41</v>
      </c>
      <c r="D122" s="15">
        <v>2200</v>
      </c>
      <c r="E122" s="14" t="s">
        <v>40</v>
      </c>
      <c r="F122" s="4">
        <v>550</v>
      </c>
      <c r="G122">
        <v>0</v>
      </c>
      <c r="H122">
        <v>0.55000000000000004</v>
      </c>
      <c r="I122" t="s">
        <v>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13" t="e">
        <f t="shared" si="1"/>
        <v>#VALUE!</v>
      </c>
    </row>
    <row r="123" spans="1:22" x14ac:dyDescent="0.3">
      <c r="A123">
        <v>0</v>
      </c>
      <c r="B123">
        <v>1</v>
      </c>
      <c r="C123" s="16" t="s">
        <v>39</v>
      </c>
      <c r="D123" s="15">
        <v>2100</v>
      </c>
      <c r="E123" s="14" t="s">
        <v>38</v>
      </c>
      <c r="F123" s="4">
        <v>525</v>
      </c>
      <c r="G123">
        <v>0</v>
      </c>
      <c r="H123">
        <v>0.52500000000000002</v>
      </c>
      <c r="I123" t="s">
        <v>37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13" t="e">
        <f t="shared" si="1"/>
        <v>#VALUE!</v>
      </c>
    </row>
    <row r="124" spans="1:22" x14ac:dyDescent="0.3">
      <c r="A124">
        <v>0</v>
      </c>
      <c r="B124">
        <v>1</v>
      </c>
      <c r="C124" s="16" t="s">
        <v>36</v>
      </c>
      <c r="D124" s="15">
        <v>1500</v>
      </c>
      <c r="E124" s="14" t="s">
        <v>35</v>
      </c>
      <c r="F124" s="4">
        <v>375</v>
      </c>
      <c r="G124">
        <v>0</v>
      </c>
      <c r="H124">
        <v>0.375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13" t="e">
        <f t="shared" si="1"/>
        <v>#VALUE!</v>
      </c>
    </row>
    <row r="125" spans="1:22" x14ac:dyDescent="0.3">
      <c r="A125">
        <v>0</v>
      </c>
      <c r="B125">
        <v>1</v>
      </c>
      <c r="C125" s="16" t="s">
        <v>34</v>
      </c>
      <c r="D125" s="15">
        <v>30</v>
      </c>
      <c r="E125" s="14" t="s">
        <v>33</v>
      </c>
      <c r="F125" s="4">
        <v>7.5</v>
      </c>
      <c r="G125">
        <v>0</v>
      </c>
      <c r="H125">
        <v>7.4999999999999997E-3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13" t="e">
        <f t="shared" si="1"/>
        <v>#VALUE!</v>
      </c>
    </row>
    <row r="126" spans="1:22" x14ac:dyDescent="0.3">
      <c r="A126">
        <v>0</v>
      </c>
      <c r="B126">
        <v>1</v>
      </c>
      <c r="C126" s="16" t="s">
        <v>32</v>
      </c>
      <c r="D126" s="15">
        <v>1000</v>
      </c>
      <c r="E126" s="14" t="s">
        <v>31</v>
      </c>
      <c r="F126" s="4">
        <v>250</v>
      </c>
      <c r="G126">
        <v>0</v>
      </c>
      <c r="H126">
        <v>0.25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13" t="e">
        <f t="shared" si="1"/>
        <v>#VALUE!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5F89-B7F7-4F38-8483-D28CC810DEA9}">
  <sheetPr>
    <tabColor rgb="FFFFC000"/>
  </sheetPr>
  <dimension ref="A1:O29"/>
  <sheetViews>
    <sheetView workbookViewId="0">
      <selection sqref="A1:O29"/>
    </sheetView>
  </sheetViews>
  <sheetFormatPr defaultRowHeight="14.4" x14ac:dyDescent="0.3"/>
  <cols>
    <col min="1" max="1" width="15.88671875" bestFit="1" customWidth="1"/>
    <col min="2" max="2" width="17.44140625" bestFit="1" customWidth="1"/>
    <col min="3" max="3" width="34.88671875" bestFit="1" customWidth="1"/>
    <col min="4" max="5" width="19.109375" bestFit="1" customWidth="1"/>
    <col min="6" max="6" width="20.88671875" bestFit="1" customWidth="1"/>
    <col min="7" max="7" width="25.88671875" bestFit="1" customWidth="1"/>
    <col min="8" max="8" width="15.6640625" bestFit="1" customWidth="1"/>
    <col min="9" max="9" width="20" bestFit="1" customWidth="1"/>
    <col min="10" max="10" width="12.6640625" bestFit="1" customWidth="1"/>
    <col min="11" max="11" width="24" bestFit="1" customWidth="1"/>
    <col min="12" max="12" width="24.44140625" bestFit="1" customWidth="1"/>
    <col min="13" max="13" width="23.6640625" bestFit="1" customWidth="1"/>
    <col min="14" max="14" width="24.109375" bestFit="1" customWidth="1"/>
    <col min="15" max="15" width="24" bestFit="1" customWidth="1"/>
  </cols>
  <sheetData>
    <row r="1" spans="1:15" x14ac:dyDescent="0.3">
      <c r="A1" s="64" t="s">
        <v>204</v>
      </c>
      <c r="B1" s="4" t="s">
        <v>297</v>
      </c>
      <c r="C1" s="4" t="s">
        <v>207</v>
      </c>
      <c r="D1" s="4" t="s">
        <v>298</v>
      </c>
      <c r="E1" s="4" t="s">
        <v>299</v>
      </c>
      <c r="F1" s="4" t="s">
        <v>300</v>
      </c>
      <c r="G1" s="4" t="s">
        <v>301</v>
      </c>
      <c r="H1" s="4" t="s">
        <v>302</v>
      </c>
      <c r="I1" s="4" t="s">
        <v>311</v>
      </c>
      <c r="J1" s="4" t="s">
        <v>303</v>
      </c>
      <c r="K1" s="4" t="s">
        <v>304</v>
      </c>
      <c r="L1" s="4" t="s">
        <v>305</v>
      </c>
      <c r="M1" s="4" t="s">
        <v>306</v>
      </c>
      <c r="N1" s="4" t="s">
        <v>307</v>
      </c>
      <c r="O1" s="4" t="s">
        <v>308</v>
      </c>
    </row>
    <row r="2" spans="1:15" x14ac:dyDescent="0.3">
      <c r="A2" s="31">
        <v>46303</v>
      </c>
      <c r="B2" s="4">
        <v>67.798500000000018</v>
      </c>
      <c r="C2" s="4">
        <v>4.8962500000000011</v>
      </c>
      <c r="D2" s="4">
        <v>45.187999999999988</v>
      </c>
      <c r="E2" s="4">
        <v>39.752499999999998</v>
      </c>
      <c r="F2" s="4">
        <v>22.701666666666657</v>
      </c>
      <c r="G2" s="4">
        <v>23.149749999999997</v>
      </c>
      <c r="H2" s="4">
        <v>-22.610499999999995</v>
      </c>
      <c r="I2" s="4">
        <v>585.9309833333333</v>
      </c>
      <c r="J2" s="4">
        <v>32.692066470138137</v>
      </c>
      <c r="K2" s="4">
        <v>15.831075000000009</v>
      </c>
      <c r="L2" s="4">
        <v>17.590083333333343</v>
      </c>
      <c r="M2" s="4">
        <v>24.117000000000001</v>
      </c>
      <c r="N2" s="4">
        <v>26.796666666666667</v>
      </c>
      <c r="O2" s="4">
        <v>1.7519999999999993</v>
      </c>
    </row>
    <row r="3" spans="1:15" x14ac:dyDescent="0.3">
      <c r="A3" s="66" t="s">
        <v>273</v>
      </c>
      <c r="B3" s="4">
        <v>2.1779999999999999</v>
      </c>
      <c r="C3" s="4">
        <v>0</v>
      </c>
      <c r="D3" s="4">
        <v>0</v>
      </c>
      <c r="E3" s="4">
        <v>0</v>
      </c>
      <c r="F3" s="4">
        <v>0</v>
      </c>
      <c r="G3" s="4">
        <v>2.1779999999999999</v>
      </c>
      <c r="H3" s="4">
        <v>-2.1779999999999999</v>
      </c>
      <c r="I3" s="4">
        <v>33.747222222222227</v>
      </c>
      <c r="J3" s="4">
        <v>2.0027997597486769</v>
      </c>
      <c r="K3" s="4">
        <v>0</v>
      </c>
      <c r="L3" s="4">
        <v>0</v>
      </c>
      <c r="M3" s="4">
        <v>2.2509999999999999</v>
      </c>
      <c r="N3" s="4">
        <v>2.5011111111111108</v>
      </c>
      <c r="O3" s="4">
        <v>7.2999999999999995E-2</v>
      </c>
    </row>
    <row r="4" spans="1:15" x14ac:dyDescent="0.3">
      <c r="A4" s="66" t="s">
        <v>274</v>
      </c>
      <c r="B4" s="4">
        <v>2.1779999999999999</v>
      </c>
      <c r="C4" s="4">
        <v>0</v>
      </c>
      <c r="D4" s="4">
        <v>0</v>
      </c>
      <c r="E4" s="4">
        <v>0</v>
      </c>
      <c r="F4" s="4">
        <v>0</v>
      </c>
      <c r="G4" s="4">
        <v>2.1779999999999999</v>
      </c>
      <c r="H4" s="4">
        <v>-2.1779999999999999</v>
      </c>
      <c r="I4" s="4">
        <v>23.742777777777786</v>
      </c>
      <c r="J4" s="4">
        <v>1.4435147308315208</v>
      </c>
      <c r="K4" s="4">
        <v>0</v>
      </c>
      <c r="L4" s="4">
        <v>0</v>
      </c>
      <c r="M4" s="4">
        <v>2.2509999999999999</v>
      </c>
      <c r="N4" s="4">
        <v>2.5011111111111108</v>
      </c>
      <c r="O4" s="4">
        <v>7.2999999999999995E-2</v>
      </c>
    </row>
    <row r="5" spans="1:15" x14ac:dyDescent="0.3">
      <c r="A5" s="66" t="s">
        <v>275</v>
      </c>
      <c r="B5" s="4">
        <v>2.1217499999999996</v>
      </c>
      <c r="C5" s="4">
        <v>0</v>
      </c>
      <c r="D5" s="4">
        <v>0</v>
      </c>
      <c r="E5" s="4">
        <v>0</v>
      </c>
      <c r="F5" s="4">
        <v>0</v>
      </c>
      <c r="G5" s="4">
        <v>2.1217499999999996</v>
      </c>
      <c r="H5" s="4">
        <v>-2.1217499999999996</v>
      </c>
      <c r="I5" s="4">
        <v>13.863333333333344</v>
      </c>
      <c r="J5" s="4">
        <v>0.88772368046574068</v>
      </c>
      <c r="K5" s="4">
        <v>0</v>
      </c>
      <c r="L5" s="4">
        <v>0</v>
      </c>
      <c r="M5" s="4">
        <v>2.19475</v>
      </c>
      <c r="N5" s="4">
        <v>2.4386111111111108</v>
      </c>
      <c r="O5" s="4">
        <v>7.2999999999999995E-2</v>
      </c>
    </row>
    <row r="6" spans="1:15" x14ac:dyDescent="0.3">
      <c r="A6" s="66" t="s">
        <v>276</v>
      </c>
      <c r="B6" s="4">
        <v>2.1029999999999998</v>
      </c>
      <c r="C6" s="4">
        <v>0</v>
      </c>
      <c r="D6" s="4">
        <v>0</v>
      </c>
      <c r="E6" s="4">
        <v>0.7012222222222193</v>
      </c>
      <c r="F6" s="4">
        <v>0</v>
      </c>
      <c r="G6" s="4">
        <v>1.4017777777777805</v>
      </c>
      <c r="H6" s="4">
        <v>-2.1029999999999998</v>
      </c>
      <c r="I6" s="4">
        <v>5.305000000000005</v>
      </c>
      <c r="J6" s="4">
        <v>0.360117390414394</v>
      </c>
      <c r="K6" s="4">
        <v>0</v>
      </c>
      <c r="L6" s="4">
        <v>0</v>
      </c>
      <c r="M6" s="4">
        <v>1.4382777777777804</v>
      </c>
      <c r="N6" s="4">
        <v>1.5980864197530893</v>
      </c>
      <c r="O6" s="4">
        <v>7.2999999999999995E-2</v>
      </c>
    </row>
    <row r="7" spans="1:15" x14ac:dyDescent="0.3">
      <c r="A7" s="66" t="s">
        <v>277</v>
      </c>
      <c r="B7" s="4">
        <v>2.1029999999999998</v>
      </c>
      <c r="C7" s="4">
        <v>0</v>
      </c>
      <c r="D7" s="4">
        <v>0</v>
      </c>
      <c r="E7" s="4">
        <v>2.1029999999999998</v>
      </c>
      <c r="F7" s="4">
        <v>0</v>
      </c>
      <c r="G7" s="4">
        <v>0</v>
      </c>
      <c r="H7" s="4">
        <v>-2.1029999999999998</v>
      </c>
      <c r="I7" s="4">
        <v>4</v>
      </c>
      <c r="J7" s="4">
        <v>0.2</v>
      </c>
      <c r="K7" s="4">
        <v>0</v>
      </c>
      <c r="L7" s="4">
        <v>0</v>
      </c>
      <c r="M7" s="4">
        <v>0</v>
      </c>
      <c r="N7" s="4">
        <v>0</v>
      </c>
      <c r="O7" s="4">
        <v>7.2999999999999995E-2</v>
      </c>
    </row>
    <row r="8" spans="1:15" x14ac:dyDescent="0.3">
      <c r="A8" s="66" t="s">
        <v>278</v>
      </c>
      <c r="B8" s="4">
        <v>2.1079999999999997</v>
      </c>
      <c r="C8" s="4">
        <v>2E-3</v>
      </c>
      <c r="D8" s="4">
        <v>2E-3</v>
      </c>
      <c r="E8" s="4">
        <v>2.1059999999999999</v>
      </c>
      <c r="F8" s="4">
        <v>0</v>
      </c>
      <c r="G8" s="4">
        <v>0</v>
      </c>
      <c r="H8" s="4">
        <v>-2.1059999999999999</v>
      </c>
      <c r="I8" s="4">
        <v>4</v>
      </c>
      <c r="J8" s="4">
        <v>0.2</v>
      </c>
      <c r="K8" s="4">
        <v>0</v>
      </c>
      <c r="L8" s="4">
        <v>0</v>
      </c>
      <c r="M8" s="4">
        <v>0</v>
      </c>
      <c r="N8" s="4">
        <v>0</v>
      </c>
      <c r="O8" s="4">
        <v>7.2999999999999995E-2</v>
      </c>
    </row>
    <row r="9" spans="1:15" x14ac:dyDescent="0.3">
      <c r="A9" s="66" t="s">
        <v>279</v>
      </c>
      <c r="B9" s="4">
        <v>4.7214999999999998</v>
      </c>
      <c r="C9" s="4">
        <v>2.1999999999999999E-2</v>
      </c>
      <c r="D9" s="4">
        <v>2.1999999999999999E-2</v>
      </c>
      <c r="E9" s="4">
        <v>4.6995000000000005</v>
      </c>
      <c r="F9" s="4">
        <v>0</v>
      </c>
      <c r="G9" s="4">
        <v>0</v>
      </c>
      <c r="H9" s="4">
        <v>-4.6995000000000005</v>
      </c>
      <c r="I9" s="4">
        <v>4</v>
      </c>
      <c r="J9" s="4">
        <v>0.2</v>
      </c>
      <c r="K9" s="4">
        <v>0</v>
      </c>
      <c r="L9" s="4">
        <v>0</v>
      </c>
      <c r="M9" s="4">
        <v>0</v>
      </c>
      <c r="N9" s="4">
        <v>0</v>
      </c>
      <c r="O9" s="4">
        <v>7.2999999999999995E-2</v>
      </c>
    </row>
    <row r="10" spans="1:15" x14ac:dyDescent="0.3">
      <c r="A10" s="66" t="s">
        <v>280</v>
      </c>
      <c r="B10" s="4">
        <v>4.2240000000000002</v>
      </c>
      <c r="C10" s="4">
        <v>0.128</v>
      </c>
      <c r="D10" s="4">
        <v>0.128</v>
      </c>
      <c r="E10" s="4">
        <v>4.0960000000000001</v>
      </c>
      <c r="F10" s="4">
        <v>0</v>
      </c>
      <c r="G10" s="4">
        <v>0</v>
      </c>
      <c r="H10" s="4">
        <v>-4.0960000000000001</v>
      </c>
      <c r="I10" s="4">
        <v>4</v>
      </c>
      <c r="J10" s="4">
        <v>0.2</v>
      </c>
      <c r="K10" s="4">
        <v>0</v>
      </c>
      <c r="L10" s="4">
        <v>0</v>
      </c>
      <c r="M10" s="4">
        <v>0</v>
      </c>
      <c r="N10" s="4">
        <v>0</v>
      </c>
      <c r="O10" s="4">
        <v>7.2999999999999995E-2</v>
      </c>
    </row>
    <row r="11" spans="1:15" x14ac:dyDescent="0.3">
      <c r="A11" s="66" t="s">
        <v>281</v>
      </c>
      <c r="B11" s="4">
        <v>0.6110000000000001</v>
      </c>
      <c r="C11" s="4">
        <v>0.15525</v>
      </c>
      <c r="D11" s="4">
        <v>0.55699999999999994</v>
      </c>
      <c r="E11" s="4">
        <v>0.45574999999999993</v>
      </c>
      <c r="F11" s="4">
        <v>0</v>
      </c>
      <c r="G11" s="4">
        <v>0</v>
      </c>
      <c r="H11" s="4">
        <v>-5.3999999999999937E-2</v>
      </c>
      <c r="I11" s="4">
        <v>4.6406666666666672</v>
      </c>
      <c r="J11" s="4">
        <v>0.21562351920239758</v>
      </c>
      <c r="K11" s="4">
        <v>0.36157499999999998</v>
      </c>
      <c r="L11" s="4">
        <v>0.40175000000000005</v>
      </c>
      <c r="M11" s="4">
        <v>3.6499999999999998E-2</v>
      </c>
      <c r="N11" s="4">
        <v>4.0555555555555553E-2</v>
      </c>
      <c r="O11" s="4">
        <v>7.2999999999999995E-2</v>
      </c>
    </row>
    <row r="12" spans="1:15" x14ac:dyDescent="0.3">
      <c r="A12" s="66" t="s">
        <v>282</v>
      </c>
      <c r="B12" s="4">
        <v>0.10299999999999999</v>
      </c>
      <c r="C12" s="4">
        <v>0.10299999999999999</v>
      </c>
      <c r="D12" s="4">
        <v>1.7850000000000001</v>
      </c>
      <c r="E12" s="4">
        <v>0</v>
      </c>
      <c r="F12" s="4">
        <v>0</v>
      </c>
      <c r="G12" s="4">
        <v>0</v>
      </c>
      <c r="H12" s="4">
        <v>1.6819999999999999</v>
      </c>
      <c r="I12" s="4">
        <v>8.8824999999999985</v>
      </c>
      <c r="J12" s="4">
        <v>0.38345406137887322</v>
      </c>
      <c r="K12" s="4">
        <v>1.5138</v>
      </c>
      <c r="L12" s="4">
        <v>1.6819999999999999</v>
      </c>
      <c r="M12" s="4">
        <v>7.2999999999999995E-2</v>
      </c>
      <c r="N12" s="4">
        <v>8.1111111111111106E-2</v>
      </c>
      <c r="O12" s="4">
        <v>7.2999999999999995E-2</v>
      </c>
    </row>
    <row r="13" spans="1:15" x14ac:dyDescent="0.3">
      <c r="A13" s="66" t="s">
        <v>283</v>
      </c>
      <c r="B13" s="4">
        <v>0.10299999999999999</v>
      </c>
      <c r="C13" s="4">
        <v>0.10299999999999999</v>
      </c>
      <c r="D13" s="4">
        <v>4.2350000000000003</v>
      </c>
      <c r="E13" s="4">
        <v>0</v>
      </c>
      <c r="F13" s="4">
        <v>0</v>
      </c>
      <c r="G13" s="4">
        <v>0</v>
      </c>
      <c r="H13" s="4">
        <v>4.1319999999999997</v>
      </c>
      <c r="I13" s="4">
        <v>21.02505555555555</v>
      </c>
      <c r="J13" s="4">
        <v>0.92530336088498477</v>
      </c>
      <c r="K13" s="4">
        <v>3.7187999999999999</v>
      </c>
      <c r="L13" s="4">
        <v>4.1319999999999997</v>
      </c>
      <c r="M13" s="4">
        <v>7.2999999999999995E-2</v>
      </c>
      <c r="N13" s="4">
        <v>8.1111111111111106E-2</v>
      </c>
      <c r="O13" s="4">
        <v>7.2999999999999995E-2</v>
      </c>
    </row>
    <row r="14" spans="1:15" x14ac:dyDescent="0.3">
      <c r="A14" s="66" t="s">
        <v>284</v>
      </c>
      <c r="B14" s="4">
        <v>1.103</v>
      </c>
      <c r="C14" s="4">
        <v>1.103</v>
      </c>
      <c r="D14" s="4">
        <v>7.44</v>
      </c>
      <c r="E14" s="4">
        <v>0</v>
      </c>
      <c r="F14" s="4">
        <v>0</v>
      </c>
      <c r="G14" s="4">
        <v>0</v>
      </c>
      <c r="H14" s="4">
        <v>6.3369999999999997</v>
      </c>
      <c r="I14" s="4">
        <v>41.218611111111102</v>
      </c>
      <c r="J14" s="4">
        <v>1.9309293973865489</v>
      </c>
      <c r="K14" s="4">
        <v>5.7033000000000005</v>
      </c>
      <c r="L14" s="4">
        <v>6.3369999999999997</v>
      </c>
      <c r="M14" s="4">
        <v>7.2999999999999995E-2</v>
      </c>
      <c r="N14" s="4">
        <v>8.1111111111111106E-2</v>
      </c>
      <c r="O14" s="4">
        <v>7.2999999999999995E-2</v>
      </c>
    </row>
    <row r="15" spans="1:15" x14ac:dyDescent="0.3">
      <c r="A15" s="66" t="s">
        <v>285</v>
      </c>
      <c r="B15" s="4">
        <v>0.10299999999999999</v>
      </c>
      <c r="C15" s="4">
        <v>0.10299999999999999</v>
      </c>
      <c r="D15" s="4">
        <v>9.6750000000000007</v>
      </c>
      <c r="E15" s="4">
        <v>0</v>
      </c>
      <c r="F15" s="4">
        <v>4.7793079561042493</v>
      </c>
      <c r="G15" s="4">
        <v>0</v>
      </c>
      <c r="H15" s="4">
        <v>9.572000000000001</v>
      </c>
      <c r="I15" s="4">
        <v>69.365602537722907</v>
      </c>
      <c r="J15" s="4">
        <v>3.5907816086776707</v>
      </c>
      <c r="K15" s="4">
        <v>4.3134228395061758</v>
      </c>
      <c r="L15" s="4">
        <v>4.7926920438957508</v>
      </c>
      <c r="M15" s="4">
        <v>7.2999999999999995E-2</v>
      </c>
      <c r="N15" s="4">
        <v>8.1111111111111106E-2</v>
      </c>
      <c r="O15" s="4">
        <v>7.2999999999999995E-2</v>
      </c>
    </row>
    <row r="16" spans="1:15" x14ac:dyDescent="0.3">
      <c r="A16" s="66" t="s">
        <v>286</v>
      </c>
      <c r="B16" s="4">
        <v>0.10299999999999999</v>
      </c>
      <c r="C16" s="4">
        <v>0.10299999999999999</v>
      </c>
      <c r="D16" s="4">
        <v>9.3189999999999991</v>
      </c>
      <c r="E16" s="4">
        <v>0</v>
      </c>
      <c r="F16" s="4">
        <v>9.1335811321377935</v>
      </c>
      <c r="G16" s="4">
        <v>0</v>
      </c>
      <c r="H16" s="4">
        <v>9.2160000000000011</v>
      </c>
      <c r="I16" s="4">
        <v>71.92713077567511</v>
      </c>
      <c r="J16" s="4">
        <v>3.9973018994029874</v>
      </c>
      <c r="K16" s="4">
        <v>7.4176981075986248E-2</v>
      </c>
      <c r="L16" s="4">
        <v>8.2418867862206938E-2</v>
      </c>
      <c r="M16" s="4">
        <v>7.2999999999999995E-2</v>
      </c>
      <c r="N16" s="4">
        <v>8.1111111111111106E-2</v>
      </c>
      <c r="O16" s="4">
        <v>7.2999999999999995E-2</v>
      </c>
    </row>
    <row r="17" spans="1:15" x14ac:dyDescent="0.3">
      <c r="A17" s="66" t="s">
        <v>287</v>
      </c>
      <c r="B17" s="4">
        <v>1.103</v>
      </c>
      <c r="C17" s="4">
        <v>1.103</v>
      </c>
      <c r="D17" s="4">
        <v>6.6469999999999994</v>
      </c>
      <c r="E17" s="4">
        <v>0</v>
      </c>
      <c r="F17" s="4">
        <v>5.462888689566106</v>
      </c>
      <c r="G17" s="4">
        <v>0</v>
      </c>
      <c r="H17" s="4">
        <v>5.5440000000000005</v>
      </c>
      <c r="I17" s="4">
        <v>71.927000019932279</v>
      </c>
      <c r="J17" s="4">
        <v>3.9973676869205605</v>
      </c>
      <c r="K17" s="4">
        <v>7.3000179390504627E-2</v>
      </c>
      <c r="L17" s="4">
        <v>8.1111310433894024E-2</v>
      </c>
      <c r="M17" s="4">
        <v>7.2999999999999995E-2</v>
      </c>
      <c r="N17" s="4">
        <v>8.1111111111111106E-2</v>
      </c>
      <c r="O17" s="4">
        <v>7.2999999999999995E-2</v>
      </c>
    </row>
    <row r="18" spans="1:15" x14ac:dyDescent="0.3">
      <c r="A18" s="66" t="s">
        <v>288</v>
      </c>
      <c r="B18" s="4">
        <v>0.10299999999999999</v>
      </c>
      <c r="C18" s="4">
        <v>0.10299999999999999</v>
      </c>
      <c r="D18" s="4">
        <v>3.51</v>
      </c>
      <c r="E18" s="4">
        <v>0</v>
      </c>
      <c r="F18" s="4">
        <v>3.3258888888585081</v>
      </c>
      <c r="G18" s="4">
        <v>0</v>
      </c>
      <c r="H18" s="4">
        <v>3.407</v>
      </c>
      <c r="I18" s="4">
        <v>71.927000000003034</v>
      </c>
      <c r="J18" s="4">
        <v>3.9973676969476175</v>
      </c>
      <c r="K18" s="4">
        <v>7.3000000027342082E-2</v>
      </c>
      <c r="L18" s="4">
        <v>8.1111111141491207E-2</v>
      </c>
      <c r="M18" s="4">
        <v>7.2999999999999995E-2</v>
      </c>
      <c r="N18" s="4">
        <v>8.1111111111111106E-2</v>
      </c>
      <c r="O18" s="4">
        <v>7.2999999999999995E-2</v>
      </c>
    </row>
    <row r="19" spans="1:15" x14ac:dyDescent="0.3">
      <c r="A19" s="66" t="s">
        <v>289</v>
      </c>
      <c r="B19" s="4">
        <v>4.2004999999999999</v>
      </c>
      <c r="C19" s="4">
        <v>1.3720000000000001</v>
      </c>
      <c r="D19" s="4">
        <v>1.3720000000000001</v>
      </c>
      <c r="E19" s="4">
        <v>0</v>
      </c>
      <c r="F19" s="4">
        <v>0</v>
      </c>
      <c r="G19" s="4">
        <v>2.8285000000000005</v>
      </c>
      <c r="H19" s="4">
        <v>-2.8285000000000005</v>
      </c>
      <c r="I19" s="4">
        <v>64.47422222222221</v>
      </c>
      <c r="J19" s="4">
        <v>3.7609573437662598</v>
      </c>
      <c r="K19" s="4">
        <v>0</v>
      </c>
      <c r="L19" s="4">
        <v>0</v>
      </c>
      <c r="M19" s="4">
        <v>2.9015000000000004</v>
      </c>
      <c r="N19" s="4">
        <v>3.2238888888888892</v>
      </c>
      <c r="O19" s="4">
        <v>7.2999999999999995E-2</v>
      </c>
    </row>
    <row r="20" spans="1:15" x14ac:dyDescent="0.3">
      <c r="A20" s="66" t="s">
        <v>290</v>
      </c>
      <c r="B20" s="4">
        <v>8.0410000000000004</v>
      </c>
      <c r="C20" s="4">
        <v>0.39700000000000002</v>
      </c>
      <c r="D20" s="4">
        <v>0.39700000000000002</v>
      </c>
      <c r="E20" s="4">
        <v>0</v>
      </c>
      <c r="F20" s="4">
        <v>0</v>
      </c>
      <c r="G20" s="4">
        <v>7.6439999999999992</v>
      </c>
      <c r="H20" s="4">
        <v>-7.6439999999999992</v>
      </c>
      <c r="I20" s="4">
        <v>42.375888888888866</v>
      </c>
      <c r="J20" s="4">
        <v>2.8246953223459688</v>
      </c>
      <c r="K20" s="4">
        <v>0</v>
      </c>
      <c r="L20" s="4">
        <v>0</v>
      </c>
      <c r="M20" s="4">
        <v>7.7169999999999996</v>
      </c>
      <c r="N20" s="4">
        <v>8.5744444444444436</v>
      </c>
      <c r="O20" s="4">
        <v>7.2999999999999995E-2</v>
      </c>
    </row>
    <row r="21" spans="1:15" x14ac:dyDescent="0.3">
      <c r="A21" s="66" t="s">
        <v>291</v>
      </c>
      <c r="B21" s="4">
        <v>10.257</v>
      </c>
      <c r="C21" s="4">
        <v>8.4999999999999992E-2</v>
      </c>
      <c r="D21" s="4">
        <v>8.4999999999999992E-2</v>
      </c>
      <c r="E21" s="4">
        <v>5.3742777777777819</v>
      </c>
      <c r="F21" s="4">
        <v>0</v>
      </c>
      <c r="G21" s="4">
        <v>4.7977222222222178</v>
      </c>
      <c r="H21" s="4">
        <v>-10.172000000000001</v>
      </c>
      <c r="I21" s="4">
        <v>5.5089722222222184</v>
      </c>
      <c r="J21" s="4">
        <v>0.57412901176392339</v>
      </c>
      <c r="K21" s="4">
        <v>0</v>
      </c>
      <c r="L21" s="4">
        <v>0</v>
      </c>
      <c r="M21" s="4">
        <v>4.8159722222222179</v>
      </c>
      <c r="N21" s="4">
        <v>5.3510802469135754</v>
      </c>
      <c r="O21" s="4">
        <v>7.2999999999999995E-2</v>
      </c>
    </row>
    <row r="22" spans="1:15" x14ac:dyDescent="0.3">
      <c r="A22" s="66" t="s">
        <v>292</v>
      </c>
      <c r="B22" s="4">
        <v>3.66</v>
      </c>
      <c r="C22" s="4">
        <v>1.3000000000000001E-2</v>
      </c>
      <c r="D22" s="4">
        <v>1.3000000000000001E-2</v>
      </c>
      <c r="E22" s="4">
        <v>3.6469999999999994</v>
      </c>
      <c r="F22" s="4">
        <v>0</v>
      </c>
      <c r="G22" s="4">
        <v>0</v>
      </c>
      <c r="H22" s="4">
        <v>-3.6469999999999994</v>
      </c>
      <c r="I22" s="4">
        <v>4</v>
      </c>
      <c r="J22" s="4">
        <v>0.2</v>
      </c>
      <c r="K22" s="4">
        <v>0</v>
      </c>
      <c r="L22" s="4">
        <v>0</v>
      </c>
      <c r="M22" s="4">
        <v>0</v>
      </c>
      <c r="N22" s="4">
        <v>0</v>
      </c>
      <c r="O22" s="4">
        <v>7.2999999999999995E-2</v>
      </c>
    </row>
    <row r="23" spans="1:15" x14ac:dyDescent="0.3">
      <c r="A23" s="66" t="s">
        <v>293</v>
      </c>
      <c r="B23" s="4">
        <v>3.0219999999999998</v>
      </c>
      <c r="C23" s="4">
        <v>1E-3</v>
      </c>
      <c r="D23" s="4">
        <v>1E-3</v>
      </c>
      <c r="E23" s="4">
        <v>3.0209999999999999</v>
      </c>
      <c r="F23" s="4">
        <v>0</v>
      </c>
      <c r="G23" s="4">
        <v>0</v>
      </c>
      <c r="H23" s="4">
        <v>-3.0209999999999999</v>
      </c>
      <c r="I23" s="4">
        <v>4</v>
      </c>
      <c r="J23" s="4">
        <v>0.2</v>
      </c>
      <c r="K23" s="4">
        <v>0</v>
      </c>
      <c r="L23" s="4">
        <v>0</v>
      </c>
      <c r="M23" s="4">
        <v>0</v>
      </c>
      <c r="N23" s="4">
        <v>0</v>
      </c>
      <c r="O23" s="4">
        <v>7.2999999999999995E-2</v>
      </c>
    </row>
    <row r="24" spans="1:15" x14ac:dyDescent="0.3">
      <c r="A24" s="66" t="s">
        <v>294</v>
      </c>
      <c r="B24" s="4">
        <v>6.2190000000000012</v>
      </c>
      <c r="C24" s="4">
        <v>0</v>
      </c>
      <c r="D24" s="4">
        <v>0</v>
      </c>
      <c r="E24" s="4">
        <v>6.2190000000000012</v>
      </c>
      <c r="F24" s="4">
        <v>0</v>
      </c>
      <c r="G24" s="4">
        <v>0</v>
      </c>
      <c r="H24" s="4">
        <v>-6.2190000000000012</v>
      </c>
      <c r="I24" s="4">
        <v>4</v>
      </c>
      <c r="J24" s="4">
        <v>0.2</v>
      </c>
      <c r="K24" s="4">
        <v>0</v>
      </c>
      <c r="L24" s="4">
        <v>0</v>
      </c>
      <c r="M24" s="4">
        <v>0</v>
      </c>
      <c r="N24" s="4">
        <v>0</v>
      </c>
      <c r="O24" s="4">
        <v>7.2999999999999995E-2</v>
      </c>
    </row>
    <row r="25" spans="1:15" x14ac:dyDescent="0.3">
      <c r="A25" s="66" t="s">
        <v>295</v>
      </c>
      <c r="B25" s="4">
        <v>4.1184999999999992</v>
      </c>
      <c r="C25" s="4">
        <v>0</v>
      </c>
      <c r="D25" s="4">
        <v>0</v>
      </c>
      <c r="E25" s="4">
        <v>4.1184999999999992</v>
      </c>
      <c r="F25" s="4">
        <v>0</v>
      </c>
      <c r="G25" s="4">
        <v>0</v>
      </c>
      <c r="H25" s="4">
        <v>-4.1184999999999992</v>
      </c>
      <c r="I25" s="4">
        <v>4</v>
      </c>
      <c r="J25" s="4">
        <v>0.2</v>
      </c>
      <c r="K25" s="4">
        <v>0</v>
      </c>
      <c r="L25" s="4">
        <v>0</v>
      </c>
      <c r="M25" s="4">
        <v>0</v>
      </c>
      <c r="N25" s="4">
        <v>0</v>
      </c>
      <c r="O25" s="4">
        <v>7.2999999999999995E-2</v>
      </c>
    </row>
    <row r="26" spans="1:15" x14ac:dyDescent="0.3">
      <c r="A26" s="66" t="s">
        <v>296</v>
      </c>
      <c r="B26" s="4">
        <v>3.2112499999999997</v>
      </c>
      <c r="C26" s="4">
        <v>0</v>
      </c>
      <c r="D26" s="4">
        <v>0</v>
      </c>
      <c r="E26" s="4">
        <v>3.2112499999999997</v>
      </c>
      <c r="F26" s="4">
        <v>0</v>
      </c>
      <c r="G26" s="4">
        <v>0</v>
      </c>
      <c r="H26" s="4">
        <v>-3.2112499999999997</v>
      </c>
      <c r="I26" s="4">
        <v>4</v>
      </c>
      <c r="J26" s="4">
        <v>0.2</v>
      </c>
      <c r="K26" s="4">
        <v>0</v>
      </c>
      <c r="L26" s="4">
        <v>0</v>
      </c>
      <c r="M26" s="4">
        <v>0</v>
      </c>
      <c r="N26" s="4">
        <v>0</v>
      </c>
      <c r="O26" s="4">
        <v>7.2999999999999995E-2</v>
      </c>
    </row>
    <row r="27" spans="1:15" x14ac:dyDescent="0.3">
      <c r="A27" s="61" t="s">
        <v>205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 x14ac:dyDescent="0.3">
      <c r="A28" s="66" t="s">
        <v>271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 x14ac:dyDescent="0.3">
      <c r="A29" s="61" t="s">
        <v>206</v>
      </c>
      <c r="B29" s="4">
        <v>67.798500000000018</v>
      </c>
      <c r="C29" s="4">
        <v>4.8962500000000011</v>
      </c>
      <c r="D29" s="4">
        <v>45.187999999999988</v>
      </c>
      <c r="E29" s="4">
        <v>39.752499999999998</v>
      </c>
      <c r="F29" s="4">
        <v>22.701666666666657</v>
      </c>
      <c r="G29" s="4">
        <v>23.149749999999997</v>
      </c>
      <c r="H29" s="4">
        <v>-22.610499999999995</v>
      </c>
      <c r="I29" s="4">
        <v>595.9309833333333</v>
      </c>
      <c r="J29" s="4">
        <v>32.692066470138137</v>
      </c>
      <c r="K29" s="4">
        <v>15.831075000000009</v>
      </c>
      <c r="L29" s="4">
        <v>17.590083333333343</v>
      </c>
      <c r="M29" s="4">
        <v>24.117000000000001</v>
      </c>
      <c r="N29" s="4">
        <v>26.796666666666667</v>
      </c>
      <c r="O29" s="4">
        <v>1.7519999999999993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EFF6-72D8-4F67-9D7B-96F07F65C301}">
  <sheetPr>
    <tabColor rgb="FFFFC000"/>
  </sheetPr>
  <dimension ref="A1"/>
  <sheetViews>
    <sheetView zoomScale="86" zoomScaleNormal="86" workbookViewId="0">
      <selection activeCell="AB46" sqref="AB46"/>
    </sheetView>
  </sheetViews>
  <sheetFormatPr defaultRowHeight="14.4" x14ac:dyDescent="0.3"/>
  <sheetData/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8493-410A-41BE-8110-3B99191ADDE6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F252CA877CD64AA6E7848772D37883" ma:contentTypeVersion="5" ma:contentTypeDescription="Vytvoří nový dokument" ma:contentTypeScope="" ma:versionID="bc032705e7c46deb61c2c9da95174b09">
  <xsd:schema xmlns:xsd="http://www.w3.org/2001/XMLSchema" xmlns:xs="http://www.w3.org/2001/XMLSchema" xmlns:p="http://schemas.microsoft.com/office/2006/metadata/properties" xmlns:ns3="b75e713d-c33c-4afc-9049-01d624b6a1d4" targetNamespace="http://schemas.microsoft.com/office/2006/metadata/properties" ma:root="true" ma:fieldsID="17814d5d70c67c6223e143a3c51f7d09" ns3:_="">
    <xsd:import namespace="b75e713d-c33c-4afc-9049-01d624b6a1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e713d-c33c-4afc-9049-01d624b6a1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5e713d-c33c-4afc-9049-01d624b6a1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B90E20-60FB-41DC-9253-1FC59CFC1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e713d-c33c-4afc-9049-01d624b6a1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A80C7D-70A5-48ED-8DDF-FB43D9CE5F63}">
  <ds:schemaRefs>
    <ds:schemaRef ds:uri="b75e713d-c33c-4afc-9049-01d624b6a1d4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AFCC7A-C0F5-4DEC-B4DD-CA2FCD11D8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20</vt:i4>
      </vt:variant>
      <vt:variant>
        <vt:lpstr>Pojmenované oblasti</vt:lpstr>
      </vt:variant>
      <vt:variant>
        <vt:i4>19</vt:i4>
      </vt:variant>
    </vt:vector>
  </HeadingPairs>
  <TitlesOfParts>
    <vt:vector size="39" baseType="lpstr">
      <vt:lpstr>Výpočty </vt:lpstr>
      <vt:lpstr>Leden</vt:lpstr>
      <vt:lpstr>Leden data</vt:lpstr>
      <vt:lpstr>Leden vík</vt:lpstr>
      <vt:lpstr>Leden vík data</vt:lpstr>
      <vt:lpstr>Leden grafy</vt:lpstr>
      <vt:lpstr>Leden kontig</vt:lpstr>
      <vt:lpstr>Červenec</vt:lpstr>
      <vt:lpstr>Červenec data</vt:lpstr>
      <vt:lpstr>Červenec vík</vt:lpstr>
      <vt:lpstr>Červenec vík data</vt:lpstr>
      <vt:lpstr>Červenec kontig</vt:lpstr>
      <vt:lpstr>Červenec grafy</vt:lpstr>
      <vt:lpstr>Říjen</vt:lpstr>
      <vt:lpstr>Říjen data</vt:lpstr>
      <vt:lpstr>Říjen vík</vt:lpstr>
      <vt:lpstr>Říjen vík data</vt:lpstr>
      <vt:lpstr>Říjen kotig</vt:lpstr>
      <vt:lpstr>Říjen grafy</vt:lpstr>
      <vt:lpstr>List1</vt:lpstr>
      <vt:lpstr>BMS</vt:lpstr>
      <vt:lpstr>CAPEX</vt:lpstr>
      <vt:lpstr>Datalogger</vt:lpstr>
      <vt:lpstr>Degradace</vt:lpstr>
      <vt:lpstr>Diskontní_sazba</vt:lpstr>
      <vt:lpstr>DOD</vt:lpstr>
      <vt:lpstr>Hybridní_střídač</vt:lpstr>
      <vt:lpstr>Kapacita_baterie</vt:lpstr>
      <vt:lpstr>LCOE</vt:lpstr>
      <vt:lpstr>OPEX</vt:lpstr>
      <vt:lpstr>Roční_výroba</vt:lpstr>
      <vt:lpstr>Smart_meter</vt:lpstr>
      <vt:lpstr>Soc_Kriticke</vt:lpstr>
      <vt:lpstr>Soc_Max</vt:lpstr>
      <vt:lpstr>Soc_Min</vt:lpstr>
      <vt:lpstr>Stridac_limit</vt:lpstr>
      <vt:lpstr>Účinnost_cyklu</vt:lpstr>
      <vt:lpstr>Vlastní_Spotřeba_kWh</vt:lpstr>
      <vt:lpstr>Životnost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Pavel</dc:creator>
  <cp:lastModifiedBy>Pech Pavel</cp:lastModifiedBy>
  <dcterms:created xsi:type="dcterms:W3CDTF">2026-08-23T19:15:13Z</dcterms:created>
  <dcterms:modified xsi:type="dcterms:W3CDTF">2026-10-09T08:53:16Z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0x01010048F252CA877CD64AA6E7848772D37883</vt:lpwstr>
  </property>
</Properties>
</file>