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15" windowWidth="18255" windowHeight="10425" activeTab="1"/>
  </bookViews>
  <sheets>
    <sheet name="def Modelo 2" sheetId="2" r:id="rId1"/>
    <sheet name="BT Modelo 2" sheetId="3" r:id="rId2"/>
    <sheet name="def (Muestra 20%)" sheetId="6" r:id="rId3"/>
    <sheet name="BT Modelo 2  (MUESTRA 20%)" sheetId="5" r:id="rId4"/>
  </sheets>
  <definedNames>
    <definedName name="_xlnm.Print_Area" localSheetId="1">'BT Modelo 2'!$A$1:$U$78</definedName>
    <definedName name="_xlnm.Print_Area" localSheetId="3">'BT Modelo 2  (MUESTRA 20%)'!$A$1:$U$78</definedName>
  </definedNames>
  <calcPr calcId="125725"/>
</workbook>
</file>

<file path=xl/calcChain.xml><?xml version="1.0" encoding="utf-8"?>
<calcChain xmlns="http://schemas.openxmlformats.org/spreadsheetml/2006/main">
  <c r="W19" i="3"/>
  <c r="W11"/>
  <c r="W12"/>
  <c r="W13"/>
  <c r="W14"/>
  <c r="W15"/>
  <c r="W16"/>
  <c r="W17"/>
  <c r="W18"/>
  <c r="W10"/>
  <c r="X19" i="5"/>
  <c r="W19"/>
  <c r="Y19" s="1"/>
  <c r="Z18"/>
  <c r="Y18"/>
  <c r="X18"/>
  <c r="AA18" s="1"/>
  <c r="AB18" s="1"/>
  <c r="W18"/>
  <c r="Z17"/>
  <c r="X17"/>
  <c r="W17"/>
  <c r="Y17" s="1"/>
  <c r="Z16"/>
  <c r="Y16"/>
  <c r="X16"/>
  <c r="AA16" s="1"/>
  <c r="AB16" s="1"/>
  <c r="W16"/>
  <c r="Z15"/>
  <c r="X15"/>
  <c r="W15"/>
  <c r="Y15" s="1"/>
  <c r="Z14"/>
  <c r="Y14"/>
  <c r="X14"/>
  <c r="AA14" s="1"/>
  <c r="AB14" s="1"/>
  <c r="W14"/>
  <c r="Z13"/>
  <c r="X13"/>
  <c r="W13"/>
  <c r="Y13" s="1"/>
  <c r="Z12"/>
  <c r="Y12"/>
  <c r="X12"/>
  <c r="AA12" s="1"/>
  <c r="AB12" s="1"/>
  <c r="W12"/>
  <c r="Z11"/>
  <c r="X11"/>
  <c r="W11"/>
  <c r="Y11" s="1"/>
  <c r="Z10"/>
  <c r="Y10"/>
  <c r="X10"/>
  <c r="AA10" s="1"/>
  <c r="AB10" s="1"/>
  <c r="W10"/>
  <c r="AA11" l="1"/>
  <c r="AB11" s="1"/>
  <c r="AA13"/>
  <c r="AB13" s="1"/>
  <c r="AA15"/>
  <c r="AB15" s="1"/>
  <c r="AA17"/>
  <c r="AB17" s="1"/>
  <c r="Z19"/>
  <c r="AA19" s="1"/>
  <c r="AB19" s="1"/>
  <c r="X11" i="3"/>
  <c r="X12"/>
  <c r="X13"/>
  <c r="X14"/>
  <c r="X15"/>
  <c r="X16"/>
  <c r="X17"/>
  <c r="X18"/>
  <c r="X19"/>
  <c r="X10"/>
  <c r="B13"/>
  <c r="B14"/>
  <c r="B15"/>
  <c r="B16"/>
  <c r="B17"/>
  <c r="B18"/>
  <c r="B19"/>
  <c r="B12"/>
  <c r="B11"/>
  <c r="E80" l="1"/>
  <c r="E81" s="1"/>
  <c r="E82" s="1"/>
  <c r="E83" s="1"/>
  <c r="E84" s="1"/>
  <c r="E85" s="1"/>
  <c r="E86" s="1"/>
  <c r="E87" s="1"/>
  <c r="E79"/>
  <c r="B19" i="5" l="1"/>
  <c r="B18"/>
  <c r="B17"/>
  <c r="B16"/>
  <c r="B15"/>
  <c r="B14"/>
  <c r="B13"/>
  <c r="B12"/>
  <c r="B11"/>
  <c r="I11"/>
  <c r="I12"/>
  <c r="I13"/>
  <c r="I14"/>
  <c r="I15"/>
  <c r="I16"/>
  <c r="I17"/>
  <c r="N17" s="1"/>
  <c r="I18"/>
  <c r="I19"/>
  <c r="I10"/>
  <c r="I20" s="1"/>
  <c r="D11"/>
  <c r="D12"/>
  <c r="D13"/>
  <c r="D14"/>
  <c r="N14" s="1"/>
  <c r="D15"/>
  <c r="N15" s="1"/>
  <c r="D16"/>
  <c r="D17"/>
  <c r="D18"/>
  <c r="D19"/>
  <c r="D10"/>
  <c r="E29" i="6"/>
  <c r="F29" s="1"/>
  <c r="F28"/>
  <c r="E28"/>
  <c r="E27"/>
  <c r="F27" s="1"/>
  <c r="E26"/>
  <c r="F26" s="1"/>
  <c r="E25"/>
  <c r="F25" s="1"/>
  <c r="K24"/>
  <c r="L24" s="1"/>
  <c r="J24"/>
  <c r="E24"/>
  <c r="F24" s="1"/>
  <c r="K23"/>
  <c r="J23"/>
  <c r="F23"/>
  <c r="E23"/>
  <c r="K22"/>
  <c r="J22"/>
  <c r="E22"/>
  <c r="F22" s="1"/>
  <c r="K21"/>
  <c r="J21"/>
  <c r="E21"/>
  <c r="F21" s="1"/>
  <c r="K20"/>
  <c r="L20" s="1"/>
  <c r="J20"/>
  <c r="E20"/>
  <c r="F20" s="1"/>
  <c r="N19" i="5"/>
  <c r="N11"/>
  <c r="K20" i="2"/>
  <c r="K21"/>
  <c r="K22"/>
  <c r="K23"/>
  <c r="K24"/>
  <c r="J24"/>
  <c r="J23"/>
  <c r="J22"/>
  <c r="J21"/>
  <c r="J20"/>
  <c r="L21" i="6" l="1"/>
  <c r="L21" i="2"/>
  <c r="L22"/>
  <c r="L23"/>
  <c r="L24"/>
  <c r="L20"/>
  <c r="P19" i="5"/>
  <c r="P15"/>
  <c r="P11"/>
  <c r="N16"/>
  <c r="P16"/>
  <c r="L22" i="6"/>
  <c r="P12" i="5"/>
  <c r="P17"/>
  <c r="P13"/>
  <c r="P18"/>
  <c r="P14"/>
  <c r="L23" i="6"/>
  <c r="Q19" i="5"/>
  <c r="N12"/>
  <c r="J12" s="1"/>
  <c r="N13"/>
  <c r="E13" s="1"/>
  <c r="E11"/>
  <c r="J11"/>
  <c r="E15"/>
  <c r="J15"/>
  <c r="E17"/>
  <c r="J17"/>
  <c r="E19"/>
  <c r="J19"/>
  <c r="K18"/>
  <c r="K16"/>
  <c r="K14"/>
  <c r="K12"/>
  <c r="K10"/>
  <c r="L10" s="1"/>
  <c r="K20"/>
  <c r="J14"/>
  <c r="J16"/>
  <c r="N10"/>
  <c r="N18"/>
  <c r="E18" s="1"/>
  <c r="Q10"/>
  <c r="K11"/>
  <c r="Q12"/>
  <c r="K13"/>
  <c r="E14"/>
  <c r="Q14"/>
  <c r="K15"/>
  <c r="E16"/>
  <c r="Q16"/>
  <c r="K17"/>
  <c r="Q18"/>
  <c r="K19"/>
  <c r="M19" s="1"/>
  <c r="M18" s="1"/>
  <c r="P10"/>
  <c r="D20"/>
  <c r="F12" s="1"/>
  <c r="Q11"/>
  <c r="Q13"/>
  <c r="Q15"/>
  <c r="Q17"/>
  <c r="I11" i="3"/>
  <c r="I12"/>
  <c r="I13"/>
  <c r="I14"/>
  <c r="I15"/>
  <c r="I16"/>
  <c r="I17"/>
  <c r="I18"/>
  <c r="I19"/>
  <c r="I10"/>
  <c r="D11"/>
  <c r="D12"/>
  <c r="D13"/>
  <c r="D14"/>
  <c r="D15"/>
  <c r="D16"/>
  <c r="D17"/>
  <c r="D18"/>
  <c r="D19"/>
  <c r="D10"/>
  <c r="N19" l="1"/>
  <c r="Y19" s="1"/>
  <c r="AA19" s="1"/>
  <c r="AB19" s="1"/>
  <c r="Z19"/>
  <c r="E12" i="5"/>
  <c r="P10" i="3"/>
  <c r="J13" i="5"/>
  <c r="F18"/>
  <c r="F14"/>
  <c r="N20"/>
  <c r="O10" s="1"/>
  <c r="J10"/>
  <c r="J18"/>
  <c r="M17"/>
  <c r="M16" s="1"/>
  <c r="M15" s="1"/>
  <c r="M14" s="1"/>
  <c r="M13" s="1"/>
  <c r="M12" s="1"/>
  <c r="M11" s="1"/>
  <c r="M10" s="1"/>
  <c r="F16"/>
  <c r="P20"/>
  <c r="J5" s="1"/>
  <c r="F19"/>
  <c r="H19" s="1"/>
  <c r="F17"/>
  <c r="F15"/>
  <c r="F13"/>
  <c r="F11"/>
  <c r="E20"/>
  <c r="F20"/>
  <c r="S10"/>
  <c r="L11"/>
  <c r="E10"/>
  <c r="F10"/>
  <c r="G10" s="1"/>
  <c r="R10" s="1"/>
  <c r="E26" i="2"/>
  <c r="F26" s="1"/>
  <c r="E20"/>
  <c r="F20" s="1"/>
  <c r="E21"/>
  <c r="F21" s="1"/>
  <c r="E22"/>
  <c r="F22" s="1"/>
  <c r="E29"/>
  <c r="F29" s="1"/>
  <c r="X32" i="3" l="1"/>
  <c r="H18" i="5"/>
  <c r="H17" s="1"/>
  <c r="H16" s="1"/>
  <c r="H15" s="1"/>
  <c r="H14" s="1"/>
  <c r="H13" s="1"/>
  <c r="H12" s="1"/>
  <c r="H11" s="1"/>
  <c r="H10" s="1"/>
  <c r="L12"/>
  <c r="S11"/>
  <c r="J20"/>
  <c r="O17"/>
  <c r="O14"/>
  <c r="O11"/>
  <c r="O19"/>
  <c r="O13"/>
  <c r="O12"/>
  <c r="O16"/>
  <c r="O15"/>
  <c r="T10"/>
  <c r="U10" s="1"/>
  <c r="G11"/>
  <c r="R11" s="1"/>
  <c r="O18"/>
  <c r="P11" i="3"/>
  <c r="E25" i="2"/>
  <c r="F25" s="1"/>
  <c r="E27"/>
  <c r="F27" s="1"/>
  <c r="E23"/>
  <c r="F23" s="1"/>
  <c r="P19" i="3"/>
  <c r="P17"/>
  <c r="P13"/>
  <c r="N15"/>
  <c r="P15"/>
  <c r="Q15"/>
  <c r="Q16"/>
  <c r="E28" i="2"/>
  <c r="F28" s="1"/>
  <c r="E24"/>
  <c r="F24" s="1"/>
  <c r="N16" i="3"/>
  <c r="P16"/>
  <c r="N12"/>
  <c r="P12"/>
  <c r="N11"/>
  <c r="P18"/>
  <c r="J19"/>
  <c r="N14"/>
  <c r="P14"/>
  <c r="Q10"/>
  <c r="Q11"/>
  <c r="Q12"/>
  <c r="Q13"/>
  <c r="D20"/>
  <c r="Q18"/>
  <c r="N18"/>
  <c r="Q19"/>
  <c r="J18" l="1"/>
  <c r="Y18"/>
  <c r="AA18" s="1"/>
  <c r="AB18" s="1"/>
  <c r="Z18"/>
  <c r="J11"/>
  <c r="Z11"/>
  <c r="Y11"/>
  <c r="AA11" s="1"/>
  <c r="AB11" s="1"/>
  <c r="J16"/>
  <c r="Z16"/>
  <c r="Y16"/>
  <c r="AA16" s="1"/>
  <c r="AB16" s="1"/>
  <c r="J12"/>
  <c r="Y12"/>
  <c r="AA12" s="1"/>
  <c r="AB12" s="1"/>
  <c r="Z12"/>
  <c r="J15"/>
  <c r="Y15"/>
  <c r="AA15" s="1"/>
  <c r="AB15" s="1"/>
  <c r="Z15"/>
  <c r="J14"/>
  <c r="Y14"/>
  <c r="Z14"/>
  <c r="O20" i="5"/>
  <c r="S12"/>
  <c r="L13"/>
  <c r="G12"/>
  <c r="T11"/>
  <c r="U11" s="1"/>
  <c r="F12" i="3"/>
  <c r="E12"/>
  <c r="E14"/>
  <c r="E16"/>
  <c r="N17"/>
  <c r="N13"/>
  <c r="E19"/>
  <c r="Q17"/>
  <c r="E15"/>
  <c r="Q14"/>
  <c r="E11"/>
  <c r="N10"/>
  <c r="I20"/>
  <c r="F10"/>
  <c r="G10" s="1"/>
  <c r="T10" s="1"/>
  <c r="F17"/>
  <c r="F16"/>
  <c r="F11"/>
  <c r="F20"/>
  <c r="F18"/>
  <c r="F13"/>
  <c r="F19"/>
  <c r="H19" s="1"/>
  <c r="E18"/>
  <c r="F14"/>
  <c r="F15"/>
  <c r="Z13" l="1"/>
  <c r="Y13"/>
  <c r="AA13" s="1"/>
  <c r="AB13" s="1"/>
  <c r="AA14"/>
  <c r="AB14" s="1"/>
  <c r="Z10"/>
  <c r="Y10"/>
  <c r="AA10" s="1"/>
  <c r="AB10" s="1"/>
  <c r="Z17"/>
  <c r="Y17"/>
  <c r="T12" i="5"/>
  <c r="U12" s="1"/>
  <c r="G13"/>
  <c r="L14"/>
  <c r="S13"/>
  <c r="R12"/>
  <c r="P20" i="3"/>
  <c r="J5" s="1"/>
  <c r="H18"/>
  <c r="H17" s="1"/>
  <c r="H16" s="1"/>
  <c r="H15" s="1"/>
  <c r="H14" s="1"/>
  <c r="H13" s="1"/>
  <c r="H12" s="1"/>
  <c r="H11" s="1"/>
  <c r="H10" s="1"/>
  <c r="J17"/>
  <c r="E17"/>
  <c r="J13"/>
  <c r="E13"/>
  <c r="N20"/>
  <c r="J10"/>
  <c r="E10"/>
  <c r="K12"/>
  <c r="K11"/>
  <c r="K14"/>
  <c r="K10"/>
  <c r="L10" s="1"/>
  <c r="K15"/>
  <c r="K17"/>
  <c r="K13"/>
  <c r="K16"/>
  <c r="K20"/>
  <c r="K19"/>
  <c r="M19" s="1"/>
  <c r="K18"/>
  <c r="G11"/>
  <c r="T11" s="1"/>
  <c r="AA17" l="1"/>
  <c r="AB17" s="1"/>
  <c r="R10"/>
  <c r="S10"/>
  <c r="U10" s="1"/>
  <c r="G14" i="5"/>
  <c r="R14" s="1"/>
  <c r="T13"/>
  <c r="U13" s="1"/>
  <c r="S14"/>
  <c r="L15"/>
  <c r="R13"/>
  <c r="M18" i="3"/>
  <c r="M17" s="1"/>
  <c r="M16" s="1"/>
  <c r="M15" s="1"/>
  <c r="M14" s="1"/>
  <c r="M13" s="1"/>
  <c r="M12" s="1"/>
  <c r="M11" s="1"/>
  <c r="M10" s="1"/>
  <c r="O17"/>
  <c r="O10"/>
  <c r="O19"/>
  <c r="O12"/>
  <c r="O14"/>
  <c r="E20"/>
  <c r="O15"/>
  <c r="O11"/>
  <c r="O18"/>
  <c r="O13"/>
  <c r="O16"/>
  <c r="J20"/>
  <c r="L11"/>
  <c r="G12"/>
  <c r="T12" s="1"/>
  <c r="S11" l="1"/>
  <c r="U11" s="1"/>
  <c r="R11"/>
  <c r="L16" i="5"/>
  <c r="S15"/>
  <c r="T14"/>
  <c r="U14" s="1"/>
  <c r="G15"/>
  <c r="O20" i="3"/>
  <c r="L12"/>
  <c r="G13"/>
  <c r="T13" s="1"/>
  <c r="S12" l="1"/>
  <c r="U12" s="1"/>
  <c r="R12"/>
  <c r="G16" i="5"/>
  <c r="R16" s="1"/>
  <c r="T15"/>
  <c r="U15" s="1"/>
  <c r="S16"/>
  <c r="L17"/>
  <c r="R15"/>
  <c r="L13" i="3"/>
  <c r="G14"/>
  <c r="T14" s="1"/>
  <c r="S13" l="1"/>
  <c r="U13" s="1"/>
  <c r="R13"/>
  <c r="T16" i="5"/>
  <c r="U16" s="1"/>
  <c r="G17"/>
  <c r="L18"/>
  <c r="S17"/>
  <c r="L14" i="3"/>
  <c r="G15"/>
  <c r="T15" s="1"/>
  <c r="R14" l="1"/>
  <c r="S14"/>
  <c r="U14" s="1"/>
  <c r="G18" i="5"/>
  <c r="R18" s="1"/>
  <c r="T17"/>
  <c r="U17" s="1"/>
  <c r="S18"/>
  <c r="L19"/>
  <c r="R17"/>
  <c r="L15" i="3"/>
  <c r="G16"/>
  <c r="T16" s="1"/>
  <c r="S15" l="1"/>
  <c r="U15" s="1"/>
  <c r="R15"/>
  <c r="T18" i="5"/>
  <c r="U18" s="1"/>
  <c r="G19"/>
  <c r="T19" s="1"/>
  <c r="S19"/>
  <c r="L16" i="3"/>
  <c r="G17"/>
  <c r="T17" s="1"/>
  <c r="R16" l="1"/>
  <c r="S16"/>
  <c r="U16" s="1"/>
  <c r="U19" i="5"/>
  <c r="U20" s="1"/>
  <c r="J4" s="1"/>
  <c r="E10" i="6" s="1"/>
  <c r="R19" i="5"/>
  <c r="R20" s="1"/>
  <c r="J3" s="1"/>
  <c r="E9" i="6" s="1"/>
  <c r="L17" i="3"/>
  <c r="G18"/>
  <c r="T18" s="1"/>
  <c r="S17" l="1"/>
  <c r="U17" s="1"/>
  <c r="R17"/>
  <c r="L18"/>
  <c r="G19"/>
  <c r="T19" s="1"/>
  <c r="R18" l="1"/>
  <c r="S18"/>
  <c r="U18" s="1"/>
  <c r="L19"/>
  <c r="S19" l="1"/>
  <c r="U19" s="1"/>
  <c r="U20" s="1"/>
  <c r="R19"/>
  <c r="R20" s="1"/>
  <c r="E10" i="2" l="1"/>
  <c r="J4" i="3"/>
  <c r="J3"/>
  <c r="E9" i="2"/>
</calcChain>
</file>

<file path=xl/comments1.xml><?xml version="1.0" encoding="utf-8"?>
<comments xmlns="http://schemas.openxmlformats.org/spreadsheetml/2006/main">
  <authors>
    <author>Sergio Sotomayor</author>
    <author>VELASQUEZM</author>
  </authors>
  <commentList>
    <comment ref="X7" authorId="0">
      <text>
        <r>
          <rPr>
            <b/>
            <sz val="8"/>
            <color indexed="81"/>
            <rFont val="Tahoma"/>
            <family val="2"/>
          </rPr>
          <t>Sergio Sotomayor:</t>
        </r>
        <r>
          <rPr>
            <sz val="8"/>
            <color indexed="81"/>
            <rFont val="Tahoma"/>
            <family val="2"/>
          </rPr>
          <t xml:space="preserve">
NIVEL DE CONFIANZA
</t>
        </r>
      </text>
    </comment>
    <comment ref="E9" authorId="1">
      <text>
        <r>
          <rPr>
            <b/>
            <sz val="8"/>
            <color indexed="81"/>
            <rFont val="Tahoma"/>
            <family val="2"/>
          </rPr>
          <t>VELASQUEZM:</t>
        </r>
        <r>
          <rPr>
            <sz val="8"/>
            <color indexed="81"/>
            <rFont val="Tahoma"/>
            <family val="2"/>
          </rPr>
          <t xml:space="preserve">
Probabilidad de ser bueno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Sergio Sotomayor:</t>
        </r>
        <r>
          <rPr>
            <sz val="8"/>
            <color indexed="81"/>
            <rFont val="Tahoma"/>
            <family val="2"/>
          </rPr>
          <t xml:space="preserve">
Función inversa de la distribución normal standard.</t>
        </r>
      </text>
    </comment>
  </commentList>
</comments>
</file>

<file path=xl/comments2.xml><?xml version="1.0" encoding="utf-8"?>
<comments xmlns="http://schemas.openxmlformats.org/spreadsheetml/2006/main">
  <authors>
    <author>Sergio Sotomayor</author>
    <author>VELASQUEZM</author>
  </authors>
  <commentList>
    <comment ref="X7" authorId="0">
      <text>
        <r>
          <rPr>
            <b/>
            <sz val="8"/>
            <color indexed="81"/>
            <rFont val="Tahoma"/>
            <family val="2"/>
          </rPr>
          <t>Sergio Sotomayor:</t>
        </r>
        <r>
          <rPr>
            <sz val="8"/>
            <color indexed="81"/>
            <rFont val="Tahoma"/>
            <family val="2"/>
          </rPr>
          <t xml:space="preserve">
NIVEL DE CONFIANZA
</t>
        </r>
      </text>
    </comment>
    <comment ref="E9" authorId="1">
      <text>
        <r>
          <rPr>
            <b/>
            <sz val="8"/>
            <color indexed="81"/>
            <rFont val="Tahoma"/>
            <family val="2"/>
          </rPr>
          <t>VELASQUEZM:</t>
        </r>
        <r>
          <rPr>
            <sz val="8"/>
            <color indexed="81"/>
            <rFont val="Tahoma"/>
            <family val="2"/>
          </rPr>
          <t xml:space="preserve">
Probabilidad de ser bueno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Sergio Sotomayor:</t>
        </r>
        <r>
          <rPr>
            <sz val="8"/>
            <color indexed="81"/>
            <rFont val="Tahoma"/>
            <family val="2"/>
          </rPr>
          <t xml:space="preserve">
Función inversa de la distribución normal standard.</t>
        </r>
      </text>
    </comment>
  </commentList>
</comments>
</file>

<file path=xl/sharedStrings.xml><?xml version="1.0" encoding="utf-8"?>
<sst xmlns="http://schemas.openxmlformats.org/spreadsheetml/2006/main" count="137" uniqueCount="70">
  <si>
    <t>Análisis de Desempeño Scoring</t>
  </si>
  <si>
    <t>Modelo:</t>
  </si>
  <si>
    <t>K-S =</t>
  </si>
  <si>
    <t>Versión:</t>
  </si>
  <si>
    <t>Gini =</t>
  </si>
  <si>
    <t>Fecha:</t>
  </si>
  <si>
    <t>Odds=</t>
  </si>
  <si>
    <t>Rango scoring</t>
  </si>
  <si>
    <t>Buenos</t>
  </si>
  <si>
    <t>Malos</t>
  </si>
  <si>
    <t>Total general</t>
  </si>
  <si>
    <t>Odds</t>
  </si>
  <si>
    <t>K-S</t>
  </si>
  <si>
    <t>mi - mi-1</t>
  </si>
  <si>
    <t>bi + bi-1</t>
  </si>
  <si>
    <t xml:space="preserve">Gini </t>
  </si>
  <si>
    <t>No</t>
  </si>
  <si>
    <t>Desde</t>
  </si>
  <si>
    <t>Hasta</t>
  </si>
  <si>
    <t>#</t>
  </si>
  <si>
    <t>% fila</t>
  </si>
  <si>
    <t>% col</t>
  </si>
  <si>
    <t>% acum.</t>
  </si>
  <si>
    <t>%  desacum</t>
  </si>
  <si>
    <t>% acum</t>
  </si>
  <si>
    <t>% desacum</t>
  </si>
  <si>
    <t># acum</t>
  </si>
  <si>
    <t>Gráficos</t>
  </si>
  <si>
    <t>Varios modelo scoring</t>
  </si>
  <si>
    <t>Definiciónde  buenos y malos</t>
  </si>
  <si>
    <r>
      <t xml:space="preserve">Cliente </t>
    </r>
    <r>
      <rPr>
        <sz val="9"/>
        <color indexed="8"/>
        <rFont val="Arial"/>
        <family val="2"/>
      </rPr>
      <t>bueno: atraso máximo hasta 30 días o atraso promedio hasta 10 días</t>
    </r>
  </si>
  <si>
    <t xml:space="preserve">Cliente indeterminado: los restantes </t>
  </si>
  <si>
    <t>Desarrollo</t>
  </si>
  <si>
    <t>K-S = 26.3%</t>
  </si>
  <si>
    <t xml:space="preserve">Gini = 35.5% </t>
  </si>
  <si>
    <t>Backtesting</t>
  </si>
  <si>
    <t>K-S = 25.1%</t>
  </si>
  <si>
    <t xml:space="preserve">Gini = 33.8% </t>
  </si>
  <si>
    <t>ks</t>
  </si>
  <si>
    <t>gini</t>
  </si>
  <si>
    <t>Tasa malos</t>
  </si>
  <si>
    <t>Total</t>
  </si>
  <si>
    <t>Indt</t>
  </si>
  <si>
    <t xml:space="preserve">Buenos </t>
  </si>
  <si>
    <t>Scvoring Lisim de Segmentación</t>
  </si>
  <si>
    <t>CURVA COR</t>
  </si>
  <si>
    <t>Sensibilidad</t>
  </si>
  <si>
    <t>1- Especificidad</t>
  </si>
  <si>
    <t>Identidad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</si>
  <si>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</si>
  <si>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</si>
  <si>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</si>
  <si>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</si>
  <si>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</si>
  <si>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</si>
  <si>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</si>
  <si>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</si>
  <si>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</si>
  <si>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</si>
  <si>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PD</t>
  </si>
  <si>
    <t>k*</t>
  </si>
  <si>
    <t>TEST BINOMIAL</t>
  </si>
  <si>
    <t>n*PD</t>
  </si>
  <si>
    <t>FORMULA</t>
  </si>
  <si>
    <t>K</t>
  </si>
  <si>
    <t>Valor crítico para NC 99%</t>
  </si>
  <si>
    <t>Ho = Hipótesis nula. La PD de una categoría de rating es correcta.</t>
  </si>
  <si>
    <t>H1 = Hipótesis alternativa. La PD de una categoría de rating está subestimada.</t>
  </si>
  <si>
    <r>
      <t xml:space="preserve">Cliente </t>
    </r>
    <r>
      <rPr>
        <sz val="9"/>
        <rFont val="Arial"/>
        <family val="2"/>
      </rPr>
      <t>malo: atraso máximo mayor a 30 días y atraso promedio mayor a 30 días.</t>
    </r>
  </si>
  <si>
    <t>Hipótesis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</si>
</sst>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164" formatCode="0.0%"/>
    <numFmt numFmtId="165" formatCode="_(* #,##0.00_);_(* \(#,##0.00\);_(* &quot;-&quot;??_);_(@_)"/>
    <numFmt numFmtId="166" formatCode="_-* #,##0_-;\-* #,##0_-;_-* &quot;-&quot;??_-;_-@_-"/>
    <numFmt numFmtId="167" formatCode="_(* #,##0_);_(* \(#,##0\);_(* &quot;-&quot;??_);_(@_)"/>
    <numFmt numFmtId="168" formatCode="_ * #,##0_ ;_ * \-#,##0_ ;_ * &quot;-&quot;??_ ;_ @_ "/>
    <numFmt numFmtId="169" formatCode="_ * #,##0.00_ ;_ * \-#,##0.00_ ;_ * &quot;-&quot;??_ ;_ @_ 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Folio Bk BT"/>
    </font>
    <font>
      <b/>
      <sz val="8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name val="Folio Bk BT"/>
    </font>
    <font>
      <b/>
      <sz val="10"/>
      <name val="Folio Bk BT"/>
    </font>
    <font>
      <sz val="9"/>
      <color indexed="8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0"/>
  </cellStyleXfs>
  <cellXfs count="112">
    <xf numFmtId="0" fontId="0" fillId="0" borderId="0" xfId="0"/>
    <xf numFmtId="0" fontId="2" fillId="0" borderId="0" xfId="3"/>
    <xf numFmtId="0" fontId="2" fillId="0" borderId="0" xfId="3" applyFont="1" applyAlignment="1">
      <alignment horizontal="left"/>
    </xf>
    <xf numFmtId="0" fontId="4" fillId="0" borderId="0" xfId="3" applyFont="1" applyAlignment="1">
      <alignment horizontal="center"/>
    </xf>
    <xf numFmtId="0" fontId="2" fillId="0" borderId="0" xfId="3" applyFont="1"/>
    <xf numFmtId="10" fontId="2" fillId="2" borderId="0" xfId="4" applyNumberFormat="1" applyFont="1" applyFill="1" applyAlignment="1">
      <alignment horizontal="left"/>
    </xf>
    <xf numFmtId="14" fontId="2" fillId="3" borderId="0" xfId="3" applyNumberFormat="1" applyFont="1" applyFill="1" applyAlignment="1">
      <alignment horizontal="left"/>
    </xf>
    <xf numFmtId="14" fontId="2" fillId="0" borderId="0" xfId="3" applyNumberFormat="1" applyFont="1" applyAlignment="1">
      <alignment horizontal="left"/>
    </xf>
    <xf numFmtId="165" fontId="2" fillId="2" borderId="0" xfId="5" applyNumberFormat="1" applyFont="1" applyFill="1" applyAlignment="1">
      <alignment horizontal="left"/>
    </xf>
    <xf numFmtId="0" fontId="6" fillId="4" borderId="5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6" fillId="4" borderId="6" xfId="3" applyFont="1" applyFill="1" applyBorder="1" applyAlignment="1">
      <alignment horizontal="center" vertical="center" wrapText="1"/>
    </xf>
    <xf numFmtId="0" fontId="6" fillId="4" borderId="7" xfId="3" applyFont="1" applyFill="1" applyBorder="1" applyAlignment="1">
      <alignment horizontal="center" vertical="center" wrapText="1"/>
    </xf>
    <xf numFmtId="0" fontId="8" fillId="4" borderId="5" xfId="3" applyFont="1" applyFill="1" applyBorder="1"/>
    <xf numFmtId="168" fontId="8" fillId="8" borderId="7" xfId="6" applyNumberFormat="1" applyFont="1" applyFill="1" applyBorder="1"/>
    <xf numFmtId="164" fontId="8" fillId="9" borderId="8" xfId="4" applyNumberFormat="1" applyFont="1" applyFill="1" applyBorder="1"/>
    <xf numFmtId="10" fontId="8" fillId="9" borderId="8" xfId="4" applyNumberFormat="1" applyFont="1" applyFill="1" applyBorder="1"/>
    <xf numFmtId="10" fontId="8" fillId="0" borderId="8" xfId="3" applyNumberFormat="1" applyFont="1" applyFill="1" applyBorder="1"/>
    <xf numFmtId="10" fontId="8" fillId="0" borderId="6" xfId="3" applyNumberFormat="1" applyFont="1" applyFill="1" applyBorder="1"/>
    <xf numFmtId="168" fontId="8" fillId="0" borderId="9" xfId="6" applyNumberFormat="1" applyFont="1" applyFill="1" applyBorder="1"/>
    <xf numFmtId="10" fontId="8" fillId="0" borderId="10" xfId="4" applyNumberFormat="1" applyFont="1" applyFill="1" applyBorder="1"/>
    <xf numFmtId="169" fontId="8" fillId="0" borderId="9" xfId="6" applyNumberFormat="1" applyFont="1" applyFill="1" applyBorder="1"/>
    <xf numFmtId="169" fontId="8" fillId="0" borderId="10" xfId="6" applyNumberFormat="1" applyFont="1" applyFill="1" applyBorder="1"/>
    <xf numFmtId="10" fontId="8" fillId="0" borderId="7" xfId="4" applyNumberFormat="1" applyFont="1" applyFill="1" applyBorder="1"/>
    <xf numFmtId="10" fontId="8" fillId="0" borderId="8" xfId="4" applyNumberFormat="1" applyFont="1" applyFill="1" applyBorder="1"/>
    <xf numFmtId="10" fontId="8" fillId="0" borderId="6" xfId="4" applyNumberFormat="1" applyFont="1" applyFill="1" applyBorder="1"/>
    <xf numFmtId="0" fontId="8" fillId="4" borderId="11" xfId="3" applyFont="1" applyFill="1" applyBorder="1"/>
    <xf numFmtId="164" fontId="8" fillId="9" borderId="0" xfId="4" applyNumberFormat="1" applyFont="1" applyFill="1" applyBorder="1"/>
    <xf numFmtId="10" fontId="8" fillId="9" borderId="0" xfId="4" applyNumberFormat="1" applyFont="1" applyFill="1" applyBorder="1"/>
    <xf numFmtId="10" fontId="8" fillId="0" borderId="0" xfId="3" applyNumberFormat="1" applyFont="1" applyFill="1" applyBorder="1"/>
    <xf numFmtId="10" fontId="8" fillId="0" borderId="10" xfId="3" applyNumberFormat="1" applyFont="1" applyFill="1" applyBorder="1"/>
    <xf numFmtId="10" fontId="8" fillId="0" borderId="9" xfId="4" applyNumberFormat="1" applyFont="1" applyFill="1" applyBorder="1"/>
    <xf numFmtId="10" fontId="8" fillId="0" borderId="0" xfId="4" applyNumberFormat="1" applyFont="1" applyFill="1" applyBorder="1"/>
    <xf numFmtId="0" fontId="6" fillId="4" borderId="1" xfId="3" applyFont="1" applyFill="1" applyBorder="1" applyAlignment="1">
      <alignment horizontal="center"/>
    </xf>
    <xf numFmtId="168" fontId="6" fillId="4" borderId="13" xfId="6" applyNumberFormat="1" applyFont="1" applyFill="1" applyBorder="1"/>
    <xf numFmtId="164" fontId="6" fillId="4" borderId="13" xfId="4" applyNumberFormat="1" applyFont="1" applyFill="1" applyBorder="1"/>
    <xf numFmtId="9" fontId="6" fillId="4" borderId="12" xfId="4" applyNumberFormat="1" applyFont="1" applyFill="1" applyBorder="1"/>
    <xf numFmtId="10" fontId="9" fillId="0" borderId="0" xfId="3" applyNumberFormat="1" applyFont="1" applyBorder="1"/>
    <xf numFmtId="0" fontId="9" fillId="0" borderId="0" xfId="3" applyFont="1" applyBorder="1"/>
    <xf numFmtId="168" fontId="6" fillId="4" borderId="12" xfId="6" applyNumberFormat="1" applyFont="1" applyFill="1" applyBorder="1"/>
    <xf numFmtId="9" fontId="6" fillId="4" borderId="12" xfId="4" applyFont="1" applyFill="1" applyBorder="1"/>
    <xf numFmtId="169" fontId="6" fillId="4" borderId="1" xfId="6" applyNumberFormat="1" applyFont="1" applyFill="1" applyBorder="1"/>
    <xf numFmtId="9" fontId="10" fillId="0" borderId="0" xfId="4" applyFont="1"/>
    <xf numFmtId="0" fontId="10" fillId="0" borderId="0" xfId="3" applyFont="1"/>
    <xf numFmtId="0" fontId="11" fillId="0" borderId="0" xfId="3" applyFont="1"/>
    <xf numFmtId="167" fontId="2" fillId="0" borderId="0" xfId="5" applyNumberFormat="1" applyFont="1"/>
    <xf numFmtId="0" fontId="14" fillId="0" borderId="0" xfId="7" applyFont="1"/>
    <xf numFmtId="0" fontId="5" fillId="0" borderId="0" xfId="7"/>
    <xf numFmtId="0" fontId="15" fillId="0" borderId="0" xfId="7" applyFont="1"/>
    <xf numFmtId="0" fontId="2" fillId="2" borderId="0" xfId="7" applyFont="1" applyFill="1"/>
    <xf numFmtId="0" fontId="2" fillId="0" borderId="0" xfId="7" applyFont="1"/>
    <xf numFmtId="0" fontId="2" fillId="11" borderId="0" xfId="7" applyFont="1" applyFill="1"/>
    <xf numFmtId="0" fontId="2" fillId="12" borderId="0" xfId="7" applyFont="1" applyFill="1"/>
    <xf numFmtId="0" fontId="18" fillId="0" borderId="0" xfId="7" applyFont="1" applyAlignment="1">
      <alignment horizontal="left" readingOrder="1"/>
    </xf>
    <xf numFmtId="10" fontId="5" fillId="12" borderId="0" xfId="2" applyNumberFormat="1" applyFont="1" applyFill="1"/>
    <xf numFmtId="10" fontId="0" fillId="0" borderId="0" xfId="2" applyNumberFormat="1" applyFont="1"/>
    <xf numFmtId="0" fontId="0" fillId="0" borderId="1" xfId="0" applyBorder="1"/>
    <xf numFmtId="10" fontId="0" fillId="0" borderId="1" xfId="2" applyNumberFormat="1" applyFont="1" applyBorder="1"/>
    <xf numFmtId="166" fontId="0" fillId="0" borderId="1" xfId="1" applyNumberFormat="1" applyFont="1" applyBorder="1"/>
    <xf numFmtId="10" fontId="0" fillId="0" borderId="0" xfId="0" applyNumberFormat="1"/>
    <xf numFmtId="0" fontId="19" fillId="0" borderId="0" xfId="0" applyFont="1"/>
    <xf numFmtId="0" fontId="6" fillId="4" borderId="1" xfId="3" applyFont="1" applyFill="1" applyBorder="1" applyAlignment="1">
      <alignment horizontal="center" vertical="center" wrapText="1"/>
    </xf>
    <xf numFmtId="10" fontId="6" fillId="4" borderId="12" xfId="2" applyNumberFormat="1" applyFont="1" applyFill="1" applyBorder="1"/>
    <xf numFmtId="0" fontId="20" fillId="13" borderId="14" xfId="0" applyFont="1" applyFill="1" applyBorder="1" applyAlignment="1">
      <alignment horizontal="right" wrapText="1"/>
    </xf>
    <xf numFmtId="0" fontId="20" fillId="13" borderId="15" xfId="0" applyFont="1" applyFill="1" applyBorder="1" applyAlignment="1">
      <alignment wrapText="1"/>
    </xf>
    <xf numFmtId="0" fontId="20" fillId="13" borderId="16" xfId="0" applyFont="1" applyFill="1" applyBorder="1" applyAlignment="1">
      <alignment wrapText="1"/>
    </xf>
    <xf numFmtId="0" fontId="2" fillId="14" borderId="0" xfId="3" applyFont="1" applyFill="1" applyAlignment="1">
      <alignment horizontal="left"/>
    </xf>
    <xf numFmtId="164" fontId="2" fillId="14" borderId="0" xfId="2" applyNumberFormat="1" applyFont="1" applyFill="1" applyAlignment="1">
      <alignment horizontal="right"/>
    </xf>
    <xf numFmtId="10" fontId="2" fillId="14" borderId="0" xfId="3" applyNumberFormat="1" applyFont="1" applyFill="1" applyAlignment="1">
      <alignment horizontal="right"/>
    </xf>
    <xf numFmtId="166" fontId="2" fillId="14" borderId="0" xfId="1" applyNumberFormat="1" applyFont="1" applyFill="1" applyAlignment="1">
      <alignment horizontal="right"/>
    </xf>
    <xf numFmtId="10" fontId="6" fillId="10" borderId="12" xfId="3" applyNumberFormat="1" applyFont="1" applyFill="1" applyBorder="1"/>
    <xf numFmtId="10" fontId="5" fillId="0" borderId="0" xfId="2" applyNumberFormat="1" applyFont="1"/>
    <xf numFmtId="167" fontId="8" fillId="4" borderId="6" xfId="5" applyNumberFormat="1" applyFont="1" applyFill="1" applyBorder="1" applyAlignment="1">
      <alignment horizontal="center" vertical="center"/>
    </xf>
    <xf numFmtId="167" fontId="8" fillId="4" borderId="10" xfId="5" applyNumberFormat="1" applyFont="1" applyFill="1" applyBorder="1" applyAlignment="1">
      <alignment horizontal="center" vertical="center"/>
    </xf>
    <xf numFmtId="167" fontId="8" fillId="4" borderId="6" xfId="5" applyNumberFormat="1" applyFont="1" applyFill="1" applyBorder="1" applyAlignment="1">
      <alignment horizontal="right" vertical="center"/>
    </xf>
    <xf numFmtId="167" fontId="8" fillId="4" borderId="10" xfId="5" applyNumberFormat="1" applyFont="1" applyFill="1" applyBorder="1" applyAlignment="1">
      <alignment horizontal="right" vertical="center"/>
    </xf>
    <xf numFmtId="0" fontId="2" fillId="12" borderId="1" xfId="3" applyFill="1" applyBorder="1"/>
    <xf numFmtId="10" fontId="2" fillId="0" borderId="0" xfId="3" applyNumberFormat="1"/>
    <xf numFmtId="0" fontId="8" fillId="4" borderId="1" xfId="3" applyFont="1" applyFill="1" applyBorder="1"/>
    <xf numFmtId="167" fontId="8" fillId="4" borderId="1" xfId="5" applyNumberFormat="1" applyFont="1" applyFill="1" applyBorder="1"/>
    <xf numFmtId="167" fontId="8" fillId="8" borderId="1" xfId="5" applyNumberFormat="1" applyFont="1" applyFill="1" applyBorder="1"/>
    <xf numFmtId="43" fontId="2" fillId="0" borderId="0" xfId="3" applyNumberFormat="1"/>
    <xf numFmtId="0" fontId="21" fillId="2" borderId="1" xfId="3" applyFont="1" applyFill="1" applyBorder="1" applyAlignment="1">
      <alignment horizontal="center"/>
    </xf>
    <xf numFmtId="0" fontId="6" fillId="4" borderId="2" xfId="3" applyFont="1" applyFill="1" applyBorder="1" applyAlignment="1">
      <alignment horizontal="center"/>
    </xf>
    <xf numFmtId="0" fontId="6" fillId="4" borderId="4" xfId="3" applyFont="1" applyFill="1" applyBorder="1" applyAlignment="1">
      <alignment horizontal="center"/>
    </xf>
    <xf numFmtId="0" fontId="3" fillId="0" borderId="0" xfId="3" applyFont="1" applyAlignment="1">
      <alignment horizontal="center"/>
    </xf>
    <xf numFmtId="0" fontId="6" fillId="4" borderId="1" xfId="3" applyFont="1" applyFill="1" applyBorder="1" applyAlignment="1">
      <alignment horizontal="center" vertical="center" wrapText="1"/>
    </xf>
    <xf numFmtId="0" fontId="7" fillId="5" borderId="2" xfId="3" applyFont="1" applyFill="1" applyBorder="1" applyAlignment="1">
      <alignment horizontal="center" vertical="center" wrapText="1"/>
    </xf>
    <xf numFmtId="0" fontId="7" fillId="5" borderId="3" xfId="3" applyFont="1" applyFill="1" applyBorder="1" applyAlignment="1">
      <alignment horizontal="center" vertical="center" wrapText="1"/>
    </xf>
    <xf numFmtId="0" fontId="7" fillId="5" borderId="4" xfId="3" applyFont="1" applyFill="1" applyBorder="1" applyAlignment="1">
      <alignment horizontal="center" vertical="center" wrapText="1"/>
    </xf>
    <xf numFmtId="0" fontId="7" fillId="6" borderId="2" xfId="3" applyFont="1" applyFill="1" applyBorder="1" applyAlignment="1">
      <alignment horizontal="center" vertical="center" wrapText="1"/>
    </xf>
    <xf numFmtId="0" fontId="7" fillId="6" borderId="3" xfId="3" applyFont="1" applyFill="1" applyBorder="1" applyAlignment="1">
      <alignment horizontal="center" vertical="center" wrapText="1"/>
    </xf>
    <xf numFmtId="0" fontId="7" fillId="6" borderId="4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 wrapText="1"/>
    </xf>
    <xf numFmtId="0" fontId="6" fillId="7" borderId="2" xfId="3" applyFont="1" applyFill="1" applyBorder="1" applyAlignment="1">
      <alignment horizontal="center" vertical="center" wrapText="1"/>
    </xf>
    <xf numFmtId="0" fontId="6" fillId="7" borderId="1" xfId="3" applyFont="1" applyFill="1" applyBorder="1" applyAlignment="1">
      <alignment horizontal="center" vertical="center" wrapText="1"/>
    </xf>
    <xf numFmtId="10" fontId="2" fillId="0" borderId="1" xfId="2" applyNumberFormat="1" applyFont="1" applyBorder="1"/>
    <xf numFmtId="43" fontId="2" fillId="0" borderId="1" xfId="1" applyFont="1" applyBorder="1"/>
    <xf numFmtId="0" fontId="2" fillId="0" borderId="1" xfId="3" applyBorder="1"/>
    <xf numFmtId="0" fontId="21" fillId="15" borderId="1" xfId="3" applyFont="1" applyFill="1" applyBorder="1" applyAlignment="1">
      <alignment horizontal="center"/>
    </xf>
    <xf numFmtId="0" fontId="21" fillId="15" borderId="1" xfId="3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9" fontId="21" fillId="12" borderId="1" xfId="2" applyFont="1" applyFill="1" applyBorder="1" applyAlignment="1">
      <alignment horizontal="center" vertical="center"/>
    </xf>
    <xf numFmtId="0" fontId="2" fillId="12" borderId="0" xfId="3" applyFill="1"/>
    <xf numFmtId="0" fontId="2" fillId="0" borderId="0" xfId="3" applyFill="1"/>
    <xf numFmtId="0" fontId="21" fillId="16" borderId="1" xfId="3" applyFont="1" applyFill="1" applyBorder="1" applyAlignment="1">
      <alignment horizontal="center" vertical="center" wrapText="1"/>
    </xf>
    <xf numFmtId="9" fontId="21" fillId="12" borderId="5" xfId="2" applyFont="1" applyFill="1" applyBorder="1" applyAlignment="1">
      <alignment horizontal="center" vertical="center"/>
    </xf>
    <xf numFmtId="10" fontId="6" fillId="0" borderId="0" xfId="3" applyNumberFormat="1" applyFont="1" applyFill="1" applyBorder="1"/>
    <xf numFmtId="0" fontId="3" fillId="0" borderId="0" xfId="3" applyFont="1" applyFill="1" applyAlignment="1">
      <alignment horizontal="center"/>
    </xf>
    <xf numFmtId="0" fontId="4" fillId="0" borderId="0" xfId="3" applyFont="1" applyFill="1" applyAlignment="1">
      <alignment horizontal="center"/>
    </xf>
    <xf numFmtId="0" fontId="6" fillId="0" borderId="0" xfId="3" applyFont="1" applyFill="1" applyBorder="1" applyAlignment="1">
      <alignment horizontal="center" vertical="center" wrapText="1"/>
    </xf>
  </cellXfs>
  <cellStyles count="8">
    <cellStyle name="Millares" xfId="1" builtinId="3"/>
    <cellStyle name="Millares 2" xfId="5"/>
    <cellStyle name="Millares_Cálculo del Gini" xfId="6"/>
    <cellStyle name="Normal" xfId="0" builtinId="0"/>
    <cellStyle name="Normal 2" xfId="7"/>
    <cellStyle name="Normal_Cálculo del Gini" xfId="3"/>
    <cellStyle name="Porcentual" xfId="2" builtinId="5"/>
    <cellStyle name="Porcentual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r>
              <a:rPr lang="es-MX"/>
              <a:t>Distribución de buenos y malos</a:t>
            </a:r>
          </a:p>
        </c:rich>
      </c:tx>
      <c:layout>
        <c:manualLayout>
          <c:xMode val="edge"/>
          <c:yMode val="edge"/>
          <c:x val="0.29431455683424529"/>
          <c:y val="3.41880341880341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76264694378917"/>
          <c:y val="0.20512877584350467"/>
          <c:w val="0.74916449130932161"/>
          <c:h val="0.59829226287688853"/>
        </c:manualLayout>
      </c:layout>
      <c:barChart>
        <c:barDir val="col"/>
        <c:grouping val="clustered"/>
        <c:ser>
          <c:idx val="0"/>
          <c:order val="0"/>
          <c:tx>
            <c:strRef>
              <c:f>'BT Modelo 2'!$D$8:$H$8</c:f>
              <c:strCache>
                <c:ptCount val="1"/>
                <c:pt idx="0">
                  <c:v>Buenos</c:v>
                </c:pt>
              </c:strCache>
            </c:strRef>
          </c:tx>
          <c:spPr>
            <a:solidFill>
              <a:srgbClr val="00FF00"/>
            </a:solidFill>
            <a:ln w="25400">
              <a:noFill/>
            </a:ln>
          </c:spPr>
          <c:cat>
            <c:strRef>
              <c:f>'BT Modelo 2'!$A$10:$A$19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'BT Modelo 2'!$D$10:$D$19</c:f>
              <c:numCache>
                <c:formatCode>_ * #,##0_ ;_ * \-#,##0_ ;_ * "-"??_ ;_ @_ </c:formatCode>
                <c:ptCount val="10"/>
                <c:pt idx="0">
                  <c:v>6342</c:v>
                </c:pt>
                <c:pt idx="1">
                  <c:v>6331</c:v>
                </c:pt>
                <c:pt idx="2">
                  <c:v>6279</c:v>
                </c:pt>
                <c:pt idx="3">
                  <c:v>6320</c:v>
                </c:pt>
                <c:pt idx="4">
                  <c:v>6231</c:v>
                </c:pt>
                <c:pt idx="5">
                  <c:v>6186</c:v>
                </c:pt>
                <c:pt idx="6">
                  <c:v>6122</c:v>
                </c:pt>
                <c:pt idx="7">
                  <c:v>5902</c:v>
                </c:pt>
                <c:pt idx="8">
                  <c:v>4224</c:v>
                </c:pt>
                <c:pt idx="9">
                  <c:v>1011</c:v>
                </c:pt>
              </c:numCache>
            </c:numRef>
          </c:val>
        </c:ser>
        <c:ser>
          <c:idx val="1"/>
          <c:order val="1"/>
          <c:tx>
            <c:strRef>
              <c:f>'BT Modelo 2'!$I$8:$M$8</c:f>
              <c:strCache>
                <c:ptCount val="1"/>
                <c:pt idx="0">
                  <c:v>Malos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cat>
            <c:strRef>
              <c:f>'BT Modelo 2'!$A$10:$A$19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'BT Modelo 2'!$I$10:$I$19</c:f>
              <c:numCache>
                <c:formatCode>_ * #,##0_ ;_ * \-#,##0_ ;_ * "-"??_ ;_ @_ </c:formatCode>
                <c:ptCount val="10"/>
                <c:pt idx="0">
                  <c:v>24</c:v>
                </c:pt>
                <c:pt idx="1">
                  <c:v>37</c:v>
                </c:pt>
                <c:pt idx="2">
                  <c:v>59</c:v>
                </c:pt>
                <c:pt idx="3">
                  <c:v>77</c:v>
                </c:pt>
                <c:pt idx="4">
                  <c:v>129</c:v>
                </c:pt>
                <c:pt idx="5">
                  <c:v>176</c:v>
                </c:pt>
                <c:pt idx="6">
                  <c:v>255</c:v>
                </c:pt>
                <c:pt idx="7">
                  <c:v>465</c:v>
                </c:pt>
                <c:pt idx="8">
                  <c:v>2145</c:v>
                </c:pt>
                <c:pt idx="9">
                  <c:v>5354</c:v>
                </c:pt>
              </c:numCache>
            </c:numRef>
          </c:val>
        </c:ser>
        <c:gapWidth val="0"/>
        <c:axId val="179142016"/>
        <c:axId val="179165056"/>
      </c:barChart>
      <c:lineChart>
        <c:grouping val="standard"/>
        <c:ser>
          <c:idx val="2"/>
          <c:order val="2"/>
          <c:tx>
            <c:v>Odds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CC00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'Modelo 1'!#REF!</c:f>
            </c:multiLvlStrRef>
          </c:cat>
          <c:val>
            <c:numRef>
              <c:f>'BT Modelo 2'!$P$10:$P$19</c:f>
              <c:numCache>
                <c:formatCode>_ * #,##0.00_ ;_ * \-#,##0.00_ ;_ * "-"??_ ;_ @_ </c:formatCode>
                <c:ptCount val="10"/>
                <c:pt idx="0">
                  <c:v>264.25</c:v>
                </c:pt>
                <c:pt idx="1">
                  <c:v>171.1081081081081</c:v>
                </c:pt>
                <c:pt idx="2">
                  <c:v>106.42372881355932</c:v>
                </c:pt>
                <c:pt idx="3">
                  <c:v>82.077922077922082</c:v>
                </c:pt>
                <c:pt idx="4">
                  <c:v>48.302325581395351</c:v>
                </c:pt>
                <c:pt idx="5">
                  <c:v>35.147727272727273</c:v>
                </c:pt>
                <c:pt idx="6">
                  <c:v>24.007843137254902</c:v>
                </c:pt>
                <c:pt idx="7">
                  <c:v>12.692473118279571</c:v>
                </c:pt>
                <c:pt idx="8">
                  <c:v>1.9692307692307693</c:v>
                </c:pt>
                <c:pt idx="9">
                  <c:v>0.18883078072469181</c:v>
                </c:pt>
              </c:numCache>
            </c:numRef>
          </c:val>
        </c:ser>
        <c:marker val="1"/>
        <c:axId val="180168576"/>
        <c:axId val="180204672"/>
      </c:lineChart>
      <c:catAx>
        <c:axId val="1791420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endParaRPr lang="es-MX"/>
          </a:p>
        </c:txPr>
        <c:crossAx val="179165056"/>
        <c:crosses val="autoZero"/>
        <c:auto val="1"/>
        <c:lblAlgn val="ctr"/>
        <c:lblOffset val="100"/>
        <c:tickLblSkip val="1"/>
        <c:tickMarkSkip val="1"/>
      </c:catAx>
      <c:valAx>
        <c:axId val="1791650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Folio Bk BT"/>
                    <a:ea typeface="Folio Bk BT"/>
                    <a:cs typeface="Folio Bk BT"/>
                  </a:defRPr>
                </a:pPr>
                <a:r>
                  <a:rPr lang="es-MX"/>
                  <a:t># clientes</a:t>
                </a:r>
              </a:p>
            </c:rich>
          </c:tx>
          <c:layout>
            <c:manualLayout>
              <c:xMode val="edge"/>
              <c:yMode val="edge"/>
              <c:x val="3.1772575250836141E-2"/>
              <c:y val="0.40171059814104432"/>
            </c:manualLayout>
          </c:layout>
          <c:spPr>
            <a:noFill/>
            <a:ln w="25400">
              <a:noFill/>
            </a:ln>
          </c:spPr>
        </c:title>
        <c:numFmt formatCode="_ * #,##0_ ;_ * \-#,##0_ ;_ * &quot;-&quot;??_ ;_ @_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endParaRPr lang="es-MX"/>
          </a:p>
        </c:txPr>
        <c:crossAx val="179142016"/>
        <c:crosses val="autoZero"/>
        <c:crossBetween val="between"/>
      </c:valAx>
      <c:catAx>
        <c:axId val="180168576"/>
        <c:scaling>
          <c:orientation val="minMax"/>
        </c:scaling>
        <c:delete val="1"/>
        <c:axPos val="b"/>
        <c:numFmt formatCode="General" sourceLinked="1"/>
        <c:tickLblPos val="nextTo"/>
        <c:crossAx val="180204672"/>
        <c:crosses val="autoZero"/>
        <c:auto val="1"/>
        <c:lblAlgn val="ctr"/>
        <c:lblOffset val="100"/>
      </c:catAx>
      <c:valAx>
        <c:axId val="180204672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Folio Bk BT"/>
                    <a:ea typeface="Folio Bk BT"/>
                    <a:cs typeface="Folio Bk BT"/>
                  </a:defRPr>
                </a:pPr>
                <a:r>
                  <a:rPr lang="es-MX"/>
                  <a:t># buenos/malos</a:t>
                </a:r>
              </a:p>
            </c:rich>
          </c:tx>
          <c:layout>
            <c:manualLayout>
              <c:xMode val="edge"/>
              <c:yMode val="edge"/>
              <c:x val="0.9314388293436564"/>
              <c:y val="0.34188123920407665"/>
            </c:manualLayout>
          </c:layout>
          <c:spPr>
            <a:noFill/>
            <a:ln w="25400">
              <a:noFill/>
            </a:ln>
          </c:spPr>
        </c:title>
        <c:numFmt formatCode="_ * #,##0.0_ ;_ * \-#,##0.0_ ;_ * &quot;-&quot;??_ ;_ @_ 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endParaRPr lang="es-MX"/>
          </a:p>
        </c:txPr>
        <c:crossAx val="18016857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0769248325565002"/>
          <c:y val="0.125356424464036"/>
          <c:w val="0.36287660530728433"/>
          <c:h val="6.2678361785973316E-2"/>
        </c:manualLayout>
      </c:layout>
      <c:spPr>
        <a:noFill/>
        <a:ln w="3175">
          <a:solidFill>
            <a:srgbClr val="C0C0C0"/>
          </a:solidFill>
          <a:prstDash val="sysDash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Folio Bk BT"/>
              <a:ea typeface="Folio Bk BT"/>
              <a:cs typeface="Folio Bk BT"/>
            </a:defRPr>
          </a:pPr>
          <a:endParaRPr lang="es-MX"/>
        </a:p>
      </c:txPr>
    </c:legend>
    <c:plotVisOnly val="1"/>
    <c:dispBlanksAs val="gap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Folio Bk BT"/>
          <a:ea typeface="Folio Bk BT"/>
          <a:cs typeface="Folio Bk BT"/>
        </a:defRPr>
      </a:pPr>
      <a:endParaRPr lang="es-MX"/>
    </a:p>
  </c:txPr>
  <c:printSettings>
    <c:headerFooter alignWithMargins="0"/>
    <c:pageMargins b="1" l="0.75000000000000322" r="0.75000000000000322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r>
              <a:rPr lang="es-MX"/>
              <a:t>Distribución acumulada de buenos y malos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'BT Modelo 2'!$D$8:$H$8</c:f>
              <c:strCache>
                <c:ptCount val="1"/>
                <c:pt idx="0">
                  <c:v>Buenos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'BT Modelo 2'!$A$10:$A$19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'BT Modelo 2'!$G$10:$G$19</c:f>
              <c:numCache>
                <c:formatCode>0.00%</c:formatCode>
                <c:ptCount val="10"/>
                <c:pt idx="0">
                  <c:v>0.11541821358375191</c:v>
                </c:pt>
                <c:pt idx="1">
                  <c:v>0.2306362378976487</c:v>
                </c:pt>
                <c:pt idx="2">
                  <c:v>0.34490791293586665</c:v>
                </c:pt>
                <c:pt idx="3">
                  <c:v>0.45992574797990826</c:v>
                </c:pt>
                <c:pt idx="4">
                  <c:v>0.57332386984057648</c:v>
                </c:pt>
                <c:pt idx="5">
                  <c:v>0.68590303559729193</c:v>
                </c:pt>
                <c:pt idx="6">
                  <c:v>0.79731746378394108</c:v>
                </c:pt>
                <c:pt idx="7">
                  <c:v>0.90472810657348757</c:v>
                </c:pt>
                <c:pt idx="8">
                  <c:v>0.98160078619785973</c:v>
                </c:pt>
                <c:pt idx="9">
                  <c:v>0.99999999999999989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'BT Modelo 2'!$I$8:$M$8</c:f>
              <c:strCache>
                <c:ptCount val="1"/>
                <c:pt idx="0">
                  <c:v>Malos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'BT Modelo 2'!$A$10:$A$19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'BT Modelo 2'!$L$10:$L$19</c:f>
              <c:numCache>
                <c:formatCode>0.00%</c:formatCode>
                <c:ptCount val="10"/>
                <c:pt idx="0">
                  <c:v>2.7519779841761265E-3</c:v>
                </c:pt>
                <c:pt idx="1">
                  <c:v>6.9946107097809875E-3</c:v>
                </c:pt>
                <c:pt idx="2">
                  <c:v>1.3759889920880633E-2</c:v>
                </c:pt>
                <c:pt idx="3">
                  <c:v>2.2589152620112372E-2</c:v>
                </c:pt>
                <c:pt idx="4">
                  <c:v>3.7381034285059053E-2</c:v>
                </c:pt>
                <c:pt idx="5">
                  <c:v>5.7562206169017319E-2</c:v>
                </c:pt>
                <c:pt idx="6">
                  <c:v>8.6801972250888662E-2</c:v>
                </c:pt>
                <c:pt idx="7">
                  <c:v>0.14012154569430113</c:v>
                </c:pt>
                <c:pt idx="8">
                  <c:v>0.38607957803004245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'BT Modelo 2'!$R$8</c:f>
              <c:strCache>
                <c:ptCount val="1"/>
                <c:pt idx="0">
                  <c:v>K-S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FF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'BT Modelo 2'!$A$10:$A$19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'BT Modelo 2'!$R$10:$R$19</c:f>
              <c:numCache>
                <c:formatCode>0.00%</c:formatCode>
                <c:ptCount val="10"/>
                <c:pt idx="0">
                  <c:v>0.11266623559957578</c:v>
                </c:pt>
                <c:pt idx="1">
                  <c:v>0.2236416271878677</c:v>
                </c:pt>
                <c:pt idx="2">
                  <c:v>0.33114802301498603</c:v>
                </c:pt>
                <c:pt idx="3">
                  <c:v>0.43733659535979591</c:v>
                </c:pt>
                <c:pt idx="4">
                  <c:v>0.53594283555551747</c:v>
                </c:pt>
                <c:pt idx="5">
                  <c:v>0.62834082942827463</c:v>
                </c:pt>
                <c:pt idx="6">
                  <c:v>0.71051549153305238</c:v>
                </c:pt>
                <c:pt idx="7">
                  <c:v>0.76460656087918644</c:v>
                </c:pt>
                <c:pt idx="8">
                  <c:v>0.59552120816781728</c:v>
                </c:pt>
                <c:pt idx="9">
                  <c:v>1.1102230246251565E-16</c:v>
                </c:pt>
              </c:numCache>
            </c:numRef>
          </c:val>
          <c:smooth val="1"/>
        </c:ser>
        <c:marker val="1"/>
        <c:axId val="182254208"/>
        <c:axId val="183052928"/>
      </c:lineChart>
      <c:catAx>
        <c:axId val="18225420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endParaRPr lang="es-MX"/>
          </a:p>
        </c:txPr>
        <c:crossAx val="183052928"/>
        <c:crosses val="autoZero"/>
        <c:auto val="1"/>
        <c:lblAlgn val="ctr"/>
        <c:lblOffset val="100"/>
        <c:tickLblSkip val="1"/>
        <c:tickMarkSkip val="1"/>
      </c:catAx>
      <c:valAx>
        <c:axId val="183052928"/>
        <c:scaling>
          <c:orientation val="minMax"/>
          <c:max val="1"/>
        </c:scaling>
        <c:axPos val="l"/>
        <c:majorGridlines/>
        <c:numFmt formatCode="0%" sourceLinked="0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endParaRPr lang="es-MX"/>
          </a:p>
        </c:txPr>
        <c:crossAx val="182254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noFill/>
        <a:ln w="3175">
          <a:solidFill>
            <a:srgbClr val="C0C0C0"/>
          </a:solidFill>
          <a:prstDash val="sysDash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Folio Bk BT"/>
              <a:ea typeface="Folio Bk BT"/>
              <a:cs typeface="Folio Bk BT"/>
            </a:defRPr>
          </a:pPr>
          <a:endParaRPr lang="es-MX"/>
        </a:p>
      </c:txPr>
    </c:legend>
    <c:plotVisOnly val="1"/>
    <c:dispBlanksAs val="gap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Folio Bk BT"/>
          <a:ea typeface="Folio Bk BT"/>
          <a:cs typeface="Folio Bk BT"/>
        </a:defRPr>
      </a:pPr>
      <a:endParaRPr lang="es-MX"/>
    </a:p>
  </c:txPr>
  <c:printSettings>
    <c:headerFooter alignWithMargins="0"/>
    <c:pageMargins b="1" l="0.75000000000000322" r="0.75000000000000322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r>
              <a:rPr lang="es-MX"/>
              <a:t>% de fila de buenos y malos</a:t>
            </a:r>
          </a:p>
        </c:rich>
      </c:tx>
      <c:layout>
        <c:manualLayout>
          <c:xMode val="edge"/>
          <c:yMode val="edge"/>
          <c:x val="0.318864774624377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025041736227174"/>
          <c:y val="0.20113314447592176"/>
          <c:w val="0.81969949916528007"/>
          <c:h val="0.52124645892351273"/>
        </c:manualLayout>
      </c:layout>
      <c:barChart>
        <c:barDir val="col"/>
        <c:grouping val="stacked"/>
        <c:ser>
          <c:idx val="0"/>
          <c:order val="0"/>
          <c:tx>
            <c:strRef>
              <c:f>'BT Modelo 2'!$D$8:$H$8</c:f>
              <c:strCache>
                <c:ptCount val="1"/>
                <c:pt idx="0">
                  <c:v>Buenos</c:v>
                </c:pt>
              </c:strCache>
            </c:strRef>
          </c:tx>
          <c:spPr>
            <a:solidFill>
              <a:srgbClr val="00FF00"/>
            </a:solidFill>
            <a:ln w="25400">
              <a:solidFill>
                <a:srgbClr val="00FF00"/>
              </a:solidFill>
              <a:prstDash val="solid"/>
            </a:ln>
          </c:spPr>
          <c:cat>
            <c:strRef>
              <c:f>'BT Modelo 2'!$A$10:$A$19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'BT Modelo 2'!$E$10:$E$19</c:f>
              <c:numCache>
                <c:formatCode>0.0%</c:formatCode>
                <c:ptCount val="10"/>
                <c:pt idx="0">
                  <c:v>0.99622997172478789</c:v>
                </c:pt>
                <c:pt idx="1">
                  <c:v>0.9941896984924623</c:v>
                </c:pt>
                <c:pt idx="2">
                  <c:v>0.99069106973808774</c:v>
                </c:pt>
                <c:pt idx="3">
                  <c:v>0.98796310770673756</c:v>
                </c:pt>
                <c:pt idx="4">
                  <c:v>0.9797169811320755</c:v>
                </c:pt>
                <c:pt idx="5">
                  <c:v>0.97233574347689411</c:v>
                </c:pt>
                <c:pt idx="6">
                  <c:v>0.96001254508389522</c:v>
                </c:pt>
                <c:pt idx="7">
                  <c:v>0.92696717449348198</c:v>
                </c:pt>
                <c:pt idx="8">
                  <c:v>0.66321243523316065</c:v>
                </c:pt>
                <c:pt idx="9">
                  <c:v>0.15883739198743127</c:v>
                </c:pt>
              </c:numCache>
            </c:numRef>
          </c:val>
        </c:ser>
        <c:ser>
          <c:idx val="1"/>
          <c:order val="1"/>
          <c:tx>
            <c:strRef>
              <c:f>'BT Modelo 2'!$I$8:$M$8</c:f>
              <c:strCache>
                <c:ptCount val="1"/>
                <c:pt idx="0">
                  <c:v>Malos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rgbClr val="FF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Folio Bk BT"/>
                    <a:ea typeface="Folio Bk BT"/>
                    <a:cs typeface="Folio Bk BT"/>
                  </a:defRPr>
                </a:pPr>
                <a:endParaRPr lang="es-MX"/>
              </a:p>
            </c:txPr>
            <c:dLblPos val="ctr"/>
            <c:showVal val="1"/>
          </c:dLbls>
          <c:cat>
            <c:strRef>
              <c:f>'BT Modelo 2'!$A$10:$A$19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'BT Modelo 2'!$J$10:$J$19</c:f>
              <c:numCache>
                <c:formatCode>0.0%</c:formatCode>
                <c:ptCount val="10"/>
                <c:pt idx="0">
                  <c:v>3.770028275212064E-3</c:v>
                </c:pt>
                <c:pt idx="1">
                  <c:v>5.8103015075376884E-3</c:v>
                </c:pt>
                <c:pt idx="2">
                  <c:v>9.3089302619122748E-3</c:v>
                </c:pt>
                <c:pt idx="3">
                  <c:v>1.2036892293262467E-2</c:v>
                </c:pt>
                <c:pt idx="4">
                  <c:v>2.0283018867924527E-2</c:v>
                </c:pt>
                <c:pt idx="5">
                  <c:v>2.7664256523105942E-2</c:v>
                </c:pt>
                <c:pt idx="6">
                  <c:v>3.9987454916104753E-2</c:v>
                </c:pt>
                <c:pt idx="7">
                  <c:v>7.303282550651799E-2</c:v>
                </c:pt>
                <c:pt idx="8">
                  <c:v>0.33678756476683935</c:v>
                </c:pt>
                <c:pt idx="9">
                  <c:v>0.8411626080125687</c:v>
                </c:pt>
              </c:numCache>
            </c:numRef>
          </c:val>
        </c:ser>
        <c:gapWidth val="20"/>
        <c:overlap val="100"/>
        <c:axId val="188044032"/>
        <c:axId val="188046336"/>
      </c:barChart>
      <c:catAx>
        <c:axId val="188044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endParaRPr lang="es-MX"/>
          </a:p>
        </c:txPr>
        <c:crossAx val="188046336"/>
        <c:crosses val="autoZero"/>
        <c:auto val="1"/>
        <c:lblAlgn val="ctr"/>
        <c:lblOffset val="100"/>
        <c:tickLblSkip val="1"/>
        <c:tickMarkSkip val="1"/>
      </c:catAx>
      <c:valAx>
        <c:axId val="188046336"/>
        <c:scaling>
          <c:orientation val="minMax"/>
          <c:max val="1"/>
          <c:min val="0.5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Folio Bk BT"/>
                    <a:ea typeface="Folio Bk BT"/>
                    <a:cs typeface="Folio Bk BT"/>
                  </a:defRPr>
                </a:pPr>
                <a:r>
                  <a:rPr lang="es-MX"/>
                  <a:t># clientes</a:t>
                </a:r>
              </a:p>
            </c:rich>
          </c:tx>
          <c:layout>
            <c:manualLayout>
              <c:xMode val="edge"/>
              <c:yMode val="edge"/>
              <c:x val="3.1719532554257093E-2"/>
              <c:y val="0.35977337110481894"/>
            </c:manualLayout>
          </c:layout>
          <c:spPr>
            <a:noFill/>
            <a:ln w="25400">
              <a:noFill/>
            </a:ln>
          </c:spPr>
        </c:title>
        <c:numFmt formatCode="0.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endParaRPr lang="es-MX"/>
          </a:p>
        </c:txPr>
        <c:crossAx val="188044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7729549248747912"/>
          <c:y val="0.11048158640226605"/>
          <c:w val="0.2537562604340568"/>
          <c:h val="6.2322946175637432E-2"/>
        </c:manualLayout>
      </c:layout>
      <c:spPr>
        <a:noFill/>
        <a:ln w="3175">
          <a:solidFill>
            <a:srgbClr val="C0C0C0"/>
          </a:solidFill>
          <a:prstDash val="sysDash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Folio Bk BT"/>
              <a:ea typeface="Folio Bk BT"/>
              <a:cs typeface="Folio Bk BT"/>
            </a:defRPr>
          </a:pPr>
          <a:endParaRPr lang="es-MX"/>
        </a:p>
      </c:txPr>
    </c:legend>
    <c:plotVisOnly val="1"/>
    <c:dispBlanksAs val="gap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Folio Bk BT"/>
          <a:ea typeface="Folio Bk BT"/>
          <a:cs typeface="Folio Bk BT"/>
        </a:defRPr>
      </a:pPr>
      <a:endParaRPr lang="es-MX"/>
    </a:p>
  </c:txPr>
  <c:printSettings>
    <c:headerFooter alignWithMargins="0"/>
    <c:pageMargins b="1" l="0.75000000000000322" r="0.75000000000000322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r>
              <a:rPr lang="es-MX"/>
              <a:t>Odds</a:t>
            </a:r>
          </a:p>
        </c:rich>
      </c:tx>
      <c:layout>
        <c:manualLayout>
          <c:xMode val="edge"/>
          <c:yMode val="edge"/>
          <c:x val="0.44444512068841624"/>
          <c:y val="3.682719546742239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077313678344088"/>
          <c:y val="0.20113314447592176"/>
          <c:w val="0.85024288295541961"/>
          <c:h val="0.5382436260623229"/>
        </c:manualLayout>
      </c:layout>
      <c:lineChart>
        <c:grouping val="standard"/>
        <c:ser>
          <c:idx val="1"/>
          <c:order val="0"/>
          <c:tx>
            <c:strRef>
              <c:f>'BT Modelo 2'!$Q$9</c:f>
              <c:strCache>
                <c:ptCount val="1"/>
                <c:pt idx="0">
                  <c:v># acum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925" b="0" i="0" u="none" strike="noStrike" baseline="0">
                    <a:solidFill>
                      <a:srgbClr val="000000"/>
                    </a:solidFill>
                    <a:latin typeface="Folio Bk BT"/>
                    <a:ea typeface="Folio Bk BT"/>
                    <a:cs typeface="Folio Bk BT"/>
                  </a:defRPr>
                </a:pPr>
                <a:endParaRPr lang="es-MX"/>
              </a:p>
            </c:txPr>
            <c:dLblPos val="t"/>
            <c:showVal val="1"/>
          </c:dLbls>
          <c:cat>
            <c:multiLvlStrRef>
              <c:f>'Modelo 1'!#REF!</c:f>
            </c:multiLvlStrRef>
          </c:cat>
          <c:val>
            <c:numRef>
              <c:f>'BT Modelo 2'!$Q$10:$Q$19</c:f>
              <c:numCache>
                <c:formatCode>_ * #,##0.00_ ;_ * \-#,##0.00_ ;_ * "-"??_ ;_ @_ </c:formatCode>
                <c:ptCount val="10"/>
                <c:pt idx="0">
                  <c:v>264.25</c:v>
                </c:pt>
                <c:pt idx="1">
                  <c:v>207.75409836065575</c:v>
                </c:pt>
                <c:pt idx="2">
                  <c:v>157.93333333333334</c:v>
                </c:pt>
                <c:pt idx="3">
                  <c:v>128.28426395939087</c:v>
                </c:pt>
                <c:pt idx="4">
                  <c:v>96.634969325153378</c:v>
                </c:pt>
                <c:pt idx="5">
                  <c:v>75.077689243027891</c:v>
                </c:pt>
                <c:pt idx="6">
                  <c:v>57.874504623513872</c:v>
                </c:pt>
                <c:pt idx="7">
                  <c:v>40.681669394435353</c:v>
                </c:pt>
                <c:pt idx="8">
                  <c:v>16.019305019305019</c:v>
                </c:pt>
                <c:pt idx="9">
                  <c:v>6.3006535947712417</c:v>
                </c:pt>
              </c:numCache>
            </c:numRef>
          </c:val>
        </c:ser>
        <c:marker val="1"/>
        <c:axId val="188081664"/>
        <c:axId val="188220160"/>
      </c:lineChart>
      <c:catAx>
        <c:axId val="188081664"/>
        <c:scaling>
          <c:orientation val="minMax"/>
        </c:scaling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endParaRPr lang="es-MX"/>
          </a:p>
        </c:txPr>
        <c:crossAx val="188220160"/>
        <c:crosses val="autoZero"/>
        <c:auto val="1"/>
        <c:lblAlgn val="ctr"/>
        <c:lblOffset val="100"/>
        <c:tickLblSkip val="1"/>
        <c:tickMarkSkip val="1"/>
      </c:catAx>
      <c:valAx>
        <c:axId val="18822016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Folio Bk BT"/>
                    <a:ea typeface="Folio Bk BT"/>
                    <a:cs typeface="Folio Bk BT"/>
                  </a:defRPr>
                </a:pPr>
                <a:r>
                  <a:rPr lang="es-MX"/>
                  <a:t># clientes</a:t>
                </a:r>
              </a:p>
            </c:rich>
          </c:tx>
          <c:layout>
            <c:manualLayout>
              <c:xMode val="edge"/>
              <c:yMode val="edge"/>
              <c:x val="3.0595813204508857E-2"/>
              <c:y val="0.36827195467422097"/>
            </c:manualLayout>
          </c:layout>
          <c:spPr>
            <a:noFill/>
            <a:ln w="25400">
              <a:noFill/>
            </a:ln>
          </c:spPr>
        </c:title>
        <c:numFmt formatCode="_ * #,##0.0_ ;_ * \-#,##0.0_ ;_ * &quot;-&quot;??_ ;_ @_ 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endParaRPr lang="es-MX"/>
          </a:p>
        </c:txPr>
        <c:crossAx val="18808166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8003288236313482"/>
          <c:y val="0.11048158640226605"/>
          <c:w val="0.24476684375805691"/>
          <c:h val="6.2322946175637432E-2"/>
        </c:manualLayout>
      </c:layout>
      <c:spPr>
        <a:noFill/>
        <a:ln w="3175">
          <a:solidFill>
            <a:srgbClr val="C0C0C0"/>
          </a:solidFill>
          <a:prstDash val="sysDash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Folio Bk BT"/>
              <a:ea typeface="Folio Bk BT"/>
              <a:cs typeface="Folio Bk BT"/>
            </a:defRPr>
          </a:pPr>
          <a:endParaRPr lang="es-MX"/>
        </a:p>
      </c:txPr>
    </c:legend>
    <c:plotVisOnly val="1"/>
    <c:dispBlanksAs val="gap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Folio Bk BT"/>
          <a:ea typeface="Folio Bk BT"/>
          <a:cs typeface="Folio Bk BT"/>
        </a:defRPr>
      </a:pPr>
      <a:endParaRPr lang="es-MX"/>
    </a:p>
  </c:txPr>
  <c:printSettings>
    <c:headerFooter alignWithMargins="0"/>
    <c:pageMargins b="1" l="0.75000000000000322" r="0.75000000000000322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accent1"/>
              </a:solidFill>
            </a:ln>
          </c:spPr>
          <c:xVal>
            <c:numRef>
              <c:f>'BT Modelo 2'!$C$78:$C$88</c:f>
              <c:numCache>
                <c:formatCode>0.00%</c:formatCode>
                <c:ptCount val="11"/>
                <c:pt idx="0">
                  <c:v>0.99999999999999989</c:v>
                </c:pt>
                <c:pt idx="1">
                  <c:v>0.88458178641624796</c:v>
                </c:pt>
                <c:pt idx="2">
                  <c:v>0.76936376210235125</c:v>
                </c:pt>
                <c:pt idx="3">
                  <c:v>0.65509208706413335</c:v>
                </c:pt>
                <c:pt idx="4">
                  <c:v>0.54007425202009174</c:v>
                </c:pt>
                <c:pt idx="5">
                  <c:v>0.42667613015942346</c:v>
                </c:pt>
                <c:pt idx="6">
                  <c:v>0.31409696440270801</c:v>
                </c:pt>
                <c:pt idx="7">
                  <c:v>0.20268253621605883</c:v>
                </c:pt>
                <c:pt idx="8">
                  <c:v>9.527189342651235E-2</c:v>
                </c:pt>
                <c:pt idx="9">
                  <c:v>1.8399213802140206E-2</c:v>
                </c:pt>
                <c:pt idx="10" formatCode="General">
                  <c:v>0</c:v>
                </c:pt>
              </c:numCache>
            </c:numRef>
          </c:xVal>
          <c:yVal>
            <c:numRef>
              <c:f>'BT Modelo 2'!$D$78:$D$88</c:f>
              <c:numCache>
                <c:formatCode>0.00%</c:formatCode>
                <c:ptCount val="11"/>
                <c:pt idx="0">
                  <c:v>1</c:v>
                </c:pt>
                <c:pt idx="1">
                  <c:v>0.99724802201582396</c:v>
                </c:pt>
                <c:pt idx="2">
                  <c:v>0.99300538929021909</c:v>
                </c:pt>
                <c:pt idx="3">
                  <c:v>0.98624011007911949</c:v>
                </c:pt>
                <c:pt idx="4">
                  <c:v>0.9774108473798877</c:v>
                </c:pt>
                <c:pt idx="5">
                  <c:v>0.96261896571494099</c:v>
                </c:pt>
                <c:pt idx="6">
                  <c:v>0.9424377938309827</c:v>
                </c:pt>
                <c:pt idx="7">
                  <c:v>0.9131980277491113</c:v>
                </c:pt>
                <c:pt idx="8">
                  <c:v>0.85987845430569887</c:v>
                </c:pt>
                <c:pt idx="9">
                  <c:v>0.61392042196995755</c:v>
                </c:pt>
                <c:pt idx="10" formatCode="General">
                  <c:v>0</c:v>
                </c:pt>
              </c:numCache>
            </c:numRef>
          </c:yVal>
        </c:ser>
        <c:ser>
          <c:idx val="1"/>
          <c:order val="1"/>
          <c:xVal>
            <c:numRef>
              <c:f>'BT Modelo 2'!$E$78:$E$88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0.50000000000000011</c:v>
                </c:pt>
                <c:pt idx="6">
                  <c:v>0.40000000000000013</c:v>
                </c:pt>
                <c:pt idx="7">
                  <c:v>0.30000000000000016</c:v>
                </c:pt>
                <c:pt idx="8">
                  <c:v>0.20000000000000015</c:v>
                </c:pt>
                <c:pt idx="9">
                  <c:v>0.10000000000000014</c:v>
                </c:pt>
                <c:pt idx="10">
                  <c:v>0</c:v>
                </c:pt>
              </c:numCache>
            </c:numRef>
          </c:xVal>
          <c:yVal>
            <c:numRef>
              <c:f>'BT Modelo 2'!$E$78:$E$88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0.50000000000000011</c:v>
                </c:pt>
                <c:pt idx="6">
                  <c:v>0.40000000000000013</c:v>
                </c:pt>
                <c:pt idx="7">
                  <c:v>0.30000000000000016</c:v>
                </c:pt>
                <c:pt idx="8">
                  <c:v>0.20000000000000015</c:v>
                </c:pt>
                <c:pt idx="9">
                  <c:v>0.10000000000000014</c:v>
                </c:pt>
                <c:pt idx="10">
                  <c:v>0</c:v>
                </c:pt>
              </c:numCache>
            </c:numRef>
          </c:yVal>
        </c:ser>
        <c:axId val="188254080"/>
        <c:axId val="188255616"/>
      </c:scatterChart>
      <c:valAx>
        <c:axId val="188254080"/>
        <c:scaling>
          <c:orientation val="minMax"/>
        </c:scaling>
        <c:axPos val="b"/>
        <c:numFmt formatCode="0.00%" sourceLinked="1"/>
        <c:tickLblPos val="nextTo"/>
        <c:crossAx val="188255616"/>
        <c:crosses val="autoZero"/>
        <c:crossBetween val="midCat"/>
      </c:valAx>
      <c:valAx>
        <c:axId val="188255616"/>
        <c:scaling>
          <c:orientation val="minMax"/>
        </c:scaling>
        <c:axPos val="l"/>
        <c:majorGridlines/>
        <c:numFmt formatCode="0.00%" sourceLinked="1"/>
        <c:tickLblPos val="nextTo"/>
        <c:crossAx val="188254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r>
              <a:rPr lang="es-MX"/>
              <a:t>Distribución de buenos y malos</a:t>
            </a:r>
          </a:p>
        </c:rich>
      </c:tx>
      <c:layout>
        <c:manualLayout>
          <c:xMode val="edge"/>
          <c:yMode val="edge"/>
          <c:x val="0.29431455683424557"/>
          <c:y val="3.41880341880341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76264694378917"/>
          <c:y val="0.20512877584350467"/>
          <c:w val="0.74916449130932161"/>
          <c:h val="0.59829226287688853"/>
        </c:manualLayout>
      </c:layout>
      <c:barChart>
        <c:barDir val="col"/>
        <c:grouping val="clustered"/>
        <c:ser>
          <c:idx val="0"/>
          <c:order val="0"/>
          <c:tx>
            <c:strRef>
              <c:f>'BT Modelo 2  (MUESTRA 20%)'!$D$8:$H$8</c:f>
              <c:strCache>
                <c:ptCount val="1"/>
                <c:pt idx="0">
                  <c:v>Buenos</c:v>
                </c:pt>
              </c:strCache>
            </c:strRef>
          </c:tx>
          <c:spPr>
            <a:solidFill>
              <a:srgbClr val="00FF00"/>
            </a:solidFill>
            <a:ln w="25400">
              <a:noFill/>
            </a:ln>
          </c:spPr>
          <c:cat>
            <c:numRef>
              <c:f>'BT Modelo 2  (MUESTRA 20%)'!$A$10:$A$19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'BT Modelo 2  (MUESTRA 20%)'!$D$10:$D$19</c:f>
              <c:numCache>
                <c:formatCode>_ * #,##0_ ;_ * \-#,##0_ ;_ * "-"??_ ;_ @_ </c:formatCode>
                <c:ptCount val="10"/>
                <c:pt idx="0">
                  <c:v>1565</c:v>
                </c:pt>
                <c:pt idx="1">
                  <c:v>1561</c:v>
                </c:pt>
                <c:pt idx="2">
                  <c:v>1557</c:v>
                </c:pt>
                <c:pt idx="3">
                  <c:v>1558</c:v>
                </c:pt>
                <c:pt idx="4">
                  <c:v>1541</c:v>
                </c:pt>
                <c:pt idx="5">
                  <c:v>1545</c:v>
                </c:pt>
                <c:pt idx="6">
                  <c:v>1501</c:v>
                </c:pt>
                <c:pt idx="7">
                  <c:v>1460</c:v>
                </c:pt>
                <c:pt idx="8">
                  <c:v>1094</c:v>
                </c:pt>
                <c:pt idx="9">
                  <c:v>239</c:v>
                </c:pt>
              </c:numCache>
            </c:numRef>
          </c:val>
        </c:ser>
        <c:ser>
          <c:idx val="1"/>
          <c:order val="1"/>
          <c:tx>
            <c:strRef>
              <c:f>'BT Modelo 2  (MUESTRA 20%)'!$I$8:$M$8</c:f>
              <c:strCache>
                <c:ptCount val="1"/>
                <c:pt idx="0">
                  <c:v>Malos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cat>
            <c:numRef>
              <c:f>'BT Modelo 2  (MUESTRA 20%)'!$A$10:$A$19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'BT Modelo 2  (MUESTRA 20%)'!$I$10:$I$19</c:f>
              <c:numCache>
                <c:formatCode>_ * #,##0_ ;_ * \-#,##0_ ;_ * "-"??_ ;_ @_ </c:formatCode>
                <c:ptCount val="10"/>
                <c:pt idx="0">
                  <c:v>7</c:v>
                </c:pt>
                <c:pt idx="1">
                  <c:v>14</c:v>
                </c:pt>
                <c:pt idx="2">
                  <c:v>10</c:v>
                </c:pt>
                <c:pt idx="3">
                  <c:v>17</c:v>
                </c:pt>
                <c:pt idx="4">
                  <c:v>36</c:v>
                </c:pt>
                <c:pt idx="5">
                  <c:v>29</c:v>
                </c:pt>
                <c:pt idx="6">
                  <c:v>71</c:v>
                </c:pt>
                <c:pt idx="7">
                  <c:v>114</c:v>
                </c:pt>
                <c:pt idx="8">
                  <c:v>479</c:v>
                </c:pt>
                <c:pt idx="9">
                  <c:v>1335</c:v>
                </c:pt>
              </c:numCache>
            </c:numRef>
          </c:val>
        </c:ser>
        <c:gapWidth val="0"/>
        <c:axId val="188859520"/>
        <c:axId val="188861824"/>
      </c:barChart>
      <c:lineChart>
        <c:grouping val="standard"/>
        <c:ser>
          <c:idx val="2"/>
          <c:order val="2"/>
          <c:tx>
            <c:v>Odds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CC00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'Modelo 1'!#REF!</c:f>
            </c:multiLvlStrRef>
          </c:cat>
          <c:val>
            <c:numRef>
              <c:f>'BT Modelo 2  (MUESTRA 20%)'!$P$10:$P$19</c:f>
              <c:numCache>
                <c:formatCode>_ * #,##0.00_ ;_ * \-#,##0.00_ ;_ * "-"??_ ;_ @_ </c:formatCode>
                <c:ptCount val="10"/>
                <c:pt idx="0">
                  <c:v>223.57142857142858</c:v>
                </c:pt>
                <c:pt idx="1">
                  <c:v>111.5</c:v>
                </c:pt>
                <c:pt idx="2">
                  <c:v>155.69999999999999</c:v>
                </c:pt>
                <c:pt idx="3">
                  <c:v>91.647058823529406</c:v>
                </c:pt>
                <c:pt idx="4">
                  <c:v>42.805555555555557</c:v>
                </c:pt>
                <c:pt idx="5">
                  <c:v>53.275862068965516</c:v>
                </c:pt>
                <c:pt idx="6">
                  <c:v>21.140845070422536</c:v>
                </c:pt>
                <c:pt idx="7">
                  <c:v>12.807017543859649</c:v>
                </c:pt>
                <c:pt idx="8">
                  <c:v>2.2839248434237995</c:v>
                </c:pt>
                <c:pt idx="9">
                  <c:v>0.17902621722846443</c:v>
                </c:pt>
              </c:numCache>
            </c:numRef>
          </c:val>
        </c:ser>
        <c:marker val="1"/>
        <c:axId val="189427712"/>
        <c:axId val="189429248"/>
      </c:lineChart>
      <c:catAx>
        <c:axId val="1888595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endParaRPr lang="es-MX"/>
          </a:p>
        </c:txPr>
        <c:crossAx val="188861824"/>
        <c:crosses val="autoZero"/>
        <c:auto val="1"/>
        <c:lblAlgn val="ctr"/>
        <c:lblOffset val="100"/>
        <c:tickLblSkip val="1"/>
        <c:tickMarkSkip val="1"/>
      </c:catAx>
      <c:valAx>
        <c:axId val="1888618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Folio Bk BT"/>
                    <a:ea typeface="Folio Bk BT"/>
                    <a:cs typeface="Folio Bk BT"/>
                  </a:defRPr>
                </a:pPr>
                <a:r>
                  <a:rPr lang="es-MX"/>
                  <a:t># clientes</a:t>
                </a:r>
              </a:p>
            </c:rich>
          </c:tx>
          <c:layout>
            <c:manualLayout>
              <c:xMode val="edge"/>
              <c:yMode val="edge"/>
              <c:x val="3.1772575250836141E-2"/>
              <c:y val="0.40171059814104432"/>
            </c:manualLayout>
          </c:layout>
          <c:spPr>
            <a:noFill/>
            <a:ln w="25400">
              <a:noFill/>
            </a:ln>
          </c:spPr>
        </c:title>
        <c:numFmt formatCode="_ * #,##0_ ;_ * \-#,##0_ ;_ * &quot;-&quot;??_ ;_ @_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endParaRPr lang="es-MX"/>
          </a:p>
        </c:txPr>
        <c:crossAx val="188859520"/>
        <c:crosses val="autoZero"/>
        <c:crossBetween val="between"/>
      </c:valAx>
      <c:catAx>
        <c:axId val="189427712"/>
        <c:scaling>
          <c:orientation val="minMax"/>
        </c:scaling>
        <c:delete val="1"/>
        <c:axPos val="b"/>
        <c:numFmt formatCode="General" sourceLinked="1"/>
        <c:tickLblPos val="nextTo"/>
        <c:crossAx val="189429248"/>
        <c:crosses val="autoZero"/>
        <c:auto val="1"/>
        <c:lblAlgn val="ctr"/>
        <c:lblOffset val="100"/>
      </c:catAx>
      <c:valAx>
        <c:axId val="189429248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Folio Bk BT"/>
                    <a:ea typeface="Folio Bk BT"/>
                    <a:cs typeface="Folio Bk BT"/>
                  </a:defRPr>
                </a:pPr>
                <a:r>
                  <a:rPr lang="es-MX"/>
                  <a:t># buenos/malos</a:t>
                </a:r>
              </a:p>
            </c:rich>
          </c:tx>
          <c:layout>
            <c:manualLayout>
              <c:xMode val="edge"/>
              <c:yMode val="edge"/>
              <c:x val="0.9314388293436564"/>
              <c:y val="0.34188123920407687"/>
            </c:manualLayout>
          </c:layout>
          <c:spPr>
            <a:noFill/>
            <a:ln w="25400">
              <a:noFill/>
            </a:ln>
          </c:spPr>
        </c:title>
        <c:numFmt formatCode="_ * #,##0.0_ ;_ * \-#,##0.0_ ;_ * &quot;-&quot;??_ ;_ @_ 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endParaRPr lang="es-MX"/>
          </a:p>
        </c:txPr>
        <c:crossAx val="189427712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076924832556503"/>
          <c:y val="0.125356424464036"/>
          <c:w val="0.36287660530728466"/>
          <c:h val="6.2678361785973316E-2"/>
        </c:manualLayout>
      </c:layout>
      <c:spPr>
        <a:noFill/>
        <a:ln w="3175">
          <a:solidFill>
            <a:srgbClr val="C0C0C0"/>
          </a:solidFill>
          <a:prstDash val="sysDash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Folio Bk BT"/>
              <a:ea typeface="Folio Bk BT"/>
              <a:cs typeface="Folio Bk BT"/>
            </a:defRPr>
          </a:pPr>
          <a:endParaRPr lang="es-MX"/>
        </a:p>
      </c:txPr>
    </c:legend>
    <c:plotVisOnly val="1"/>
    <c:dispBlanksAs val="gap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Folio Bk BT"/>
          <a:ea typeface="Folio Bk BT"/>
          <a:cs typeface="Folio Bk BT"/>
        </a:defRPr>
      </a:pPr>
      <a:endParaRPr lang="es-MX"/>
    </a:p>
  </c:txPr>
  <c:printSettings>
    <c:headerFooter alignWithMargins="0"/>
    <c:pageMargins b="1" l="0.75000000000000344" r="0.75000000000000344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r>
              <a:rPr lang="es-MX"/>
              <a:t>Distribución acumulada de buenos y malos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'BT Modelo 2  (MUESTRA 20%)'!$D$8:$H$8</c:f>
              <c:strCache>
                <c:ptCount val="1"/>
                <c:pt idx="0">
                  <c:v>Buenos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'BT Modelo 2  (MUESTRA 20%)'!$A$10:$A$19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'BT Modelo 2  (MUESTRA 20%)'!$G$10:$G$19</c:f>
              <c:numCache>
                <c:formatCode>0.00%</c:formatCode>
                <c:ptCount val="10"/>
                <c:pt idx="0">
                  <c:v>0.11489611629102121</c:v>
                </c:pt>
                <c:pt idx="1">
                  <c:v>0.22949856838704941</c:v>
                </c:pt>
                <c:pt idx="2">
                  <c:v>0.34380735628808456</c:v>
                </c:pt>
                <c:pt idx="3">
                  <c:v>0.458189560237868</c:v>
                </c:pt>
                <c:pt idx="4">
                  <c:v>0.57132369135893102</c:v>
                </c:pt>
                <c:pt idx="5">
                  <c:v>0.68475148667498709</c:v>
                </c:pt>
                <c:pt idx="6">
                  <c:v>0.7949489758461199</c:v>
                </c:pt>
                <c:pt idx="7">
                  <c:v>0.90213640701857423</c:v>
                </c:pt>
                <c:pt idx="8">
                  <c:v>0.98245356434916675</c:v>
                </c:pt>
                <c:pt idx="9">
                  <c:v>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'BT Modelo 2  (MUESTRA 20%)'!$I$8:$M$8</c:f>
              <c:strCache>
                <c:ptCount val="1"/>
                <c:pt idx="0">
                  <c:v>Malos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'BT Modelo 2  (MUESTRA 20%)'!$A$10:$A$19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'BT Modelo 2  (MUESTRA 20%)'!$L$10:$L$19</c:f>
              <c:numCache>
                <c:formatCode>0.00%</c:formatCode>
                <c:ptCount val="10"/>
                <c:pt idx="0">
                  <c:v>3.3143939393939395E-3</c:v>
                </c:pt>
                <c:pt idx="1">
                  <c:v>9.943181818181818E-3</c:v>
                </c:pt>
                <c:pt idx="2">
                  <c:v>1.4678030303030304E-2</c:v>
                </c:pt>
                <c:pt idx="3">
                  <c:v>2.2727272727272728E-2</c:v>
                </c:pt>
                <c:pt idx="4">
                  <c:v>3.9772727272727272E-2</c:v>
                </c:pt>
                <c:pt idx="5">
                  <c:v>5.350378787878788E-2</c:v>
                </c:pt>
                <c:pt idx="6">
                  <c:v>8.7121212121212127E-2</c:v>
                </c:pt>
                <c:pt idx="7">
                  <c:v>0.14109848484848486</c:v>
                </c:pt>
                <c:pt idx="8">
                  <c:v>0.36789772727272729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'BT Modelo 2  (MUESTRA 20%)'!$R$8</c:f>
              <c:strCache>
                <c:ptCount val="1"/>
                <c:pt idx="0">
                  <c:v>K-S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FF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'BT Modelo 2  (MUESTRA 20%)'!$A$10:$A$19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'BT Modelo 2  (MUESTRA 20%)'!$R$10:$R$19</c:f>
              <c:numCache>
                <c:formatCode>0.00%</c:formatCode>
                <c:ptCount val="10"/>
                <c:pt idx="0">
                  <c:v>0.11158172235162728</c:v>
                </c:pt>
                <c:pt idx="1">
                  <c:v>0.21955538656886758</c:v>
                </c:pt>
                <c:pt idx="2">
                  <c:v>0.32912932598505429</c:v>
                </c:pt>
                <c:pt idx="3">
                  <c:v>0.43546228751059529</c:v>
                </c:pt>
                <c:pt idx="4">
                  <c:v>0.53155096408620373</c:v>
                </c:pt>
                <c:pt idx="5">
                  <c:v>0.63124769879619924</c:v>
                </c:pt>
                <c:pt idx="6">
                  <c:v>0.70782776372490774</c:v>
                </c:pt>
                <c:pt idx="7">
                  <c:v>0.76103792217008936</c:v>
                </c:pt>
                <c:pt idx="8">
                  <c:v>0.61455583707643946</c:v>
                </c:pt>
                <c:pt idx="9">
                  <c:v>0</c:v>
                </c:pt>
              </c:numCache>
            </c:numRef>
          </c:val>
          <c:smooth val="1"/>
        </c:ser>
        <c:marker val="1"/>
        <c:axId val="189766656"/>
        <c:axId val="189768832"/>
      </c:lineChart>
      <c:catAx>
        <c:axId val="18976665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endParaRPr lang="es-MX"/>
          </a:p>
        </c:txPr>
        <c:crossAx val="189768832"/>
        <c:crosses val="autoZero"/>
        <c:auto val="1"/>
        <c:lblAlgn val="ctr"/>
        <c:lblOffset val="100"/>
        <c:tickLblSkip val="1"/>
        <c:tickMarkSkip val="1"/>
      </c:catAx>
      <c:valAx>
        <c:axId val="189768832"/>
        <c:scaling>
          <c:orientation val="minMax"/>
          <c:max val="1"/>
        </c:scaling>
        <c:axPos val="l"/>
        <c:majorGridlines/>
        <c:numFmt formatCode="0%" sourceLinked="0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endParaRPr lang="es-MX"/>
          </a:p>
        </c:txPr>
        <c:crossAx val="189766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noFill/>
        <a:ln w="3175">
          <a:solidFill>
            <a:srgbClr val="C0C0C0"/>
          </a:solidFill>
          <a:prstDash val="sysDash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Folio Bk BT"/>
              <a:ea typeface="Folio Bk BT"/>
              <a:cs typeface="Folio Bk BT"/>
            </a:defRPr>
          </a:pPr>
          <a:endParaRPr lang="es-MX"/>
        </a:p>
      </c:txPr>
    </c:legend>
    <c:plotVisOnly val="1"/>
    <c:dispBlanksAs val="gap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Folio Bk BT"/>
          <a:ea typeface="Folio Bk BT"/>
          <a:cs typeface="Folio Bk BT"/>
        </a:defRPr>
      </a:pPr>
      <a:endParaRPr lang="es-MX"/>
    </a:p>
  </c:txPr>
  <c:printSettings>
    <c:headerFooter alignWithMargins="0"/>
    <c:pageMargins b="1" l="0.75000000000000344" r="0.75000000000000344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r>
              <a:rPr lang="es-MX"/>
              <a:t>% de fila de buenos y malos</a:t>
            </a:r>
          </a:p>
        </c:rich>
      </c:tx>
      <c:layout>
        <c:manualLayout>
          <c:xMode val="edge"/>
          <c:yMode val="edge"/>
          <c:x val="0.31886477462437768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025041736227182"/>
          <c:y val="0.20113314447592182"/>
          <c:w val="0.81969949916528051"/>
          <c:h val="0.52124645892351273"/>
        </c:manualLayout>
      </c:layout>
      <c:barChart>
        <c:barDir val="col"/>
        <c:grouping val="stacked"/>
        <c:ser>
          <c:idx val="0"/>
          <c:order val="0"/>
          <c:tx>
            <c:strRef>
              <c:f>'BT Modelo 2  (MUESTRA 20%)'!$D$8:$H$8</c:f>
              <c:strCache>
                <c:ptCount val="1"/>
                <c:pt idx="0">
                  <c:v>Buenos</c:v>
                </c:pt>
              </c:strCache>
            </c:strRef>
          </c:tx>
          <c:spPr>
            <a:solidFill>
              <a:srgbClr val="00FF00"/>
            </a:solidFill>
            <a:ln w="25400">
              <a:solidFill>
                <a:srgbClr val="00FF00"/>
              </a:solidFill>
              <a:prstDash val="solid"/>
            </a:ln>
          </c:spPr>
          <c:cat>
            <c:multiLvlStrRef>
              <c:f>'Modelo 1'!#REF!</c:f>
            </c:multiLvlStrRef>
          </c:cat>
          <c:val>
            <c:numRef>
              <c:f>'BT Modelo 2  (MUESTRA 20%)'!$E$10:$E$19</c:f>
              <c:numCache>
                <c:formatCode>0.0%</c:formatCode>
                <c:ptCount val="10"/>
                <c:pt idx="0">
                  <c:v>0.99554707379134855</c:v>
                </c:pt>
                <c:pt idx="1">
                  <c:v>0.99111111111111116</c:v>
                </c:pt>
                <c:pt idx="2">
                  <c:v>0.99361837906828332</c:v>
                </c:pt>
                <c:pt idx="3">
                  <c:v>0.9892063492063492</c:v>
                </c:pt>
                <c:pt idx="4">
                  <c:v>0.97717184527584022</c:v>
                </c:pt>
                <c:pt idx="5">
                  <c:v>0.98157560355781448</c:v>
                </c:pt>
                <c:pt idx="6">
                  <c:v>0.9548346055979644</c:v>
                </c:pt>
                <c:pt idx="7">
                  <c:v>0.92757306226175351</c:v>
                </c:pt>
                <c:pt idx="8">
                  <c:v>0.69548633184996822</c:v>
                </c:pt>
                <c:pt idx="9">
                  <c:v>0.15184243964421856</c:v>
                </c:pt>
              </c:numCache>
            </c:numRef>
          </c:val>
        </c:ser>
        <c:ser>
          <c:idx val="1"/>
          <c:order val="1"/>
          <c:tx>
            <c:strRef>
              <c:f>'BT Modelo 2  (MUESTRA 20%)'!$I$8:$M$8</c:f>
              <c:strCache>
                <c:ptCount val="1"/>
                <c:pt idx="0">
                  <c:v>Malos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rgbClr val="FF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Folio Bk BT"/>
                    <a:ea typeface="Folio Bk BT"/>
                    <a:cs typeface="Folio Bk BT"/>
                  </a:defRPr>
                </a:pPr>
                <a:endParaRPr lang="es-MX"/>
              </a:p>
            </c:txPr>
            <c:dLblPos val="ctr"/>
            <c:showVal val="1"/>
          </c:dLbls>
          <c:cat>
            <c:multiLvlStrRef>
              <c:f>'Modelo 1'!#REF!</c:f>
            </c:multiLvlStrRef>
          </c:cat>
          <c:val>
            <c:numRef>
              <c:f>'BT Modelo 2  (MUESTRA 20%)'!$J$10:$J$19</c:f>
              <c:numCache>
                <c:formatCode>0.0%</c:formatCode>
                <c:ptCount val="10"/>
                <c:pt idx="0">
                  <c:v>4.4529262086513994E-3</c:v>
                </c:pt>
                <c:pt idx="1">
                  <c:v>8.8888888888888889E-3</c:v>
                </c:pt>
                <c:pt idx="2">
                  <c:v>6.3816209317166563E-3</c:v>
                </c:pt>
                <c:pt idx="3">
                  <c:v>1.0793650793650795E-2</c:v>
                </c:pt>
                <c:pt idx="4">
                  <c:v>2.2828154724159798E-2</c:v>
                </c:pt>
                <c:pt idx="5">
                  <c:v>1.8424396442185513E-2</c:v>
                </c:pt>
                <c:pt idx="6">
                  <c:v>4.5165394402035625E-2</c:v>
                </c:pt>
                <c:pt idx="7">
                  <c:v>7.2426937738246502E-2</c:v>
                </c:pt>
                <c:pt idx="8">
                  <c:v>0.30451366815003178</c:v>
                </c:pt>
                <c:pt idx="9">
                  <c:v>0.84815756035578149</c:v>
                </c:pt>
              </c:numCache>
            </c:numRef>
          </c:val>
        </c:ser>
        <c:gapWidth val="20"/>
        <c:overlap val="100"/>
        <c:axId val="190540800"/>
        <c:axId val="190763776"/>
      </c:barChart>
      <c:catAx>
        <c:axId val="1905408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endParaRPr lang="es-MX"/>
          </a:p>
        </c:txPr>
        <c:crossAx val="190763776"/>
        <c:crosses val="autoZero"/>
        <c:auto val="1"/>
        <c:lblAlgn val="ctr"/>
        <c:lblOffset val="100"/>
        <c:tickLblSkip val="1"/>
        <c:tickMarkSkip val="1"/>
      </c:catAx>
      <c:valAx>
        <c:axId val="190763776"/>
        <c:scaling>
          <c:orientation val="minMax"/>
          <c:max val="1"/>
          <c:min val="0.5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Folio Bk BT"/>
                    <a:ea typeface="Folio Bk BT"/>
                    <a:cs typeface="Folio Bk BT"/>
                  </a:defRPr>
                </a:pPr>
                <a:r>
                  <a:rPr lang="es-MX"/>
                  <a:t># clientes</a:t>
                </a:r>
              </a:p>
            </c:rich>
          </c:tx>
          <c:layout>
            <c:manualLayout>
              <c:xMode val="edge"/>
              <c:yMode val="edge"/>
              <c:x val="3.1719532554257093E-2"/>
              <c:y val="0.35977337110481916"/>
            </c:manualLayout>
          </c:layout>
          <c:spPr>
            <a:noFill/>
            <a:ln w="25400">
              <a:noFill/>
            </a:ln>
          </c:spPr>
        </c:title>
        <c:numFmt formatCode="0.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endParaRPr lang="es-MX"/>
          </a:p>
        </c:txPr>
        <c:crossAx val="190540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7729549248747912"/>
          <c:y val="0.11048158640226605"/>
          <c:w val="0.2537562604340568"/>
          <c:h val="6.2322946175637432E-2"/>
        </c:manualLayout>
      </c:layout>
      <c:spPr>
        <a:noFill/>
        <a:ln w="3175">
          <a:solidFill>
            <a:srgbClr val="C0C0C0"/>
          </a:solidFill>
          <a:prstDash val="sysDash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Folio Bk BT"/>
              <a:ea typeface="Folio Bk BT"/>
              <a:cs typeface="Folio Bk BT"/>
            </a:defRPr>
          </a:pPr>
          <a:endParaRPr lang="es-MX"/>
        </a:p>
      </c:txPr>
    </c:legend>
    <c:plotVisOnly val="1"/>
    <c:dispBlanksAs val="gap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Folio Bk BT"/>
          <a:ea typeface="Folio Bk BT"/>
          <a:cs typeface="Folio Bk BT"/>
        </a:defRPr>
      </a:pPr>
      <a:endParaRPr lang="es-MX"/>
    </a:p>
  </c:txPr>
  <c:printSettings>
    <c:headerFooter alignWithMargins="0"/>
    <c:pageMargins b="1" l="0.75000000000000344" r="0.75000000000000344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r>
              <a:rPr lang="es-MX"/>
              <a:t>Odds</a:t>
            </a:r>
          </a:p>
        </c:rich>
      </c:tx>
      <c:layout>
        <c:manualLayout>
          <c:xMode val="edge"/>
          <c:yMode val="edge"/>
          <c:x val="0.44444512068841624"/>
          <c:y val="3.682719546742241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077313678344094"/>
          <c:y val="0.20113314447592182"/>
          <c:w val="0.85024288295541961"/>
          <c:h val="0.5382436260623229"/>
        </c:manualLayout>
      </c:layout>
      <c:lineChart>
        <c:grouping val="standard"/>
        <c:ser>
          <c:idx val="1"/>
          <c:order val="0"/>
          <c:tx>
            <c:strRef>
              <c:f>'BT Modelo 2  (MUESTRA 20%)'!$Q$9</c:f>
              <c:strCache>
                <c:ptCount val="1"/>
                <c:pt idx="0">
                  <c:v># acum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925" b="0" i="0" u="none" strike="noStrike" baseline="0">
                    <a:solidFill>
                      <a:srgbClr val="000000"/>
                    </a:solidFill>
                    <a:latin typeface="Folio Bk BT"/>
                    <a:ea typeface="Folio Bk BT"/>
                    <a:cs typeface="Folio Bk BT"/>
                  </a:defRPr>
                </a:pPr>
                <a:endParaRPr lang="es-MX"/>
              </a:p>
            </c:txPr>
            <c:dLblPos val="t"/>
            <c:showVal val="1"/>
          </c:dLbls>
          <c:cat>
            <c:multiLvlStrRef>
              <c:f>'Modelo 1'!#REF!</c:f>
            </c:multiLvlStrRef>
          </c:cat>
          <c:val>
            <c:numRef>
              <c:f>'BT Modelo 2  (MUESTRA 20%)'!$Q$10:$Q$19</c:f>
              <c:numCache>
                <c:formatCode>_ * #,##0.00_ ;_ * \-#,##0.00_ ;_ * "-"??_ ;_ @_ </c:formatCode>
                <c:ptCount val="10"/>
                <c:pt idx="0">
                  <c:v>223.57142857142858</c:v>
                </c:pt>
                <c:pt idx="1">
                  <c:v>148.85714285714286</c:v>
                </c:pt>
                <c:pt idx="2">
                  <c:v>151.06451612903226</c:v>
                </c:pt>
                <c:pt idx="3">
                  <c:v>130.02083333333334</c:v>
                </c:pt>
                <c:pt idx="4">
                  <c:v>92.642857142857139</c:v>
                </c:pt>
                <c:pt idx="5">
                  <c:v>82.539823008849552</c:v>
                </c:pt>
                <c:pt idx="6">
                  <c:v>58.847826086956523</c:v>
                </c:pt>
                <c:pt idx="7">
                  <c:v>41.234899328859058</c:v>
                </c:pt>
                <c:pt idx="8">
                  <c:v>17.222651222651223</c:v>
                </c:pt>
                <c:pt idx="9">
                  <c:v>6.4493371212121211</c:v>
                </c:pt>
              </c:numCache>
            </c:numRef>
          </c:val>
        </c:ser>
        <c:marker val="1"/>
        <c:axId val="192943616"/>
        <c:axId val="192945536"/>
      </c:lineChart>
      <c:catAx>
        <c:axId val="192943616"/>
        <c:scaling>
          <c:orientation val="minMax"/>
        </c:scaling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endParaRPr lang="es-MX"/>
          </a:p>
        </c:txPr>
        <c:crossAx val="192945536"/>
        <c:crosses val="autoZero"/>
        <c:auto val="1"/>
        <c:lblAlgn val="ctr"/>
        <c:lblOffset val="100"/>
        <c:tickLblSkip val="1"/>
        <c:tickMarkSkip val="1"/>
      </c:catAx>
      <c:valAx>
        <c:axId val="19294553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Folio Bk BT"/>
                    <a:ea typeface="Folio Bk BT"/>
                    <a:cs typeface="Folio Bk BT"/>
                  </a:defRPr>
                </a:pPr>
                <a:r>
                  <a:rPr lang="es-MX"/>
                  <a:t># clientes</a:t>
                </a:r>
              </a:p>
            </c:rich>
          </c:tx>
          <c:layout>
            <c:manualLayout>
              <c:xMode val="edge"/>
              <c:yMode val="edge"/>
              <c:x val="3.0595813204508857E-2"/>
              <c:y val="0.36827195467422097"/>
            </c:manualLayout>
          </c:layout>
          <c:spPr>
            <a:noFill/>
            <a:ln w="25400">
              <a:noFill/>
            </a:ln>
          </c:spPr>
        </c:title>
        <c:numFmt formatCode="_ * #,##0.0_ ;_ * \-#,##0.0_ ;_ * &quot;-&quot;??_ ;_ @_ 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Folio Bk BT"/>
                <a:ea typeface="Folio Bk BT"/>
                <a:cs typeface="Folio Bk BT"/>
              </a:defRPr>
            </a:pPr>
            <a:endParaRPr lang="es-MX"/>
          </a:p>
        </c:txPr>
        <c:crossAx val="192943616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8003288236313482"/>
          <c:y val="0.11048158640226605"/>
          <c:w val="0.24476684375805691"/>
          <c:h val="6.2322946175637432E-2"/>
        </c:manualLayout>
      </c:layout>
      <c:spPr>
        <a:noFill/>
        <a:ln w="3175">
          <a:solidFill>
            <a:srgbClr val="C0C0C0"/>
          </a:solidFill>
          <a:prstDash val="sysDash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Folio Bk BT"/>
              <a:ea typeface="Folio Bk BT"/>
              <a:cs typeface="Folio Bk BT"/>
            </a:defRPr>
          </a:pPr>
          <a:endParaRPr lang="es-MX"/>
        </a:p>
      </c:txPr>
    </c:legend>
    <c:plotVisOnly val="1"/>
    <c:dispBlanksAs val="gap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Folio Bk BT"/>
          <a:ea typeface="Folio Bk BT"/>
          <a:cs typeface="Folio Bk BT"/>
        </a:defRPr>
      </a:pPr>
      <a:endParaRPr lang="es-MX"/>
    </a:p>
  </c:txPr>
  <c:printSettings>
    <c:headerFooter alignWithMargins="0"/>
    <c:pageMargins b="1" l="0.75000000000000344" r="0.75000000000000344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emf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1.emf"/><Relationship Id="rId4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85723</xdr:colOff>
      <xdr:row>22</xdr:row>
      <xdr:rowOff>66675</xdr:rowOff>
    </xdr:from>
    <xdr:to>
      <xdr:col>10</xdr:col>
      <xdr:colOff>485214</xdr:colOff>
      <xdr:row>45</xdr:row>
      <xdr:rowOff>58381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67234</xdr:colOff>
      <xdr:row>22</xdr:row>
      <xdr:rowOff>114300</xdr:rowOff>
    </xdr:from>
    <xdr:to>
      <xdr:col>22</xdr:col>
      <xdr:colOff>0</xdr:colOff>
      <xdr:row>45</xdr:row>
      <xdr:rowOff>106006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46</xdr:row>
      <xdr:rowOff>134471</xdr:rowOff>
    </xdr:from>
    <xdr:to>
      <xdr:col>10</xdr:col>
      <xdr:colOff>504264</xdr:colOff>
      <xdr:row>69</xdr:row>
      <xdr:rowOff>126176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44824</xdr:colOff>
      <xdr:row>46</xdr:row>
      <xdr:rowOff>123265</xdr:rowOff>
    </xdr:from>
    <xdr:to>
      <xdr:col>22</xdr:col>
      <xdr:colOff>0</xdr:colOff>
      <xdr:row>69</xdr:row>
      <xdr:rowOff>114970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142875</xdr:colOff>
      <xdr:row>75</xdr:row>
      <xdr:rowOff>104775</xdr:rowOff>
    </xdr:from>
    <xdr:to>
      <xdr:col>14</xdr:col>
      <xdr:colOff>85725</xdr:colOff>
      <xdr:row>92</xdr:row>
      <xdr:rowOff>95250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9525</xdr:colOff>
      <xdr:row>8</xdr:row>
      <xdr:rowOff>57151</xdr:rowOff>
    </xdr:from>
    <xdr:to>
      <xdr:col>24</xdr:col>
      <xdr:colOff>727978</xdr:colOff>
      <xdr:row>8</xdr:row>
      <xdr:rowOff>247650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3725525" y="1485901"/>
          <a:ext cx="718453" cy="19049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85723</xdr:colOff>
      <xdr:row>22</xdr:row>
      <xdr:rowOff>104775</xdr:rowOff>
    </xdr:from>
    <xdr:to>
      <xdr:col>10</xdr:col>
      <xdr:colOff>523314</xdr:colOff>
      <xdr:row>45</xdr:row>
      <xdr:rowOff>96481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67234</xdr:colOff>
      <xdr:row>22</xdr:row>
      <xdr:rowOff>114300</xdr:rowOff>
    </xdr:from>
    <xdr:to>
      <xdr:col>21</xdr:col>
      <xdr:colOff>145675</xdr:colOff>
      <xdr:row>45</xdr:row>
      <xdr:rowOff>106006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46</xdr:row>
      <xdr:rowOff>134471</xdr:rowOff>
    </xdr:from>
    <xdr:to>
      <xdr:col>10</xdr:col>
      <xdr:colOff>504264</xdr:colOff>
      <xdr:row>69</xdr:row>
      <xdr:rowOff>126176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44824</xdr:colOff>
      <xdr:row>46</xdr:row>
      <xdr:rowOff>123265</xdr:rowOff>
    </xdr:from>
    <xdr:to>
      <xdr:col>22</xdr:col>
      <xdr:colOff>0</xdr:colOff>
      <xdr:row>69</xdr:row>
      <xdr:rowOff>114970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9525</xdr:colOff>
      <xdr:row>8</xdr:row>
      <xdr:rowOff>57151</xdr:rowOff>
    </xdr:from>
    <xdr:to>
      <xdr:col>24</xdr:col>
      <xdr:colOff>727978</xdr:colOff>
      <xdr:row>8</xdr:row>
      <xdr:rowOff>247650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725525" y="1485901"/>
          <a:ext cx="718453" cy="19049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L29"/>
  <sheetViews>
    <sheetView showGridLines="0" zoomScaleNormal="100" workbookViewId="0">
      <selection activeCell="A6" sqref="A6"/>
    </sheetView>
  </sheetViews>
  <sheetFormatPr baseColWidth="10" defaultRowHeight="12.75"/>
  <cols>
    <col min="1" max="16384" width="11.42578125" style="47"/>
  </cols>
  <sheetData>
    <row r="1" spans="1:6" ht="15.75">
      <c r="A1" s="46" t="s">
        <v>28</v>
      </c>
    </row>
    <row r="3" spans="1:6">
      <c r="A3" s="48" t="s">
        <v>29</v>
      </c>
    </row>
    <row r="4" spans="1:6" s="50" customFormat="1">
      <c r="A4" s="49" t="s">
        <v>30</v>
      </c>
      <c r="B4" s="49"/>
      <c r="C4" s="49"/>
      <c r="D4" s="49"/>
      <c r="E4" s="49"/>
      <c r="F4" s="49"/>
    </row>
    <row r="5" spans="1:6" s="50" customFormat="1">
      <c r="A5" s="51" t="s">
        <v>68</v>
      </c>
      <c r="B5" s="51"/>
      <c r="C5" s="51"/>
      <c r="D5" s="51"/>
      <c r="E5" s="51"/>
      <c r="F5" s="51"/>
    </row>
    <row r="6" spans="1:6" s="50" customFormat="1">
      <c r="A6" s="52" t="s">
        <v>31</v>
      </c>
      <c r="B6" s="52"/>
      <c r="C6" s="52"/>
      <c r="D6" s="52"/>
      <c r="E6" s="52"/>
      <c r="F6" s="52"/>
    </row>
    <row r="8" spans="1:6">
      <c r="A8" s="48" t="s">
        <v>32</v>
      </c>
    </row>
    <row r="9" spans="1:6">
      <c r="A9" s="53" t="s">
        <v>33</v>
      </c>
      <c r="D9" s="47" t="s">
        <v>38</v>
      </c>
      <c r="E9" s="54">
        <f>+'BT Modelo 2'!R20</f>
        <v>0.76460656087918644</v>
      </c>
    </row>
    <row r="10" spans="1:6">
      <c r="A10" s="53" t="s">
        <v>34</v>
      </c>
      <c r="D10" s="47" t="s">
        <v>39</v>
      </c>
      <c r="E10" s="54">
        <f>+'BT Modelo 2'!U20</f>
        <v>0.86810629360540315</v>
      </c>
    </row>
    <row r="12" spans="1:6">
      <c r="A12" s="48" t="s">
        <v>35</v>
      </c>
    </row>
    <row r="13" spans="1:6">
      <c r="A13" s="53" t="s">
        <v>36</v>
      </c>
    </row>
    <row r="14" spans="1:6">
      <c r="A14" s="53" t="s">
        <v>37</v>
      </c>
    </row>
    <row r="17" spans="1:12" ht="15">
      <c r="A17" s="60" t="s">
        <v>44</v>
      </c>
      <c r="B17"/>
      <c r="C17" s="55"/>
      <c r="D17"/>
      <c r="E17"/>
      <c r="F17" s="55"/>
    </row>
    <row r="18" spans="1:12" ht="15">
      <c r="A18"/>
      <c r="B18"/>
      <c r="C18" s="55"/>
      <c r="D18" s="59"/>
      <c r="E18"/>
      <c r="F18" s="55"/>
    </row>
    <row r="19" spans="1:12" ht="15">
      <c r="A19" s="56"/>
      <c r="B19" s="56" t="s">
        <v>43</v>
      </c>
      <c r="C19" s="57" t="s">
        <v>9</v>
      </c>
      <c r="D19" s="56" t="s">
        <v>42</v>
      </c>
      <c r="E19" s="56" t="s">
        <v>41</v>
      </c>
      <c r="F19" s="57" t="s">
        <v>40</v>
      </c>
    </row>
    <row r="20" spans="1:12" ht="15">
      <c r="A20" s="56">
        <v>1</v>
      </c>
      <c r="B20" s="63">
        <v>6342</v>
      </c>
      <c r="C20" s="63">
        <v>24</v>
      </c>
      <c r="D20" s="58"/>
      <c r="E20" s="58">
        <f t="shared" ref="E20:E29" si="0">+B20+C20+D20</f>
        <v>6366</v>
      </c>
      <c r="F20" s="57">
        <f t="shared" ref="F20:F29" si="1">+C20/E20</f>
        <v>3.770028275212064E-3</v>
      </c>
      <c r="I20" s="47">
        <v>1</v>
      </c>
      <c r="J20" s="47">
        <f>+SUM(B20:B21)</f>
        <v>12673</v>
      </c>
      <c r="K20" s="47">
        <f>+SUM(C20:C21)</f>
        <v>61</v>
      </c>
      <c r="L20" s="71">
        <f>+K20/(J20+K20)</f>
        <v>4.7903251138683841E-3</v>
      </c>
    </row>
    <row r="21" spans="1:12" ht="15">
      <c r="A21" s="56">
        <v>2</v>
      </c>
      <c r="B21" s="64">
        <v>6331</v>
      </c>
      <c r="C21" s="65">
        <v>37</v>
      </c>
      <c r="D21" s="58"/>
      <c r="E21" s="58">
        <f t="shared" si="0"/>
        <v>6368</v>
      </c>
      <c r="F21" s="57">
        <f t="shared" si="1"/>
        <v>5.8103015075376884E-3</v>
      </c>
      <c r="I21" s="47">
        <v>2</v>
      </c>
      <c r="J21" s="47">
        <f>+SUM(B22:B23)</f>
        <v>12599</v>
      </c>
      <c r="K21" s="47">
        <f>+SUM(C22:C23)</f>
        <v>136</v>
      </c>
      <c r="L21" s="71">
        <f t="shared" ref="L21:L24" si="2">+K21/(J21+K21)</f>
        <v>1.0679230467216333E-2</v>
      </c>
    </row>
    <row r="22" spans="1:12" ht="15">
      <c r="A22" s="56">
        <v>3</v>
      </c>
      <c r="B22" s="64">
        <v>6279</v>
      </c>
      <c r="C22" s="65">
        <v>59</v>
      </c>
      <c r="D22" s="58"/>
      <c r="E22" s="58">
        <f t="shared" si="0"/>
        <v>6338</v>
      </c>
      <c r="F22" s="57">
        <f t="shared" si="1"/>
        <v>9.3089302619122748E-3</v>
      </c>
      <c r="I22" s="47">
        <v>3</v>
      </c>
      <c r="J22" s="47">
        <f>+SUM(B24:B25)</f>
        <v>12417</v>
      </c>
      <c r="K22" s="47">
        <f>+SUM(C24:C25)</f>
        <v>305</v>
      </c>
      <c r="L22" s="71">
        <f t="shared" si="2"/>
        <v>2.3974217890268826E-2</v>
      </c>
    </row>
    <row r="23" spans="1:12" ht="15">
      <c r="A23" s="56">
        <v>4</v>
      </c>
      <c r="B23" s="64">
        <v>6320</v>
      </c>
      <c r="C23" s="65">
        <v>77</v>
      </c>
      <c r="D23" s="58"/>
      <c r="E23" s="58">
        <f t="shared" si="0"/>
        <v>6397</v>
      </c>
      <c r="F23" s="57">
        <f t="shared" si="1"/>
        <v>1.2036892293262467E-2</v>
      </c>
      <c r="I23" s="47">
        <v>4</v>
      </c>
      <c r="J23" s="47">
        <f>+SUM(B26:B27)</f>
        <v>12024</v>
      </c>
      <c r="K23" s="47">
        <f>+SUM(C26:C27)</f>
        <v>720</v>
      </c>
      <c r="L23" s="71">
        <f t="shared" si="2"/>
        <v>5.6497175141242938E-2</v>
      </c>
    </row>
    <row r="24" spans="1:12" ht="15">
      <c r="A24" s="56">
        <v>5</v>
      </c>
      <c r="B24" s="64">
        <v>6231</v>
      </c>
      <c r="C24" s="65">
        <v>129</v>
      </c>
      <c r="D24" s="58"/>
      <c r="E24" s="58">
        <f t="shared" si="0"/>
        <v>6360</v>
      </c>
      <c r="F24" s="57">
        <f t="shared" si="1"/>
        <v>2.0283018867924527E-2</v>
      </c>
      <c r="I24" s="47">
        <v>5</v>
      </c>
      <c r="J24" s="47">
        <f>+SUM(B28:B29)</f>
        <v>5235</v>
      </c>
      <c r="K24" s="47">
        <f>+SUM(C28:C29)</f>
        <v>7499</v>
      </c>
      <c r="L24" s="71">
        <f t="shared" si="2"/>
        <v>0.58889586932621329</v>
      </c>
    </row>
    <row r="25" spans="1:12" ht="15">
      <c r="A25" s="56">
        <v>6</v>
      </c>
      <c r="B25" s="64">
        <v>6186</v>
      </c>
      <c r="C25" s="65">
        <v>176</v>
      </c>
      <c r="D25" s="58"/>
      <c r="E25" s="58">
        <f t="shared" si="0"/>
        <v>6362</v>
      </c>
      <c r="F25" s="57">
        <f t="shared" si="1"/>
        <v>2.7664256523105942E-2</v>
      </c>
    </row>
    <row r="26" spans="1:12" ht="15">
      <c r="A26" s="56">
        <v>7</v>
      </c>
      <c r="B26" s="64">
        <v>6122</v>
      </c>
      <c r="C26" s="65">
        <v>255</v>
      </c>
      <c r="D26" s="58"/>
      <c r="E26" s="58">
        <f t="shared" si="0"/>
        <v>6377</v>
      </c>
      <c r="F26" s="57">
        <f t="shared" si="1"/>
        <v>3.9987454916104753E-2</v>
      </c>
    </row>
    <row r="27" spans="1:12" ht="15">
      <c r="A27" s="56">
        <v>8</v>
      </c>
      <c r="B27" s="64">
        <v>5902</v>
      </c>
      <c r="C27" s="65">
        <v>465</v>
      </c>
      <c r="D27" s="58"/>
      <c r="E27" s="58">
        <f t="shared" si="0"/>
        <v>6367</v>
      </c>
      <c r="F27" s="57">
        <f t="shared" si="1"/>
        <v>7.303282550651799E-2</v>
      </c>
    </row>
    <row r="28" spans="1:12" ht="15">
      <c r="A28" s="56">
        <v>9</v>
      </c>
      <c r="B28" s="64">
        <v>4224</v>
      </c>
      <c r="C28" s="65">
        <v>2145</v>
      </c>
      <c r="D28" s="58"/>
      <c r="E28" s="58">
        <f t="shared" si="0"/>
        <v>6369</v>
      </c>
      <c r="F28" s="57">
        <f t="shared" si="1"/>
        <v>0.33678756476683935</v>
      </c>
    </row>
    <row r="29" spans="1:12" ht="15">
      <c r="A29" s="56">
        <v>10</v>
      </c>
      <c r="B29" s="64">
        <v>1011</v>
      </c>
      <c r="C29" s="65">
        <v>5354</v>
      </c>
      <c r="D29" s="58"/>
      <c r="E29" s="58">
        <f t="shared" si="0"/>
        <v>6365</v>
      </c>
      <c r="F29" s="57">
        <f t="shared" si="1"/>
        <v>0.8411626080125687</v>
      </c>
    </row>
  </sheetData>
  <conditionalFormatting sqref="F20:F2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D100"/>
  <sheetViews>
    <sheetView showGridLines="0" tabSelected="1" topLeftCell="M1" zoomScaleNormal="100" workbookViewId="0">
      <selection activeCell="AB31" sqref="AB31"/>
    </sheetView>
  </sheetViews>
  <sheetFormatPr baseColWidth="10" defaultRowHeight="12.75"/>
  <cols>
    <col min="1" max="1" width="8.140625" style="1" customWidth="1"/>
    <col min="2" max="2" width="11.85546875" style="1" customWidth="1"/>
    <col min="3" max="3" width="9.42578125" style="1" customWidth="1"/>
    <col min="4" max="4" width="8.28515625" style="1" bestFit="1" customWidth="1"/>
    <col min="5" max="5" width="7.7109375" style="1" customWidth="1"/>
    <col min="6" max="6" width="8.140625" style="1" customWidth="1"/>
    <col min="7" max="7" width="9.5703125" style="1" customWidth="1"/>
    <col min="8" max="8" width="9.85546875" style="1" bestFit="1" customWidth="1"/>
    <col min="9" max="9" width="7.140625" style="1" customWidth="1"/>
    <col min="10" max="10" width="8.7109375" style="1" customWidth="1"/>
    <col min="11" max="12" width="8.7109375" style="1" bestFit="1" customWidth="1"/>
    <col min="13" max="13" width="9.140625" style="1" customWidth="1"/>
    <col min="14" max="14" width="7.5703125" style="1" customWidth="1"/>
    <col min="15" max="15" width="11" style="1" customWidth="1"/>
    <col min="16" max="16" width="7.85546875" style="1" bestFit="1" customWidth="1"/>
    <col min="17" max="17" width="7.7109375" style="1" bestFit="1" customWidth="1"/>
    <col min="18" max="18" width="7.140625" style="1" customWidth="1"/>
    <col min="19" max="19" width="9.5703125" style="1" customWidth="1"/>
    <col min="20" max="20" width="8.42578125" style="1" customWidth="1"/>
    <col min="21" max="21" width="8.28515625" style="1" customWidth="1"/>
    <col min="22" max="22" width="2.7109375" style="105" customWidth="1"/>
    <col min="23" max="23" width="11.42578125" style="1"/>
    <col min="24" max="24" width="9.140625" style="1" customWidth="1"/>
    <col min="25" max="27" width="11.42578125" style="1"/>
    <col min="28" max="28" width="15.28515625" style="1" bestFit="1" customWidth="1"/>
    <col min="29" max="29" width="13.7109375" style="1" customWidth="1"/>
    <col min="30" max="16384" width="11.42578125" style="1"/>
  </cols>
  <sheetData>
    <row r="1" spans="1:30" ht="18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109"/>
    </row>
    <row r="2" spans="1:30" s="4" customFormat="1" ht="12.75" customHeight="1">
      <c r="A2" s="2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110"/>
    </row>
    <row r="3" spans="1:30" s="4" customFormat="1" ht="12.75" customHeight="1">
      <c r="A3" s="2" t="s">
        <v>1</v>
      </c>
      <c r="B3" s="2">
        <v>20100825</v>
      </c>
      <c r="C3" s="2"/>
      <c r="D3" s="3"/>
      <c r="E3" s="3"/>
      <c r="F3" s="3"/>
      <c r="G3" s="3"/>
      <c r="H3" s="3"/>
      <c r="I3" s="2" t="s">
        <v>2</v>
      </c>
      <c r="J3" s="5">
        <f>+R20</f>
        <v>0.76460656087918644</v>
      </c>
      <c r="K3" s="3"/>
      <c r="L3" s="2"/>
      <c r="M3" s="66"/>
      <c r="N3" s="66"/>
      <c r="O3" s="66"/>
      <c r="P3" s="67"/>
      <c r="Q3" s="2"/>
      <c r="R3" s="3"/>
      <c r="S3" s="3"/>
      <c r="T3" s="3"/>
      <c r="U3" s="3"/>
      <c r="V3" s="110"/>
    </row>
    <row r="4" spans="1:30" s="4" customFormat="1" ht="12.75" customHeight="1">
      <c r="A4" s="2" t="s">
        <v>3</v>
      </c>
      <c r="B4" s="2">
        <v>1</v>
      </c>
      <c r="C4" s="2"/>
      <c r="D4" s="3"/>
      <c r="E4" s="3"/>
      <c r="F4" s="3"/>
      <c r="G4" s="3"/>
      <c r="H4" s="3"/>
      <c r="I4" s="2" t="s">
        <v>4</v>
      </c>
      <c r="J4" s="5">
        <f>+U20</f>
        <v>0.86810629360540315</v>
      </c>
      <c r="K4" s="3"/>
      <c r="L4" s="2"/>
      <c r="M4" s="66"/>
      <c r="N4" s="66"/>
      <c r="O4" s="66"/>
      <c r="P4" s="68"/>
      <c r="Q4" s="2"/>
      <c r="R4" s="3"/>
      <c r="S4" s="3"/>
      <c r="T4" s="3"/>
      <c r="U4" s="3"/>
      <c r="V4" s="110"/>
    </row>
    <row r="5" spans="1:30" s="4" customFormat="1" ht="12.75" customHeight="1">
      <c r="A5" s="2" t="s">
        <v>5</v>
      </c>
      <c r="B5" s="6">
        <v>40438</v>
      </c>
      <c r="C5" s="7"/>
      <c r="D5" s="3"/>
      <c r="E5" s="3"/>
      <c r="F5" s="3"/>
      <c r="G5" s="3"/>
      <c r="H5" s="3"/>
      <c r="I5" s="2" t="s">
        <v>6</v>
      </c>
      <c r="J5" s="8">
        <f>+P20</f>
        <v>6.3006535947712417</v>
      </c>
      <c r="K5" s="3"/>
      <c r="L5" s="2"/>
      <c r="M5" s="66"/>
      <c r="N5" s="66"/>
      <c r="O5" s="66"/>
      <c r="P5" s="69"/>
      <c r="Q5" s="2"/>
      <c r="R5" s="3"/>
      <c r="S5" s="3"/>
      <c r="T5" s="3"/>
      <c r="U5" s="3"/>
      <c r="V5" s="110"/>
    </row>
    <row r="6" spans="1:30" s="4" customFormat="1" ht="12.75" customHeight="1">
      <c r="A6" s="2"/>
      <c r="B6" s="2"/>
      <c r="C6" s="2"/>
      <c r="D6" s="3"/>
      <c r="E6" s="3"/>
      <c r="F6" s="3"/>
      <c r="G6" s="3"/>
      <c r="H6" s="3"/>
      <c r="I6" s="2"/>
      <c r="J6" s="3"/>
      <c r="K6" s="3"/>
      <c r="L6" s="3"/>
      <c r="M6" s="3"/>
      <c r="N6" s="3"/>
      <c r="O6" s="3"/>
      <c r="Q6" s="3"/>
      <c r="R6" s="3"/>
      <c r="S6" s="3"/>
      <c r="T6" s="3"/>
      <c r="U6" s="3"/>
      <c r="V6" s="110"/>
    </row>
    <row r="7" spans="1:30" s="4" customFormat="1" ht="18">
      <c r="A7" s="2"/>
      <c r="B7" s="2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110"/>
      <c r="X7" s="107">
        <v>0.99</v>
      </c>
    </row>
    <row r="8" spans="1:30" ht="12.75" customHeight="1">
      <c r="B8" s="86" t="s">
        <v>7</v>
      </c>
      <c r="C8" s="86"/>
      <c r="D8" s="87" t="s">
        <v>8</v>
      </c>
      <c r="E8" s="88"/>
      <c r="F8" s="88"/>
      <c r="G8" s="88"/>
      <c r="H8" s="89"/>
      <c r="I8" s="90" t="s">
        <v>9</v>
      </c>
      <c r="J8" s="91"/>
      <c r="K8" s="91"/>
      <c r="L8" s="91"/>
      <c r="M8" s="92"/>
      <c r="N8" s="86" t="s">
        <v>10</v>
      </c>
      <c r="O8" s="86"/>
      <c r="P8" s="93" t="s">
        <v>11</v>
      </c>
      <c r="Q8" s="94"/>
      <c r="R8" s="95" t="s">
        <v>12</v>
      </c>
      <c r="S8" s="86" t="s">
        <v>13</v>
      </c>
      <c r="T8" s="86" t="s">
        <v>14</v>
      </c>
      <c r="U8" s="96" t="s">
        <v>15</v>
      </c>
      <c r="V8" s="111"/>
      <c r="W8" s="100" t="s">
        <v>61</v>
      </c>
      <c r="X8" s="100"/>
      <c r="Y8" s="100"/>
      <c r="Z8" s="100"/>
      <c r="AA8" s="100"/>
      <c r="AB8" s="100"/>
    </row>
    <row r="9" spans="1:30" ht="25.5">
      <c r="A9" s="9" t="s">
        <v>16</v>
      </c>
      <c r="B9" s="10" t="s">
        <v>17</v>
      </c>
      <c r="C9" s="10" t="s">
        <v>18</v>
      </c>
      <c r="D9" s="11" t="s">
        <v>19</v>
      </c>
      <c r="E9" s="11" t="s">
        <v>20</v>
      </c>
      <c r="F9" s="9" t="s">
        <v>21</v>
      </c>
      <c r="G9" s="9" t="s">
        <v>22</v>
      </c>
      <c r="H9" s="9" t="s">
        <v>23</v>
      </c>
      <c r="I9" s="9" t="s">
        <v>19</v>
      </c>
      <c r="J9" s="9" t="s">
        <v>20</v>
      </c>
      <c r="K9" s="9" t="s">
        <v>21</v>
      </c>
      <c r="L9" s="9" t="s">
        <v>24</v>
      </c>
      <c r="M9" s="12" t="s">
        <v>25</v>
      </c>
      <c r="N9" s="10" t="s">
        <v>19</v>
      </c>
      <c r="O9" s="10" t="s">
        <v>21</v>
      </c>
      <c r="P9" s="10" t="s">
        <v>19</v>
      </c>
      <c r="Q9" s="10" t="s">
        <v>26</v>
      </c>
      <c r="R9" s="95"/>
      <c r="S9" s="86"/>
      <c r="T9" s="86"/>
      <c r="U9" s="96"/>
      <c r="V9" s="111"/>
      <c r="W9" s="101" t="s">
        <v>59</v>
      </c>
      <c r="X9" s="102"/>
      <c r="Y9" s="101"/>
      <c r="Z9" s="101" t="s">
        <v>62</v>
      </c>
      <c r="AA9" s="101" t="s">
        <v>60</v>
      </c>
      <c r="AB9" s="101" t="s">
        <v>69</v>
      </c>
      <c r="AC9" s="106" t="s">
        <v>65</v>
      </c>
    </row>
    <row r="10" spans="1:30">
      <c r="A10" s="78" t="s">
        <v>49</v>
      </c>
      <c r="B10" s="79">
        <v>0</v>
      </c>
      <c r="C10" s="80">
        <v>8.5</v>
      </c>
      <c r="D10" s="14">
        <f>+'def Modelo 2'!B20</f>
        <v>6342</v>
      </c>
      <c r="E10" s="15">
        <f t="shared" ref="E10:E20" si="0">+D10/N10</f>
        <v>0.99622997172478789</v>
      </c>
      <c r="F10" s="16">
        <f t="shared" ref="F10:F20" si="1">D10/$D$20</f>
        <v>0.11541821358375191</v>
      </c>
      <c r="G10" s="17">
        <f>F10</f>
        <v>0.11541821358375191</v>
      </c>
      <c r="H10" s="18">
        <f t="shared" ref="H10:H18" si="2">H11+F10</f>
        <v>0.99999999999999989</v>
      </c>
      <c r="I10" s="14">
        <f>+'def Modelo 2'!C20</f>
        <v>24</v>
      </c>
      <c r="J10" s="15">
        <f t="shared" ref="J10:J20" si="3">IF(N10&lt;&gt;0,I10/N10,0)</f>
        <v>3.770028275212064E-3</v>
      </c>
      <c r="K10" s="16">
        <f t="shared" ref="K10:K20" si="4">I10/$I$20</f>
        <v>2.7519779841761265E-3</v>
      </c>
      <c r="L10" s="17">
        <f>+K10</f>
        <v>2.7519779841761265E-3</v>
      </c>
      <c r="M10" s="18">
        <f t="shared" ref="M10:M18" si="5">+M11+K10</f>
        <v>1</v>
      </c>
      <c r="N10" s="19">
        <f t="shared" ref="N10:N19" si="6">+I10+D10</f>
        <v>6366</v>
      </c>
      <c r="O10" s="20">
        <f t="shared" ref="O10:O19" si="7">+N10/$N$20</f>
        <v>9.9985864392404464E-2</v>
      </c>
      <c r="P10" s="21">
        <f>IF(I10&lt;&gt;0,D10/I10,0)</f>
        <v>264.25</v>
      </c>
      <c r="Q10" s="22">
        <f>+SUM($D$10:D10)/SUM($I$10:I10)</f>
        <v>264.25</v>
      </c>
      <c r="R10" s="17">
        <f>ABS(L10-G10)</f>
        <v>0.11266623559957578</v>
      </c>
      <c r="S10" s="23">
        <f>+L10</f>
        <v>2.7519779841761265E-3</v>
      </c>
      <c r="T10" s="24">
        <f>+G10</f>
        <v>0.11541821358375191</v>
      </c>
      <c r="U10" s="25">
        <f>T10*S10</f>
        <v>3.176283827554232E-4</v>
      </c>
      <c r="V10" s="32"/>
      <c r="W10" s="97">
        <f>+C10/1000</f>
        <v>8.5000000000000006E-3</v>
      </c>
      <c r="X10" s="98">
        <f>+NORMSINV($X$7)</f>
        <v>2.3263478740408399</v>
      </c>
      <c r="Y10" s="98">
        <f>+SQRT(N10*W10*(1-W10))</f>
        <v>7.324688150358349</v>
      </c>
      <c r="Z10" s="98">
        <f>+N10*W10</f>
        <v>54.111000000000004</v>
      </c>
      <c r="AA10" s="98">
        <f>+X10*Y10+Z10</f>
        <v>71.150772706598275</v>
      </c>
      <c r="AB10" s="99" t="str">
        <f>+IF(I10&gt;AA10,"No cumple hipótesis","Cumple hipótesis")</f>
        <v>Cumple hipótesis</v>
      </c>
      <c r="AC10" s="97">
        <v>2.35672512635476E-3</v>
      </c>
      <c r="AD10" s="77"/>
    </row>
    <row r="11" spans="1:30">
      <c r="A11" s="78" t="s">
        <v>50</v>
      </c>
      <c r="B11" s="79">
        <f>+C10+1</f>
        <v>9.5</v>
      </c>
      <c r="C11" s="80">
        <v>12.346000000000004</v>
      </c>
      <c r="D11" s="14">
        <f>+'def Modelo 2'!B21</f>
        <v>6331</v>
      </c>
      <c r="E11" s="27">
        <f t="shared" si="0"/>
        <v>0.9941896984924623</v>
      </c>
      <c r="F11" s="28">
        <f t="shared" si="1"/>
        <v>0.11521802431389677</v>
      </c>
      <c r="G11" s="29">
        <f t="shared" ref="G11:G19" si="8">G10+F11</f>
        <v>0.2306362378976487</v>
      </c>
      <c r="H11" s="30">
        <f t="shared" si="2"/>
        <v>0.88458178641624796</v>
      </c>
      <c r="I11" s="14">
        <f>+'def Modelo 2'!C21</f>
        <v>37</v>
      </c>
      <c r="J11" s="27">
        <f t="shared" si="3"/>
        <v>5.8103015075376884E-3</v>
      </c>
      <c r="K11" s="28">
        <f t="shared" si="4"/>
        <v>4.2426327256048614E-3</v>
      </c>
      <c r="L11" s="29">
        <f t="shared" ref="L11:L19" si="9">+L10+K11</f>
        <v>6.9946107097809875E-3</v>
      </c>
      <c r="M11" s="30">
        <f t="shared" si="5"/>
        <v>0.99724802201582396</v>
      </c>
      <c r="N11" s="19">
        <f t="shared" si="6"/>
        <v>6368</v>
      </c>
      <c r="O11" s="20">
        <f t="shared" si="7"/>
        <v>0.10001727685372787</v>
      </c>
      <c r="P11" s="21">
        <f t="shared" ref="P11:P19" si="10">IF(I11&lt;&gt;0,D11/I11,0)</f>
        <v>171.1081081081081</v>
      </c>
      <c r="Q11" s="22">
        <f>+SUM($D$10:D11)/SUM($I$10:I11)</f>
        <v>207.75409836065575</v>
      </c>
      <c r="R11" s="29">
        <f t="shared" ref="R11:R19" si="11">ABS(L11-G11)</f>
        <v>0.2236416271878677</v>
      </c>
      <c r="S11" s="31">
        <f>+L11-L10</f>
        <v>4.2426327256048606E-3</v>
      </c>
      <c r="T11" s="32">
        <f>+G11+G10</f>
        <v>0.34605445148140063</v>
      </c>
      <c r="U11" s="20">
        <f t="shared" ref="U11:U19" si="12">T11*S11</f>
        <v>1.4681819406962297E-3</v>
      </c>
      <c r="V11" s="32"/>
      <c r="W11" s="97">
        <f t="shared" ref="W11:W19" si="13">+C11/1000</f>
        <v>1.2346000000000003E-2</v>
      </c>
      <c r="X11" s="98">
        <f>+NORMSINV($X$7)</f>
        <v>2.3263478740408399</v>
      </c>
      <c r="Y11" s="98">
        <f>+SQRT(N11*W11*(1-W11))</f>
        <v>8.8118496228948455</v>
      </c>
      <c r="Z11" s="98">
        <f>+N11*W11</f>
        <v>78.619328000000024</v>
      </c>
      <c r="AA11" s="98">
        <f t="shared" ref="AA11:AA19" si="14">+X11*Y11+Z11</f>
        <v>99.118755636589029</v>
      </c>
      <c r="AB11" s="99" t="str">
        <f>+IF(I11&gt;AA11,"No cumple hipótesis","Cumple hipótesis")</f>
        <v>Cumple hipótesis</v>
      </c>
      <c r="AC11" s="97">
        <v>3.9776675510409167E-3</v>
      </c>
      <c r="AD11" s="77"/>
    </row>
    <row r="12" spans="1:30">
      <c r="A12" s="78" t="s">
        <v>51</v>
      </c>
      <c r="B12" s="79">
        <f>+C11+1</f>
        <v>13.346000000000004</v>
      </c>
      <c r="C12" s="80">
        <v>16.62</v>
      </c>
      <c r="D12" s="14">
        <f>+'def Modelo 2'!B22</f>
        <v>6279</v>
      </c>
      <c r="E12" s="27">
        <f t="shared" si="0"/>
        <v>0.99069106973808774</v>
      </c>
      <c r="F12" s="28">
        <f t="shared" si="1"/>
        <v>0.11427167503821795</v>
      </c>
      <c r="G12" s="29">
        <f t="shared" si="8"/>
        <v>0.34490791293586665</v>
      </c>
      <c r="H12" s="30">
        <f t="shared" si="2"/>
        <v>0.76936376210235125</v>
      </c>
      <c r="I12" s="14">
        <f>+'def Modelo 2'!C22</f>
        <v>59</v>
      </c>
      <c r="J12" s="27">
        <f t="shared" si="3"/>
        <v>9.3089302619122748E-3</v>
      </c>
      <c r="K12" s="28">
        <f t="shared" si="4"/>
        <v>6.7652792110996446E-3</v>
      </c>
      <c r="L12" s="29">
        <f t="shared" si="9"/>
        <v>1.3759889920880633E-2</v>
      </c>
      <c r="M12" s="30">
        <f t="shared" si="5"/>
        <v>0.99300538929021909</v>
      </c>
      <c r="N12" s="19">
        <f t="shared" si="6"/>
        <v>6338</v>
      </c>
      <c r="O12" s="20">
        <f t="shared" si="7"/>
        <v>9.9546089933876772E-2</v>
      </c>
      <c r="P12" s="21">
        <f t="shared" si="10"/>
        <v>106.42372881355932</v>
      </c>
      <c r="Q12" s="22">
        <f>+SUM($D$10:D12)/SUM($I$10:I12)</f>
        <v>157.93333333333334</v>
      </c>
      <c r="R12" s="29">
        <f t="shared" si="11"/>
        <v>0.33114802301498603</v>
      </c>
      <c r="S12" s="31">
        <f t="shared" ref="S12:S19" si="15">+L12-L11</f>
        <v>6.7652792110996455E-3</v>
      </c>
      <c r="T12" s="32">
        <f t="shared" ref="T12:T19" si="16">+G12+G11</f>
        <v>0.57554415083351529</v>
      </c>
      <c r="U12" s="20">
        <f t="shared" si="12"/>
        <v>3.8937168787039796E-3</v>
      </c>
      <c r="V12" s="32"/>
      <c r="W12" s="97">
        <f t="shared" si="13"/>
        <v>1.6619999999999999E-2</v>
      </c>
      <c r="X12" s="98">
        <f>+NORMSINV($X$7)</f>
        <v>2.3263478740408399</v>
      </c>
      <c r="Y12" s="98">
        <f>+SQRT(N12*W12*(1-W12))</f>
        <v>10.177762512104515</v>
      </c>
      <c r="Z12" s="98">
        <f>+N12*W12</f>
        <v>105.33756</v>
      </c>
      <c r="AA12" s="98">
        <f t="shared" si="14"/>
        <v>129.01457618252689</v>
      </c>
      <c r="AB12" s="99" t="str">
        <f>+IF(I12&gt;AA12,"No cumple hipótesis","Cumple hipótesis")</f>
        <v>Cumple hipótesis</v>
      </c>
      <c r="AC12" s="97">
        <v>6.8622452684348467E-3</v>
      </c>
      <c r="AD12" s="77"/>
    </row>
    <row r="13" spans="1:30">
      <c r="A13" s="78" t="s">
        <v>52</v>
      </c>
      <c r="B13" s="79">
        <f t="shared" ref="B13:B19" si="17">+C12+1</f>
        <v>17.62</v>
      </c>
      <c r="C13" s="80">
        <v>21.53</v>
      </c>
      <c r="D13" s="14">
        <f>+'def Modelo 2'!B23</f>
        <v>6320</v>
      </c>
      <c r="E13" s="27">
        <f t="shared" si="0"/>
        <v>0.98796310770673756</v>
      </c>
      <c r="F13" s="28">
        <f t="shared" si="1"/>
        <v>0.11501783504404164</v>
      </c>
      <c r="G13" s="29">
        <f t="shared" si="8"/>
        <v>0.45992574797990826</v>
      </c>
      <c r="H13" s="30">
        <f t="shared" si="2"/>
        <v>0.65509208706413335</v>
      </c>
      <c r="I13" s="14">
        <f>+'def Modelo 2'!C23</f>
        <v>77</v>
      </c>
      <c r="J13" s="27">
        <f t="shared" si="3"/>
        <v>1.2036892293262467E-2</v>
      </c>
      <c r="K13" s="28">
        <f t="shared" si="4"/>
        <v>8.8292626992317394E-3</v>
      </c>
      <c r="L13" s="29">
        <f t="shared" si="9"/>
        <v>2.2589152620112372E-2</v>
      </c>
      <c r="M13" s="30">
        <f t="shared" si="5"/>
        <v>0.98624011007911949</v>
      </c>
      <c r="N13" s="19">
        <f t="shared" si="6"/>
        <v>6397</v>
      </c>
      <c r="O13" s="20">
        <f t="shared" si="7"/>
        <v>0.10047275754291728</v>
      </c>
      <c r="P13" s="21">
        <f t="shared" si="10"/>
        <v>82.077922077922082</v>
      </c>
      <c r="Q13" s="22">
        <f>+SUM($D$10:D13)/SUM($I$10:I13)</f>
        <v>128.28426395939087</v>
      </c>
      <c r="R13" s="29">
        <f t="shared" si="11"/>
        <v>0.43733659535979591</v>
      </c>
      <c r="S13" s="31">
        <f t="shared" si="15"/>
        <v>8.8292626992317394E-3</v>
      </c>
      <c r="T13" s="32">
        <f t="shared" si="16"/>
        <v>0.80483366091577491</v>
      </c>
      <c r="U13" s="20">
        <f t="shared" si="12"/>
        <v>7.1060878214097775E-3</v>
      </c>
      <c r="V13" s="32"/>
      <c r="W13" s="97">
        <f t="shared" si="13"/>
        <v>2.1530000000000001E-2</v>
      </c>
      <c r="X13" s="98">
        <f>+NORMSINV($X$7)</f>
        <v>2.3263478740408399</v>
      </c>
      <c r="Y13" s="98">
        <f>+SQRT(N13*W13*(1-W13))</f>
        <v>11.608709612299723</v>
      </c>
      <c r="Z13" s="98">
        <f>+N13*W13</f>
        <v>137.72740999999999</v>
      </c>
      <c r="AA13" s="98">
        <f t="shared" si="14"/>
        <v>164.73330692693091</v>
      </c>
      <c r="AB13" s="99" t="str">
        <f>+IF(I13&gt;AA13,"No cumple hipótesis","Cumple hipótesis")</f>
        <v>Cumple hipótesis</v>
      </c>
      <c r="AC13" s="97">
        <v>9.2986978296791343E-3</v>
      </c>
      <c r="AD13" s="77"/>
    </row>
    <row r="14" spans="1:30">
      <c r="A14" s="78" t="s">
        <v>53</v>
      </c>
      <c r="B14" s="79">
        <f t="shared" si="17"/>
        <v>22.53</v>
      </c>
      <c r="C14" s="80">
        <v>27.459999999999997</v>
      </c>
      <c r="D14" s="14">
        <f>+'def Modelo 2'!B24</f>
        <v>6231</v>
      </c>
      <c r="E14" s="27">
        <f t="shared" si="0"/>
        <v>0.9797169811320755</v>
      </c>
      <c r="F14" s="28">
        <f t="shared" si="1"/>
        <v>0.11339812186066826</v>
      </c>
      <c r="G14" s="29">
        <f t="shared" si="8"/>
        <v>0.57332386984057648</v>
      </c>
      <c r="H14" s="30">
        <f t="shared" si="2"/>
        <v>0.54007425202009174</v>
      </c>
      <c r="I14" s="14">
        <f>+'def Modelo 2'!C24</f>
        <v>129</v>
      </c>
      <c r="J14" s="27">
        <f t="shared" si="3"/>
        <v>2.0283018867924527E-2</v>
      </c>
      <c r="K14" s="28">
        <f t="shared" si="4"/>
        <v>1.4791881664946681E-2</v>
      </c>
      <c r="L14" s="29">
        <f t="shared" si="9"/>
        <v>3.7381034285059053E-2</v>
      </c>
      <c r="M14" s="30">
        <f t="shared" si="5"/>
        <v>0.9774108473798877</v>
      </c>
      <c r="N14" s="19">
        <f t="shared" si="6"/>
        <v>6360</v>
      </c>
      <c r="O14" s="20">
        <f t="shared" si="7"/>
        <v>9.989162700843425E-2</v>
      </c>
      <c r="P14" s="21">
        <f t="shared" si="10"/>
        <v>48.302325581395351</v>
      </c>
      <c r="Q14" s="22">
        <f>+SUM($D$10:D14)/SUM($I$10:I14)</f>
        <v>96.634969325153378</v>
      </c>
      <c r="R14" s="29">
        <f t="shared" si="11"/>
        <v>0.53594283555551747</v>
      </c>
      <c r="S14" s="31">
        <f t="shared" si="15"/>
        <v>1.4791881664946681E-2</v>
      </c>
      <c r="T14" s="32">
        <f t="shared" si="16"/>
        <v>1.0332496178204846</v>
      </c>
      <c r="U14" s="20">
        <f t="shared" si="12"/>
        <v>1.5283706077151992E-2</v>
      </c>
      <c r="V14" s="32"/>
      <c r="W14" s="97">
        <f t="shared" si="13"/>
        <v>2.7459999999999998E-2</v>
      </c>
      <c r="X14" s="98">
        <f>+NORMSINV($X$7)</f>
        <v>2.3263478740408399</v>
      </c>
      <c r="Y14" s="98">
        <f>+SQRT(N14*W14*(1-W14))</f>
        <v>13.032644851448996</v>
      </c>
      <c r="Z14" s="98">
        <f>+N14*W14</f>
        <v>174.6456</v>
      </c>
      <c r="AA14" s="98">
        <f t="shared" si="14"/>
        <v>204.96406564329766</v>
      </c>
      <c r="AB14" s="99" t="str">
        <f>+IF(I14&gt;AA14,"No cumple hipótesis","Cumple hipótesis")</f>
        <v>Cumple hipótesis</v>
      </c>
      <c r="AC14" s="97">
        <v>1.6547301532735953E-2</v>
      </c>
      <c r="AD14" s="77"/>
    </row>
    <row r="15" spans="1:30">
      <c r="A15" s="78" t="s">
        <v>54</v>
      </c>
      <c r="B15" s="79">
        <f t="shared" si="17"/>
        <v>28.459999999999997</v>
      </c>
      <c r="C15" s="80">
        <v>34.99</v>
      </c>
      <c r="D15" s="14">
        <f>+'def Modelo 2'!B25</f>
        <v>6186</v>
      </c>
      <c r="E15" s="27">
        <f t="shared" si="0"/>
        <v>0.97233574347689411</v>
      </c>
      <c r="F15" s="28">
        <f t="shared" si="1"/>
        <v>0.11257916575671544</v>
      </c>
      <c r="G15" s="29">
        <f t="shared" si="8"/>
        <v>0.68590303559729193</v>
      </c>
      <c r="H15" s="30">
        <f t="shared" si="2"/>
        <v>0.42667613015942346</v>
      </c>
      <c r="I15" s="14">
        <f>+'def Modelo 2'!C25</f>
        <v>176</v>
      </c>
      <c r="J15" s="27">
        <f t="shared" si="3"/>
        <v>2.7664256523105942E-2</v>
      </c>
      <c r="K15" s="28">
        <f t="shared" si="4"/>
        <v>2.0181171883958262E-2</v>
      </c>
      <c r="L15" s="29">
        <f t="shared" si="9"/>
        <v>5.7562206169017319E-2</v>
      </c>
      <c r="M15" s="30">
        <f t="shared" si="5"/>
        <v>0.96261896571494099</v>
      </c>
      <c r="N15" s="19">
        <f t="shared" si="6"/>
        <v>6362</v>
      </c>
      <c r="O15" s="20">
        <f t="shared" si="7"/>
        <v>9.9923039469757655E-2</v>
      </c>
      <c r="P15" s="21">
        <f t="shared" si="10"/>
        <v>35.147727272727273</v>
      </c>
      <c r="Q15" s="22">
        <f>+SUM($D$10:D15)/SUM($I$10:I15)</f>
        <v>75.077689243027891</v>
      </c>
      <c r="R15" s="29">
        <f t="shared" si="11"/>
        <v>0.62834082942827463</v>
      </c>
      <c r="S15" s="31">
        <f t="shared" si="15"/>
        <v>2.0181171883958265E-2</v>
      </c>
      <c r="T15" s="32">
        <f t="shared" si="16"/>
        <v>1.2592269054378684</v>
      </c>
      <c r="U15" s="20">
        <f t="shared" si="12"/>
        <v>2.5412674619546483E-2</v>
      </c>
      <c r="V15" s="32"/>
      <c r="W15" s="97">
        <f t="shared" si="13"/>
        <v>3.499E-2</v>
      </c>
      <c r="X15" s="98">
        <f>+NORMSINV($X$7)</f>
        <v>2.3263478740408399</v>
      </c>
      <c r="Y15" s="98">
        <f>+SQRT(N15*W15*(1-W15))</f>
        <v>14.656649779666566</v>
      </c>
      <c r="Z15" s="98">
        <f>+N15*W15</f>
        <v>222.60638</v>
      </c>
      <c r="AA15" s="98">
        <f t="shared" si="14"/>
        <v>256.70284605548846</v>
      </c>
      <c r="AB15" s="99" t="str">
        <f>+IF(I15&gt;AA15,"No cumple hipótesis","Cumple hipótesis")</f>
        <v>Cumple hipótesis</v>
      </c>
      <c r="AC15" s="97">
        <v>2.3256371419782373E-2</v>
      </c>
      <c r="AD15" s="77"/>
    </row>
    <row r="16" spans="1:30">
      <c r="A16" s="78" t="s">
        <v>55</v>
      </c>
      <c r="B16" s="79">
        <f t="shared" si="17"/>
        <v>35.99</v>
      </c>
      <c r="C16" s="80">
        <v>48.065999999999981</v>
      </c>
      <c r="D16" s="14">
        <f>+'def Modelo 2'!B26</f>
        <v>6122</v>
      </c>
      <c r="E16" s="27">
        <f t="shared" si="0"/>
        <v>0.96001254508389522</v>
      </c>
      <c r="F16" s="28">
        <f t="shared" si="1"/>
        <v>0.11141442818664919</v>
      </c>
      <c r="G16" s="29">
        <f t="shared" si="8"/>
        <v>0.79731746378394108</v>
      </c>
      <c r="H16" s="30">
        <f t="shared" si="2"/>
        <v>0.31409696440270801</v>
      </c>
      <c r="I16" s="14">
        <f>+'def Modelo 2'!C26</f>
        <v>255</v>
      </c>
      <c r="J16" s="27">
        <f t="shared" si="3"/>
        <v>3.9987454916104753E-2</v>
      </c>
      <c r="K16" s="28">
        <f t="shared" si="4"/>
        <v>2.9239766081871343E-2</v>
      </c>
      <c r="L16" s="29">
        <f t="shared" si="9"/>
        <v>8.6801972250888662E-2</v>
      </c>
      <c r="M16" s="30">
        <f t="shared" si="5"/>
        <v>0.9424377938309827</v>
      </c>
      <c r="N16" s="19">
        <f t="shared" si="6"/>
        <v>6377</v>
      </c>
      <c r="O16" s="20">
        <f t="shared" si="7"/>
        <v>0.1001586329296832</v>
      </c>
      <c r="P16" s="21">
        <f t="shared" si="10"/>
        <v>24.007843137254902</v>
      </c>
      <c r="Q16" s="22">
        <f>+SUM($D$10:D16)/SUM($I$10:I16)</f>
        <v>57.874504623513872</v>
      </c>
      <c r="R16" s="29">
        <f t="shared" si="11"/>
        <v>0.71051549153305238</v>
      </c>
      <c r="S16" s="31">
        <f t="shared" si="15"/>
        <v>2.9239766081871343E-2</v>
      </c>
      <c r="T16" s="32">
        <f t="shared" si="16"/>
        <v>1.483220499381233</v>
      </c>
      <c r="U16" s="20">
        <f>T16*S16</f>
        <v>4.3369020449743653E-2</v>
      </c>
      <c r="V16" s="32"/>
      <c r="W16" s="97">
        <f t="shared" si="13"/>
        <v>4.8065999999999984E-2</v>
      </c>
      <c r="X16" s="98">
        <f>+NORMSINV($X$7)</f>
        <v>2.3263478740408399</v>
      </c>
      <c r="Y16" s="98">
        <f>+SQRT(N16*W16*(1-W16))</f>
        <v>17.081681461430776</v>
      </c>
      <c r="Z16" s="98">
        <f>+N16*W16</f>
        <v>306.5168819999999</v>
      </c>
      <c r="AA16" s="98">
        <f t="shared" si="14"/>
        <v>346.25481535284223</v>
      </c>
      <c r="AB16" s="99" t="str">
        <f>+IF(I16&gt;AA16,"No cumple hipótesis","Cumple hipótesis")</f>
        <v>Cumple hipótesis</v>
      </c>
      <c r="AC16" s="97">
        <v>3.4724356177354913E-2</v>
      </c>
      <c r="AD16" s="77"/>
    </row>
    <row r="17" spans="1:30">
      <c r="A17" s="78" t="s">
        <v>56</v>
      </c>
      <c r="B17" s="79">
        <f t="shared" si="17"/>
        <v>49.065999999999981</v>
      </c>
      <c r="C17" s="80">
        <v>94.398000000000025</v>
      </c>
      <c r="D17" s="14">
        <f>+'def Modelo 2'!B27</f>
        <v>5902</v>
      </c>
      <c r="E17" s="27">
        <f t="shared" si="0"/>
        <v>0.92696717449348198</v>
      </c>
      <c r="F17" s="28">
        <f t="shared" si="1"/>
        <v>0.10741064278954648</v>
      </c>
      <c r="G17" s="29">
        <f t="shared" si="8"/>
        <v>0.90472810657348757</v>
      </c>
      <c r="H17" s="30">
        <f t="shared" si="2"/>
        <v>0.20268253621605883</v>
      </c>
      <c r="I17" s="14">
        <f>+'def Modelo 2'!C27</f>
        <v>465</v>
      </c>
      <c r="J17" s="27">
        <f t="shared" si="3"/>
        <v>7.303282550651799E-2</v>
      </c>
      <c r="K17" s="28">
        <f t="shared" si="4"/>
        <v>5.3319573443412455E-2</v>
      </c>
      <c r="L17" s="29">
        <f t="shared" si="9"/>
        <v>0.14012154569430113</v>
      </c>
      <c r="M17" s="30">
        <f t="shared" si="5"/>
        <v>0.9131980277491113</v>
      </c>
      <c r="N17" s="19">
        <f t="shared" si="6"/>
        <v>6367</v>
      </c>
      <c r="O17" s="20">
        <f t="shared" si="7"/>
        <v>0.10000157062306617</v>
      </c>
      <c r="P17" s="21">
        <f t="shared" si="10"/>
        <v>12.692473118279571</v>
      </c>
      <c r="Q17" s="22">
        <f>+SUM($D$10:D17)/SUM($I$10:I17)</f>
        <v>40.681669394435353</v>
      </c>
      <c r="R17" s="29">
        <f t="shared" si="11"/>
        <v>0.76460656087918644</v>
      </c>
      <c r="S17" s="31">
        <f t="shared" si="15"/>
        <v>5.3319573443412469E-2</v>
      </c>
      <c r="T17" s="32">
        <f t="shared" si="16"/>
        <v>1.7020455703574286</v>
      </c>
      <c r="U17" s="20">
        <f t="shared" si="12"/>
        <v>9.0752343792707788E-2</v>
      </c>
      <c r="V17" s="32"/>
      <c r="W17" s="97">
        <f t="shared" si="13"/>
        <v>9.4398000000000024E-2</v>
      </c>
      <c r="X17" s="98">
        <f>+NORMSINV($X$7)</f>
        <v>2.3263478740408399</v>
      </c>
      <c r="Y17" s="98">
        <f>+SQRT(N17*W17*(1-W17))</f>
        <v>23.330148757213962</v>
      </c>
      <c r="Z17" s="98">
        <f>+N17*W17</f>
        <v>601.0320660000001</v>
      </c>
      <c r="AA17" s="98">
        <f t="shared" si="14"/>
        <v>655.30610796240137</v>
      </c>
      <c r="AB17" s="99" t="str">
        <f>+IF(I17&gt;AA17,"No cumple hipótesis","Cumple hipótesis")</f>
        <v>Cumple hipótesis</v>
      </c>
      <c r="AC17" s="97">
        <v>6.5824996551124393E-2</v>
      </c>
      <c r="AD17" s="77"/>
    </row>
    <row r="18" spans="1:30">
      <c r="A18" s="78" t="s">
        <v>57</v>
      </c>
      <c r="B18" s="79">
        <f t="shared" si="17"/>
        <v>95.398000000000025</v>
      </c>
      <c r="C18" s="80">
        <v>613.74</v>
      </c>
      <c r="D18" s="14">
        <f>+'def Modelo 2'!B28</f>
        <v>4224</v>
      </c>
      <c r="E18" s="27">
        <f t="shared" si="0"/>
        <v>0.66321243523316065</v>
      </c>
      <c r="F18" s="28">
        <f t="shared" si="1"/>
        <v>7.6872679624372137E-2</v>
      </c>
      <c r="G18" s="29">
        <f t="shared" si="8"/>
        <v>0.98160078619785973</v>
      </c>
      <c r="H18" s="30">
        <f t="shared" si="2"/>
        <v>9.527189342651235E-2</v>
      </c>
      <c r="I18" s="14">
        <f>+'def Modelo 2'!C28</f>
        <v>2145</v>
      </c>
      <c r="J18" s="27">
        <f t="shared" si="3"/>
        <v>0.33678756476683935</v>
      </c>
      <c r="K18" s="28">
        <f t="shared" si="4"/>
        <v>0.24595803233574132</v>
      </c>
      <c r="L18" s="29">
        <f t="shared" si="9"/>
        <v>0.38607957803004245</v>
      </c>
      <c r="M18" s="30">
        <f t="shared" si="5"/>
        <v>0.85987845430569887</v>
      </c>
      <c r="N18" s="19">
        <f t="shared" si="6"/>
        <v>6369</v>
      </c>
      <c r="O18" s="20">
        <f t="shared" si="7"/>
        <v>0.10003298308438957</v>
      </c>
      <c r="P18" s="21">
        <f t="shared" si="10"/>
        <v>1.9692307692307693</v>
      </c>
      <c r="Q18" s="22">
        <f>+SUM($D$10:D18)/SUM($I$10:I18)</f>
        <v>16.019305019305019</v>
      </c>
      <c r="R18" s="29">
        <f t="shared" si="11"/>
        <v>0.59552120816781728</v>
      </c>
      <c r="S18" s="31">
        <f t="shared" si="15"/>
        <v>0.24595803233574132</v>
      </c>
      <c r="T18" s="32">
        <f t="shared" si="16"/>
        <v>1.8863288927713473</v>
      </c>
      <c r="U18" s="20">
        <f t="shared" si="12"/>
        <v>0.46395774280409813</v>
      </c>
      <c r="V18" s="32"/>
      <c r="W18" s="97">
        <f t="shared" si="13"/>
        <v>0.61374000000000006</v>
      </c>
      <c r="X18" s="98">
        <f>+NORMSINV($X$7)</f>
        <v>2.3263478740408399</v>
      </c>
      <c r="Y18" s="98">
        <f>+SQRT(N18*W18*(1-W18))</f>
        <v>38.856860395245519</v>
      </c>
      <c r="Z18" s="98">
        <f>+N18*W18</f>
        <v>3908.9100600000006</v>
      </c>
      <c r="AA18" s="98">
        <f t="shared" si="14"/>
        <v>3999.3046345723819</v>
      </c>
      <c r="AB18" s="99" t="str">
        <f>+IF(I18&gt;AA18,"No cumple hipótesis","Cumple hipótesis")</f>
        <v>Cumple hipótesis</v>
      </c>
      <c r="AC18" s="97">
        <v>0.32335975198300421</v>
      </c>
      <c r="AD18" s="77"/>
    </row>
    <row r="19" spans="1:30">
      <c r="A19" s="78" t="s">
        <v>58</v>
      </c>
      <c r="B19" s="79">
        <f t="shared" si="17"/>
        <v>614.74</v>
      </c>
      <c r="C19" s="80">
        <v>999.89</v>
      </c>
      <c r="D19" s="14">
        <f>+'def Modelo 2'!B29</f>
        <v>1011</v>
      </c>
      <c r="E19" s="27">
        <f t="shared" si="0"/>
        <v>0.15883739198743127</v>
      </c>
      <c r="F19" s="28">
        <f t="shared" si="1"/>
        <v>1.8399213802140206E-2</v>
      </c>
      <c r="G19" s="29">
        <f t="shared" si="8"/>
        <v>0.99999999999999989</v>
      </c>
      <c r="H19" s="30">
        <f>F19</f>
        <v>1.8399213802140206E-2</v>
      </c>
      <c r="I19" s="14">
        <f>+'def Modelo 2'!C29</f>
        <v>5354</v>
      </c>
      <c r="J19" s="27">
        <f t="shared" si="3"/>
        <v>0.8411626080125687</v>
      </c>
      <c r="K19" s="28">
        <f t="shared" si="4"/>
        <v>0.61392042196995755</v>
      </c>
      <c r="L19" s="29">
        <f t="shared" si="9"/>
        <v>1</v>
      </c>
      <c r="M19" s="30">
        <f>+K19</f>
        <v>0.61392042196995755</v>
      </c>
      <c r="N19" s="19">
        <f t="shared" si="6"/>
        <v>6365</v>
      </c>
      <c r="O19" s="20">
        <f t="shared" si="7"/>
        <v>9.9970158161742761E-2</v>
      </c>
      <c r="P19" s="21">
        <f t="shared" si="10"/>
        <v>0.18883078072469181</v>
      </c>
      <c r="Q19" s="22">
        <f>+SUM($D$10:D19)/SUM($I$10:I19)</f>
        <v>6.3006535947712417</v>
      </c>
      <c r="R19" s="29">
        <f t="shared" si="11"/>
        <v>1.1102230246251565E-16</v>
      </c>
      <c r="S19" s="31">
        <f t="shared" si="15"/>
        <v>0.61392042196995755</v>
      </c>
      <c r="T19" s="32">
        <f t="shared" si="16"/>
        <v>1.9816007861978595</v>
      </c>
      <c r="U19" s="20">
        <f t="shared" si="12"/>
        <v>1.2165451908385896</v>
      </c>
      <c r="V19" s="32"/>
      <c r="W19" s="97">
        <f t="shared" si="13"/>
        <v>0.99988999999999995</v>
      </c>
      <c r="X19" s="98">
        <f>+NORMSINV($X$7)</f>
        <v>2.3263478740408399</v>
      </c>
      <c r="Y19" s="98">
        <f>+SQRT(N19*W19*(1-W19))</f>
        <v>0.83670364138107267</v>
      </c>
      <c r="Z19" s="98">
        <f>+N19*W19</f>
        <v>6364.2998499999994</v>
      </c>
      <c r="AA19" s="98">
        <f t="shared" si="14"/>
        <v>6366.2463137373288</v>
      </c>
      <c r="AB19" s="99" t="str">
        <f>+IF(I19&gt;AA19,"No cumple hipótesis","Cumple hipótesis")</f>
        <v>Cumple hipótesis</v>
      </c>
      <c r="AC19" s="97">
        <v>0.83021496760383529</v>
      </c>
      <c r="AD19" s="77"/>
    </row>
    <row r="20" spans="1:30" s="43" customFormat="1">
      <c r="A20" s="83" t="s">
        <v>10</v>
      </c>
      <c r="B20" s="84"/>
      <c r="C20" s="33"/>
      <c r="D20" s="34">
        <f>SUM(D10:D19)</f>
        <v>54948</v>
      </c>
      <c r="E20" s="35">
        <f t="shared" si="0"/>
        <v>0.86302596239928375</v>
      </c>
      <c r="F20" s="36">
        <f t="shared" si="1"/>
        <v>1</v>
      </c>
      <c r="G20" s="37"/>
      <c r="H20" s="38"/>
      <c r="I20" s="39">
        <f>SUM(I10:I19)</f>
        <v>8721</v>
      </c>
      <c r="J20" s="62">
        <f t="shared" si="3"/>
        <v>0.13697403760071619</v>
      </c>
      <c r="K20" s="36">
        <f t="shared" si="4"/>
        <v>1</v>
      </c>
      <c r="L20" s="37"/>
      <c r="M20" s="38"/>
      <c r="N20" s="39">
        <f>SUM(N10:N19)</f>
        <v>63669</v>
      </c>
      <c r="O20" s="40">
        <f>SUM(O10:O19)</f>
        <v>1</v>
      </c>
      <c r="P20" s="41">
        <f>+D20/I20</f>
        <v>6.3006535947712417</v>
      </c>
      <c r="Q20" s="41"/>
      <c r="R20" s="70">
        <f>MAX(R10:R19)</f>
        <v>0.76460656087918644</v>
      </c>
      <c r="S20" s="42"/>
      <c r="T20" s="42"/>
      <c r="U20" s="70">
        <f>ABS(1-SUM(U10:U19))</f>
        <v>0.86810629360540315</v>
      </c>
      <c r="V20" s="108"/>
    </row>
    <row r="21" spans="1:30">
      <c r="X21" s="1" t="s">
        <v>66</v>
      </c>
    </row>
    <row r="22" spans="1:30" ht="15.75">
      <c r="A22" s="44" t="s">
        <v>27</v>
      </c>
      <c r="X22" s="105" t="s">
        <v>67</v>
      </c>
      <c r="Z22" s="105"/>
    </row>
    <row r="23" spans="1:30">
      <c r="X23" s="105"/>
      <c r="Y23" s="105"/>
      <c r="Z23" s="105"/>
    </row>
    <row r="24" spans="1:30">
      <c r="X24" s="105"/>
      <c r="Y24" s="105"/>
      <c r="Z24" s="105"/>
    </row>
    <row r="25" spans="1:30">
      <c r="X25" s="105"/>
      <c r="Y25" s="105"/>
      <c r="Z25" s="105"/>
    </row>
    <row r="26" spans="1:30">
      <c r="P26" s="45"/>
      <c r="Q26" s="45"/>
      <c r="X26" s="105"/>
      <c r="Y26" s="105"/>
      <c r="Z26" s="105"/>
    </row>
    <row r="27" spans="1:30">
      <c r="P27" s="45"/>
      <c r="Q27" s="45"/>
    </row>
    <row r="28" spans="1:30">
      <c r="P28" s="45"/>
      <c r="Q28" s="45"/>
    </row>
    <row r="30" spans="1:30">
      <c r="W30" s="1" t="s">
        <v>64</v>
      </c>
    </row>
    <row r="31" spans="1:30">
      <c r="W31" s="1" t="s">
        <v>59</v>
      </c>
      <c r="X31" s="104">
        <v>2.35672512635476E-3</v>
      </c>
    </row>
    <row r="32" spans="1:30">
      <c r="W32" s="1" t="s">
        <v>63</v>
      </c>
      <c r="X32" s="81">
        <f>+X19*(SQRT(N19*X31*(1-X31)))+N19*X31</f>
        <v>24.000005417571167</v>
      </c>
    </row>
    <row r="35" spans="24:24">
      <c r="X35" s="81"/>
    </row>
    <row r="76" spans="3:5">
      <c r="C76" s="82" t="s">
        <v>45</v>
      </c>
      <c r="D76" s="82"/>
      <c r="E76" s="82"/>
    </row>
    <row r="77" spans="3:5">
      <c r="C77" s="76" t="s">
        <v>46</v>
      </c>
      <c r="D77" s="76" t="s">
        <v>47</v>
      </c>
      <c r="E77" s="76" t="s">
        <v>48</v>
      </c>
    </row>
    <row r="78" spans="3:5">
      <c r="C78" s="77">
        <v>0.99999999999999989</v>
      </c>
      <c r="D78" s="77">
        <v>1</v>
      </c>
      <c r="E78" s="1">
        <v>1</v>
      </c>
    </row>
    <row r="79" spans="3:5">
      <c r="C79" s="77">
        <v>0.88458178641624796</v>
      </c>
      <c r="D79" s="77">
        <v>0.99724802201582396</v>
      </c>
      <c r="E79" s="1">
        <f>+E78-0.1</f>
        <v>0.9</v>
      </c>
    </row>
    <row r="80" spans="3:5">
      <c r="C80" s="77">
        <v>0.76936376210235125</v>
      </c>
      <c r="D80" s="77">
        <v>0.99300538929021909</v>
      </c>
      <c r="E80" s="1">
        <f t="shared" ref="E80:E87" si="18">+E79-0.1</f>
        <v>0.8</v>
      </c>
    </row>
    <row r="81" spans="3:5">
      <c r="C81" s="77">
        <v>0.65509208706413335</v>
      </c>
      <c r="D81" s="77">
        <v>0.98624011007911949</v>
      </c>
      <c r="E81" s="1">
        <f t="shared" si="18"/>
        <v>0.70000000000000007</v>
      </c>
    </row>
    <row r="82" spans="3:5">
      <c r="C82" s="77">
        <v>0.54007425202009174</v>
      </c>
      <c r="D82" s="77">
        <v>0.9774108473798877</v>
      </c>
      <c r="E82" s="1">
        <f t="shared" si="18"/>
        <v>0.60000000000000009</v>
      </c>
    </row>
    <row r="83" spans="3:5">
      <c r="C83" s="77">
        <v>0.42667613015942346</v>
      </c>
      <c r="D83" s="77">
        <v>0.96261896571494099</v>
      </c>
      <c r="E83" s="1">
        <f t="shared" si="18"/>
        <v>0.50000000000000011</v>
      </c>
    </row>
    <row r="84" spans="3:5">
      <c r="C84" s="77">
        <v>0.31409696440270801</v>
      </c>
      <c r="D84" s="77">
        <v>0.9424377938309827</v>
      </c>
      <c r="E84" s="1">
        <f t="shared" si="18"/>
        <v>0.40000000000000013</v>
      </c>
    </row>
    <row r="85" spans="3:5">
      <c r="C85" s="77">
        <v>0.20268253621605883</v>
      </c>
      <c r="D85" s="77">
        <v>0.9131980277491113</v>
      </c>
      <c r="E85" s="1">
        <f t="shared" si="18"/>
        <v>0.30000000000000016</v>
      </c>
    </row>
    <row r="86" spans="3:5">
      <c r="C86" s="77">
        <v>9.527189342651235E-2</v>
      </c>
      <c r="D86" s="77">
        <v>0.85987845430569887</v>
      </c>
      <c r="E86" s="1">
        <f t="shared" si="18"/>
        <v>0.20000000000000015</v>
      </c>
    </row>
    <row r="87" spans="3:5">
      <c r="C87" s="77">
        <v>1.8399213802140206E-2</v>
      </c>
      <c r="D87" s="77">
        <v>0.61392042196995755</v>
      </c>
      <c r="E87" s="1">
        <f t="shared" si="18"/>
        <v>0.10000000000000014</v>
      </c>
    </row>
    <row r="88" spans="3:5">
      <c r="C88" s="1">
        <v>0</v>
      </c>
      <c r="D88" s="1">
        <v>0</v>
      </c>
      <c r="E88" s="1">
        <v>0</v>
      </c>
    </row>
    <row r="90" spans="3:5">
      <c r="C90" s="1">
        <v>1</v>
      </c>
      <c r="D90" s="1">
        <v>0.99999999999999989</v>
      </c>
    </row>
    <row r="91" spans="3:5">
      <c r="C91" s="1">
        <v>0.99724802201582396</v>
      </c>
      <c r="D91" s="1">
        <v>0.88458178641624796</v>
      </c>
    </row>
    <row r="92" spans="3:5">
      <c r="C92" s="1">
        <v>0.99300538929021909</v>
      </c>
      <c r="D92" s="1">
        <v>0.76936376210235125</v>
      </c>
    </row>
    <row r="93" spans="3:5">
      <c r="C93" s="1">
        <v>0.98624011007911949</v>
      </c>
      <c r="D93" s="1">
        <v>0.65509208706413335</v>
      </c>
    </row>
    <row r="94" spans="3:5">
      <c r="C94" s="1">
        <v>0.9774108473798877</v>
      </c>
      <c r="D94" s="1">
        <v>0.54007425202009174</v>
      </c>
    </row>
    <row r="95" spans="3:5">
      <c r="C95" s="1">
        <v>0.96261896571494099</v>
      </c>
      <c r="D95" s="1">
        <v>0.42667613015942346</v>
      </c>
    </row>
    <row r="96" spans="3:5">
      <c r="C96" s="1">
        <v>0.9424377938309827</v>
      </c>
      <c r="D96" s="1">
        <v>0.31409696440270801</v>
      </c>
    </row>
    <row r="97" spans="3:4">
      <c r="C97" s="1">
        <v>0.9131980277491113</v>
      </c>
      <c r="D97" s="1">
        <v>0.20268253621605883</v>
      </c>
    </row>
    <row r="98" spans="3:4">
      <c r="C98" s="1">
        <v>0.85987845430569887</v>
      </c>
      <c r="D98" s="1">
        <v>9.527189342651235E-2</v>
      </c>
    </row>
    <row r="99" spans="3:4">
      <c r="C99" s="1">
        <v>0.61392042196995755</v>
      </c>
      <c r="D99" s="1">
        <v>1.8399213802140206E-2</v>
      </c>
    </row>
    <row r="100" spans="3:4">
      <c r="C100" s="1">
        <v>0</v>
      </c>
      <c r="D100" s="1">
        <v>0</v>
      </c>
    </row>
  </sheetData>
  <dataConsolidate/>
  <mergeCells count="13">
    <mergeCell ref="W8:AB8"/>
    <mergeCell ref="C76:E76"/>
    <mergeCell ref="A20:B20"/>
    <mergeCell ref="A1:U1"/>
    <mergeCell ref="B8:C8"/>
    <mergeCell ref="D8:H8"/>
    <mergeCell ref="I8:M8"/>
    <mergeCell ref="N8:O8"/>
    <mergeCell ref="P8:Q8"/>
    <mergeCell ref="R8:R9"/>
    <mergeCell ref="S8:S9"/>
    <mergeCell ref="T8:T9"/>
    <mergeCell ref="U8:U9"/>
  </mergeCells>
  <conditionalFormatting sqref="C10:C1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10:R1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0:J19">
    <cfRule type="dataBar" priority="18">
      <dataBar>
        <cfvo type="min" val="0"/>
        <cfvo type="max" val="0"/>
        <color rgb="FF638EC6"/>
      </dataBar>
    </cfRule>
  </conditionalFormatting>
  <conditionalFormatting sqref="P10:P1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0:E19">
    <cfRule type="dataBar" priority="3">
      <dataBar>
        <cfvo type="min" val="0"/>
        <cfvo type="max" val="0"/>
        <color rgb="FF638EC6"/>
      </dataBar>
    </cfRule>
  </conditionalFormatting>
  <conditionalFormatting sqref="F10:F19">
    <cfRule type="dataBar" priority="2">
      <dataBar>
        <cfvo type="min" val="0"/>
        <cfvo type="max" val="0"/>
        <color rgb="FFFF555A"/>
      </dataBar>
    </cfRule>
  </conditionalFormatting>
  <pageMargins left="0.75" right="0.75" top="1" bottom="1" header="0" footer="0"/>
  <pageSetup paperSize="9" scale="48" orientation="portrait" r:id="rId1"/>
  <headerFooter alignWithMargins="0"/>
  <drawing r:id="rId2"/>
  <legacyDrawing r:id="rId3"/>
  <oleObjects>
    <oleObject progId="Equation.3" shapeId="2050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L29"/>
  <sheetViews>
    <sheetView showGridLines="0" zoomScaleNormal="100" workbookViewId="0">
      <selection activeCell="A7" sqref="A7"/>
    </sheetView>
  </sheetViews>
  <sheetFormatPr baseColWidth="10" defaultRowHeight="12.75"/>
  <cols>
    <col min="1" max="16384" width="11.42578125" style="47"/>
  </cols>
  <sheetData>
    <row r="1" spans="1:6" ht="15.75">
      <c r="A1" s="46" t="s">
        <v>28</v>
      </c>
    </row>
    <row r="3" spans="1:6">
      <c r="A3" s="48" t="s">
        <v>29</v>
      </c>
    </row>
    <row r="4" spans="1:6" s="50" customFormat="1">
      <c r="A4" s="49" t="s">
        <v>30</v>
      </c>
      <c r="B4" s="49"/>
      <c r="C4" s="49"/>
      <c r="D4" s="49"/>
      <c r="E4" s="49"/>
      <c r="F4" s="49"/>
    </row>
    <row r="5" spans="1:6" s="50" customFormat="1">
      <c r="A5" s="51" t="s">
        <v>68</v>
      </c>
      <c r="B5" s="51"/>
      <c r="C5" s="51"/>
      <c r="D5" s="51"/>
      <c r="E5" s="51"/>
      <c r="F5" s="51"/>
    </row>
    <row r="6" spans="1:6" s="50" customFormat="1">
      <c r="A6" s="52" t="s">
        <v>31</v>
      </c>
      <c r="B6" s="52"/>
      <c r="C6" s="52"/>
      <c r="D6" s="52"/>
      <c r="E6" s="52"/>
      <c r="F6" s="52"/>
    </row>
    <row r="8" spans="1:6">
      <c r="A8" s="48" t="s">
        <v>32</v>
      </c>
    </row>
    <row r="9" spans="1:6">
      <c r="A9" s="53" t="s">
        <v>33</v>
      </c>
      <c r="D9" s="47" t="s">
        <v>38</v>
      </c>
      <c r="E9" s="54">
        <f>+'BT Modelo 2  (MUESTRA 20%)'!$J$3</f>
        <v>0.76103792217008936</v>
      </c>
    </row>
    <row r="10" spans="1:6">
      <c r="A10" s="53" t="s">
        <v>34</v>
      </c>
      <c r="D10" s="47" t="s">
        <v>39</v>
      </c>
      <c r="E10" s="54">
        <f>+'BT Modelo 2  (MUESTRA 20%)'!$J$4</f>
        <v>0.86851422046616955</v>
      </c>
    </row>
    <row r="12" spans="1:6">
      <c r="A12" s="48" t="s">
        <v>35</v>
      </c>
    </row>
    <row r="13" spans="1:6">
      <c r="A13" s="53" t="s">
        <v>36</v>
      </c>
    </row>
    <row r="14" spans="1:6">
      <c r="A14" s="53" t="s">
        <v>37</v>
      </c>
    </row>
    <row r="17" spans="1:12" ht="15">
      <c r="A17" s="60" t="s">
        <v>44</v>
      </c>
      <c r="B17"/>
      <c r="C17" s="55"/>
      <c r="D17"/>
      <c r="E17"/>
      <c r="F17" s="55"/>
    </row>
    <row r="18" spans="1:12" ht="15">
      <c r="A18"/>
      <c r="B18"/>
      <c r="C18" s="55"/>
      <c r="D18" s="59"/>
      <c r="E18"/>
      <c r="F18" s="55"/>
    </row>
    <row r="19" spans="1:12" ht="15">
      <c r="A19" s="56"/>
      <c r="B19" s="56" t="s">
        <v>43</v>
      </c>
      <c r="C19" s="57" t="s">
        <v>9</v>
      </c>
      <c r="D19" s="56" t="s">
        <v>42</v>
      </c>
      <c r="E19" s="56" t="s">
        <v>41</v>
      </c>
      <c r="F19" s="57" t="s">
        <v>40</v>
      </c>
    </row>
    <row r="20" spans="1:12" ht="15">
      <c r="A20" s="56">
        <v>1</v>
      </c>
      <c r="B20" s="63">
        <v>1565</v>
      </c>
      <c r="C20" s="63">
        <v>7</v>
      </c>
      <c r="D20" s="58"/>
      <c r="E20" s="58">
        <f t="shared" ref="E20:E29" si="0">+B20+C20+D20</f>
        <v>1572</v>
      </c>
      <c r="F20" s="57">
        <f t="shared" ref="F20:F29" si="1">+C20/E20</f>
        <v>4.4529262086513994E-3</v>
      </c>
      <c r="I20" s="47">
        <v>1</v>
      </c>
      <c r="J20" s="47">
        <f>+SUM(B20:B21)</f>
        <v>3126</v>
      </c>
      <c r="K20" s="47">
        <f>+SUM(C20:C21)</f>
        <v>21</v>
      </c>
      <c r="L20" s="71">
        <f>+K20/(J20+K20)</f>
        <v>6.6730219256434702E-3</v>
      </c>
    </row>
    <row r="21" spans="1:12" ht="15">
      <c r="A21" s="56">
        <v>2</v>
      </c>
      <c r="B21" s="64">
        <v>1561</v>
      </c>
      <c r="C21" s="65">
        <v>14</v>
      </c>
      <c r="D21" s="58"/>
      <c r="E21" s="58">
        <f t="shared" si="0"/>
        <v>1575</v>
      </c>
      <c r="F21" s="57">
        <f t="shared" si="1"/>
        <v>8.8888888888888889E-3</v>
      </c>
      <c r="I21" s="47">
        <v>2</v>
      </c>
      <c r="J21" s="47">
        <f>+SUM(B22:B23)</f>
        <v>3115</v>
      </c>
      <c r="K21" s="47">
        <f>+SUM(C22:C23)</f>
        <v>27</v>
      </c>
      <c r="L21" s="71">
        <f t="shared" ref="L21:L24" si="2">+K21/(J21+K21)</f>
        <v>8.5932527052832598E-3</v>
      </c>
    </row>
    <row r="22" spans="1:12" ht="15">
      <c r="A22" s="56">
        <v>3</v>
      </c>
      <c r="B22" s="64">
        <v>1557</v>
      </c>
      <c r="C22" s="65">
        <v>10</v>
      </c>
      <c r="D22" s="58"/>
      <c r="E22" s="58">
        <f t="shared" si="0"/>
        <v>1567</v>
      </c>
      <c r="F22" s="57">
        <f t="shared" si="1"/>
        <v>6.3816209317166563E-3</v>
      </c>
      <c r="I22" s="47">
        <v>3</v>
      </c>
      <c r="J22" s="47">
        <f>+SUM(B24:B25)</f>
        <v>3086</v>
      </c>
      <c r="K22" s="47">
        <f>+SUM(C24:C25)</f>
        <v>65</v>
      </c>
      <c r="L22" s="71">
        <f t="shared" si="2"/>
        <v>2.0628371945414153E-2</v>
      </c>
    </row>
    <row r="23" spans="1:12" ht="15">
      <c r="A23" s="56">
        <v>4</v>
      </c>
      <c r="B23" s="64">
        <v>1558</v>
      </c>
      <c r="C23" s="65">
        <v>17</v>
      </c>
      <c r="D23" s="58"/>
      <c r="E23" s="58">
        <f t="shared" si="0"/>
        <v>1575</v>
      </c>
      <c r="F23" s="57">
        <f t="shared" si="1"/>
        <v>1.0793650793650795E-2</v>
      </c>
      <c r="I23" s="47">
        <v>4</v>
      </c>
      <c r="J23" s="47">
        <f>+SUM(B26:B27)</f>
        <v>2961</v>
      </c>
      <c r="K23" s="47">
        <f>+SUM(C26:C27)</f>
        <v>185</v>
      </c>
      <c r="L23" s="71">
        <f t="shared" si="2"/>
        <v>5.8804831532104258E-2</v>
      </c>
    </row>
    <row r="24" spans="1:12" ht="15">
      <c r="A24" s="56">
        <v>5</v>
      </c>
      <c r="B24" s="64">
        <v>1541</v>
      </c>
      <c r="C24" s="65">
        <v>36</v>
      </c>
      <c r="D24" s="58"/>
      <c r="E24" s="58">
        <f t="shared" si="0"/>
        <v>1577</v>
      </c>
      <c r="F24" s="57">
        <f t="shared" si="1"/>
        <v>2.2828154724159798E-2</v>
      </c>
      <c r="I24" s="47">
        <v>5</v>
      </c>
      <c r="J24" s="47">
        <f>+SUM(B28:B29)</f>
        <v>1333</v>
      </c>
      <c r="K24" s="47">
        <f>+SUM(C28:C29)</f>
        <v>1814</v>
      </c>
      <c r="L24" s="71">
        <f t="shared" si="2"/>
        <v>0.57642198919605969</v>
      </c>
    </row>
    <row r="25" spans="1:12" ht="15">
      <c r="A25" s="56">
        <v>6</v>
      </c>
      <c r="B25" s="64">
        <v>1545</v>
      </c>
      <c r="C25" s="65">
        <v>29</v>
      </c>
      <c r="D25" s="58"/>
      <c r="E25" s="58">
        <f t="shared" si="0"/>
        <v>1574</v>
      </c>
      <c r="F25" s="57">
        <f t="shared" si="1"/>
        <v>1.8424396442185513E-2</v>
      </c>
    </row>
    <row r="26" spans="1:12" ht="15">
      <c r="A26" s="56">
        <v>7</v>
      </c>
      <c r="B26" s="64">
        <v>1501</v>
      </c>
      <c r="C26" s="65">
        <v>71</v>
      </c>
      <c r="D26" s="58"/>
      <c r="E26" s="58">
        <f t="shared" si="0"/>
        <v>1572</v>
      </c>
      <c r="F26" s="57">
        <f t="shared" si="1"/>
        <v>4.5165394402035625E-2</v>
      </c>
    </row>
    <row r="27" spans="1:12" ht="15">
      <c r="A27" s="56">
        <v>8</v>
      </c>
      <c r="B27" s="64">
        <v>1460</v>
      </c>
      <c r="C27" s="65">
        <v>114</v>
      </c>
      <c r="D27" s="58"/>
      <c r="E27" s="58">
        <f t="shared" si="0"/>
        <v>1574</v>
      </c>
      <c r="F27" s="57">
        <f t="shared" si="1"/>
        <v>7.2426937738246502E-2</v>
      </c>
    </row>
    <row r="28" spans="1:12" ht="15">
      <c r="A28" s="56">
        <v>9</v>
      </c>
      <c r="B28" s="64">
        <v>1094</v>
      </c>
      <c r="C28" s="65">
        <v>479</v>
      </c>
      <c r="D28" s="58"/>
      <c r="E28" s="58">
        <f t="shared" si="0"/>
        <v>1573</v>
      </c>
      <c r="F28" s="57">
        <f t="shared" si="1"/>
        <v>0.30451366815003178</v>
      </c>
    </row>
    <row r="29" spans="1:12" ht="15">
      <c r="A29" s="56">
        <v>10</v>
      </c>
      <c r="B29" s="64">
        <v>239</v>
      </c>
      <c r="C29" s="65">
        <v>1335</v>
      </c>
      <c r="D29" s="58"/>
      <c r="E29" s="58">
        <f t="shared" si="0"/>
        <v>1574</v>
      </c>
      <c r="F29" s="57">
        <f t="shared" si="1"/>
        <v>0.84815756035578149</v>
      </c>
    </row>
  </sheetData>
  <conditionalFormatting sqref="F20:F2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B28"/>
  <sheetViews>
    <sheetView showGridLines="0" topLeftCell="K1" zoomScaleNormal="100" workbookViewId="0">
      <selection activeCell="X7" sqref="X7"/>
    </sheetView>
  </sheetViews>
  <sheetFormatPr baseColWidth="10" defaultRowHeight="12.75"/>
  <cols>
    <col min="1" max="1" width="8.140625" style="1" customWidth="1"/>
    <col min="2" max="2" width="11.85546875" style="1" customWidth="1"/>
    <col min="3" max="3" width="9.42578125" style="1" customWidth="1"/>
    <col min="4" max="4" width="7.7109375" style="1" bestFit="1" customWidth="1"/>
    <col min="5" max="5" width="7.7109375" style="1" customWidth="1"/>
    <col min="6" max="6" width="8.140625" style="1" customWidth="1"/>
    <col min="7" max="7" width="9.5703125" style="1" customWidth="1"/>
    <col min="8" max="8" width="9.85546875" style="1" bestFit="1" customWidth="1"/>
    <col min="9" max="9" width="7.140625" style="1" customWidth="1"/>
    <col min="10" max="10" width="8.7109375" style="1" customWidth="1"/>
    <col min="11" max="12" width="8.7109375" style="1" bestFit="1" customWidth="1"/>
    <col min="13" max="13" width="9.140625" style="1" customWidth="1"/>
    <col min="14" max="14" width="7.5703125" style="1" customWidth="1"/>
    <col min="15" max="15" width="11" style="1" customWidth="1"/>
    <col min="16" max="16" width="7.85546875" style="1" bestFit="1" customWidth="1"/>
    <col min="17" max="17" width="7.7109375" style="1" bestFit="1" customWidth="1"/>
    <col min="18" max="18" width="7.140625" style="1" customWidth="1"/>
    <col min="19" max="19" width="9.5703125" style="1" customWidth="1"/>
    <col min="20" max="20" width="8.42578125" style="1" customWidth="1"/>
    <col min="21" max="21" width="8.28515625" style="1" customWidth="1"/>
    <col min="22" max="22" width="2.140625" style="1" customWidth="1"/>
    <col min="23" max="27" width="11.42578125" style="1"/>
    <col min="28" max="28" width="15.28515625" style="1" bestFit="1" customWidth="1"/>
    <col min="29" max="16384" width="11.42578125" style="1"/>
  </cols>
  <sheetData>
    <row r="1" spans="1:28" ht="18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 spans="1:28" s="4" customFormat="1" ht="12.75" customHeight="1">
      <c r="A2" s="2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8" s="4" customFormat="1" ht="12.75" customHeight="1">
      <c r="A3" s="2" t="s">
        <v>1</v>
      </c>
      <c r="B3" s="2">
        <v>20100825</v>
      </c>
      <c r="C3" s="2"/>
      <c r="D3" s="3"/>
      <c r="E3" s="3"/>
      <c r="F3" s="3"/>
      <c r="G3" s="3"/>
      <c r="H3" s="3"/>
      <c r="I3" s="2" t="s">
        <v>2</v>
      </c>
      <c r="J3" s="5">
        <f>+R20</f>
        <v>0.76103792217008936</v>
      </c>
      <c r="K3" s="3"/>
      <c r="L3" s="2"/>
      <c r="M3" s="66"/>
      <c r="N3" s="66"/>
      <c r="O3" s="66"/>
      <c r="P3" s="67"/>
      <c r="Q3" s="2"/>
      <c r="R3" s="3"/>
      <c r="S3" s="3"/>
      <c r="T3" s="3"/>
      <c r="U3" s="3"/>
    </row>
    <row r="4" spans="1:28" s="4" customFormat="1" ht="12.75" customHeight="1">
      <c r="A4" s="2" t="s">
        <v>3</v>
      </c>
      <c r="B4" s="2">
        <v>1</v>
      </c>
      <c r="C4" s="2"/>
      <c r="D4" s="3"/>
      <c r="E4" s="3"/>
      <c r="F4" s="3"/>
      <c r="G4" s="3"/>
      <c r="H4" s="3"/>
      <c r="I4" s="2" t="s">
        <v>4</v>
      </c>
      <c r="J4" s="5">
        <f>+U20</f>
        <v>0.86851422046616955</v>
      </c>
      <c r="K4" s="3"/>
      <c r="L4" s="2"/>
      <c r="M4" s="66"/>
      <c r="N4" s="66"/>
      <c r="O4" s="66"/>
      <c r="P4" s="68"/>
      <c r="Q4" s="2"/>
      <c r="R4" s="3"/>
      <c r="S4" s="3"/>
      <c r="T4" s="3"/>
      <c r="U4" s="3"/>
    </row>
    <row r="5" spans="1:28" s="4" customFormat="1" ht="12.75" customHeight="1">
      <c r="A5" s="2" t="s">
        <v>5</v>
      </c>
      <c r="B5" s="6">
        <v>40438</v>
      </c>
      <c r="C5" s="7"/>
      <c r="D5" s="3"/>
      <c r="E5" s="3"/>
      <c r="F5" s="3"/>
      <c r="G5" s="3"/>
      <c r="H5" s="3"/>
      <c r="I5" s="2" t="s">
        <v>6</v>
      </c>
      <c r="J5" s="8">
        <f>+P20</f>
        <v>6.4493371212121211</v>
      </c>
      <c r="K5" s="3"/>
      <c r="L5" s="2"/>
      <c r="M5" s="66"/>
      <c r="N5" s="66"/>
      <c r="O5" s="66"/>
      <c r="P5" s="69"/>
      <c r="Q5" s="2"/>
      <c r="R5" s="3"/>
      <c r="S5" s="3"/>
      <c r="T5" s="3"/>
      <c r="U5" s="3"/>
    </row>
    <row r="6" spans="1:28" s="4" customFormat="1" ht="12.75" customHeight="1">
      <c r="A6" s="2"/>
      <c r="B6" s="2"/>
      <c r="C6" s="2"/>
      <c r="D6" s="3"/>
      <c r="E6" s="3"/>
      <c r="F6" s="3"/>
      <c r="G6" s="3"/>
      <c r="H6" s="3"/>
      <c r="I6" s="2"/>
      <c r="J6" s="3"/>
      <c r="K6" s="3"/>
      <c r="L6" s="3"/>
      <c r="M6" s="3"/>
      <c r="N6" s="3"/>
      <c r="O6" s="3"/>
      <c r="Q6" s="3"/>
      <c r="R6" s="3"/>
      <c r="S6" s="3"/>
      <c r="T6" s="3"/>
      <c r="U6" s="3"/>
    </row>
    <row r="7" spans="1:28" s="4" customFormat="1" ht="18">
      <c r="A7" s="2"/>
      <c r="B7" s="2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X7" s="103">
        <v>0.99</v>
      </c>
    </row>
    <row r="8" spans="1:28" ht="12.75" customHeight="1">
      <c r="B8" s="86" t="s">
        <v>7</v>
      </c>
      <c r="C8" s="86"/>
      <c r="D8" s="87" t="s">
        <v>8</v>
      </c>
      <c r="E8" s="88"/>
      <c r="F8" s="88"/>
      <c r="G8" s="88"/>
      <c r="H8" s="89"/>
      <c r="I8" s="90" t="s">
        <v>9</v>
      </c>
      <c r="J8" s="91"/>
      <c r="K8" s="91"/>
      <c r="L8" s="91"/>
      <c r="M8" s="92"/>
      <c r="N8" s="86" t="s">
        <v>10</v>
      </c>
      <c r="O8" s="86"/>
      <c r="P8" s="93" t="s">
        <v>11</v>
      </c>
      <c r="Q8" s="94"/>
      <c r="R8" s="95" t="s">
        <v>12</v>
      </c>
      <c r="S8" s="86" t="s">
        <v>13</v>
      </c>
      <c r="T8" s="86" t="s">
        <v>14</v>
      </c>
      <c r="U8" s="96" t="s">
        <v>15</v>
      </c>
      <c r="W8" s="100" t="s">
        <v>61</v>
      </c>
      <c r="X8" s="100"/>
      <c r="Y8" s="100"/>
      <c r="Z8" s="100"/>
      <c r="AA8" s="100"/>
      <c r="AB8" s="100"/>
    </row>
    <row r="9" spans="1:28" ht="22.5">
      <c r="A9" s="9" t="s">
        <v>16</v>
      </c>
      <c r="B9" s="61" t="s">
        <v>17</v>
      </c>
      <c r="C9" s="61" t="s">
        <v>18</v>
      </c>
      <c r="D9" s="11" t="s">
        <v>19</v>
      </c>
      <c r="E9" s="11" t="s">
        <v>20</v>
      </c>
      <c r="F9" s="9" t="s">
        <v>21</v>
      </c>
      <c r="G9" s="9" t="s">
        <v>22</v>
      </c>
      <c r="H9" s="9" t="s">
        <v>23</v>
      </c>
      <c r="I9" s="9" t="s">
        <v>19</v>
      </c>
      <c r="J9" s="9" t="s">
        <v>20</v>
      </c>
      <c r="K9" s="9" t="s">
        <v>21</v>
      </c>
      <c r="L9" s="9" t="s">
        <v>24</v>
      </c>
      <c r="M9" s="12" t="s">
        <v>25</v>
      </c>
      <c r="N9" s="61" t="s">
        <v>19</v>
      </c>
      <c r="O9" s="61" t="s">
        <v>21</v>
      </c>
      <c r="P9" s="61" t="s">
        <v>19</v>
      </c>
      <c r="Q9" s="61" t="s">
        <v>26</v>
      </c>
      <c r="R9" s="95"/>
      <c r="S9" s="86"/>
      <c r="T9" s="86"/>
      <c r="U9" s="96"/>
      <c r="W9" s="101" t="s">
        <v>59</v>
      </c>
      <c r="X9" s="102"/>
      <c r="Y9" s="101"/>
      <c r="Z9" s="101" t="s">
        <v>62</v>
      </c>
      <c r="AA9" s="101" t="s">
        <v>60</v>
      </c>
      <c r="AB9" s="101"/>
    </row>
    <row r="10" spans="1:28">
      <c r="A10" s="13">
        <v>1</v>
      </c>
      <c r="B10" s="74">
        <v>0</v>
      </c>
      <c r="C10" s="72">
        <v>8.5</v>
      </c>
      <c r="D10" s="14">
        <f>+'def (Muestra 20%)'!B20</f>
        <v>1565</v>
      </c>
      <c r="E10" s="15">
        <f t="shared" ref="E10:E20" si="0">+D10/N10</f>
        <v>0.99554707379134855</v>
      </c>
      <c r="F10" s="16">
        <f t="shared" ref="F10:F20" si="1">D10/$D$20</f>
        <v>0.11489611629102121</v>
      </c>
      <c r="G10" s="17">
        <f>F10</f>
        <v>0.11489611629102121</v>
      </c>
      <c r="H10" s="18">
        <f t="shared" ref="H10:H18" si="2">H11+F10</f>
        <v>1</v>
      </c>
      <c r="I10" s="14">
        <f>+'def (Muestra 20%)'!C20</f>
        <v>7</v>
      </c>
      <c r="J10" s="15">
        <f t="shared" ref="J10:J20" si="3">IF(N10&lt;&gt;0,I10/N10,0)</f>
        <v>4.4529262086513994E-3</v>
      </c>
      <c r="K10" s="16">
        <f t="shared" ref="K10:K20" si="4">I10/$I$20</f>
        <v>3.3143939393939395E-3</v>
      </c>
      <c r="L10" s="17">
        <f>+K10</f>
        <v>3.3143939393939395E-3</v>
      </c>
      <c r="M10" s="18">
        <f t="shared" ref="M10:M18" si="5">+M11+K10</f>
        <v>0.99999999999999989</v>
      </c>
      <c r="N10" s="19">
        <f t="shared" ref="N10:N19" si="6">+I10+D10</f>
        <v>1572</v>
      </c>
      <c r="O10" s="20">
        <f t="shared" ref="O10:O19" si="7">+N10/$N$20</f>
        <v>9.9917371130744295E-2</v>
      </c>
      <c r="P10" s="21">
        <f>IF(I10&lt;&gt;0,D10/I10,0)</f>
        <v>223.57142857142858</v>
      </c>
      <c r="Q10" s="22">
        <f>+SUM($D$10:D10)/SUM($I$10:I10)</f>
        <v>223.57142857142858</v>
      </c>
      <c r="R10" s="17">
        <f>ABS(L10-G10)</f>
        <v>0.11158172235162728</v>
      </c>
      <c r="S10" s="23">
        <f>+L10</f>
        <v>3.3143939393939395E-3</v>
      </c>
      <c r="T10" s="24">
        <f>+G10</f>
        <v>0.11489611629102121</v>
      </c>
      <c r="U10" s="25">
        <f>T10*S10</f>
        <v>3.80810991494862E-4</v>
      </c>
      <c r="W10" s="97">
        <f>+C10/1000</f>
        <v>8.5000000000000006E-3</v>
      </c>
      <c r="X10" s="98">
        <f>+NORMSINV($X$7)</f>
        <v>2.3263478740408399</v>
      </c>
      <c r="Y10" s="98">
        <f>+SQRT(N10*W10*(1-W10))</f>
        <v>3.6398383205851328</v>
      </c>
      <c r="Z10" s="98">
        <f>+N10*W10</f>
        <v>13.362</v>
      </c>
      <c r="AA10" s="98">
        <f>+X10*Y10+Z10</f>
        <v>21.829530138945607</v>
      </c>
      <c r="AB10" s="99" t="str">
        <f>+IF(I10&gt;AA10,"No cumple hipótesis","Cumple hipótesis")</f>
        <v>Cumple hipótesis</v>
      </c>
    </row>
    <row r="11" spans="1:28">
      <c r="A11" s="26">
        <v>2</v>
      </c>
      <c r="B11" s="75">
        <f>+C10+1</f>
        <v>9.5</v>
      </c>
      <c r="C11" s="73">
        <v>12.346000000000004</v>
      </c>
      <c r="D11" s="14">
        <f>+'def (Muestra 20%)'!B21</f>
        <v>1561</v>
      </c>
      <c r="E11" s="27">
        <f t="shared" si="0"/>
        <v>0.99111111111111116</v>
      </c>
      <c r="F11" s="28">
        <f t="shared" si="1"/>
        <v>0.11460245209602819</v>
      </c>
      <c r="G11" s="29">
        <f t="shared" ref="G11:G19" si="8">G10+F11</f>
        <v>0.22949856838704941</v>
      </c>
      <c r="H11" s="30">
        <f t="shared" si="2"/>
        <v>0.88510388370897874</v>
      </c>
      <c r="I11" s="14">
        <f>+'def (Muestra 20%)'!C21</f>
        <v>14</v>
      </c>
      <c r="J11" s="27">
        <f t="shared" si="3"/>
        <v>8.8888888888888889E-3</v>
      </c>
      <c r="K11" s="28">
        <f t="shared" si="4"/>
        <v>6.628787878787879E-3</v>
      </c>
      <c r="L11" s="29">
        <f t="shared" ref="L11:L19" si="9">+L10+K11</f>
        <v>9.943181818181818E-3</v>
      </c>
      <c r="M11" s="30">
        <f t="shared" si="5"/>
        <v>0.99668560606060597</v>
      </c>
      <c r="N11" s="19">
        <f t="shared" si="6"/>
        <v>1575</v>
      </c>
      <c r="O11" s="20">
        <f t="shared" si="7"/>
        <v>0.100108053136719</v>
      </c>
      <c r="P11" s="21">
        <f t="shared" ref="P11:P19" si="10">IF(I11&lt;&gt;0,D11/I11,0)</f>
        <v>111.5</v>
      </c>
      <c r="Q11" s="22">
        <f>+SUM($D$10:D11)/SUM($I$10:I11)</f>
        <v>148.85714285714286</v>
      </c>
      <c r="R11" s="29">
        <f t="shared" ref="R11:R19" si="11">ABS(L11-G11)</f>
        <v>0.21955538656886758</v>
      </c>
      <c r="S11" s="31">
        <f>+L11-L10</f>
        <v>6.6287878787878781E-3</v>
      </c>
      <c r="T11" s="32">
        <f>+G11+G10</f>
        <v>0.34439468467807061</v>
      </c>
      <c r="U11" s="20">
        <f t="shared" ref="U11:U19" si="12">T11*S11</f>
        <v>2.2829193113129676E-3</v>
      </c>
      <c r="W11" s="97">
        <f t="shared" ref="W11:W19" si="13">+C11/1000</f>
        <v>1.2346000000000003E-2</v>
      </c>
      <c r="X11" s="98">
        <f>+NORMSINV($X$7)</f>
        <v>2.3263478740408399</v>
      </c>
      <c r="Y11" s="98">
        <f t="shared" ref="Y11:Y19" si="14">+SQRT(N11*W11*(1-W11))</f>
        <v>4.3823375779713736</v>
      </c>
      <c r="Z11" s="98">
        <f t="shared" ref="Z11:Z19" si="15">+N11*W11</f>
        <v>19.444950000000006</v>
      </c>
      <c r="AA11" s="98">
        <f t="shared" ref="AA11:AA19" si="16">+X11*Y11+Z11</f>
        <v>29.639791707842996</v>
      </c>
      <c r="AB11" s="99" t="str">
        <f t="shared" ref="AB11:AB19" si="17">+IF(I11&gt;AA11,"No cumple hipótesis","Cumple hipótesis")</f>
        <v>Cumple hipótesis</v>
      </c>
    </row>
    <row r="12" spans="1:28">
      <c r="A12" s="26">
        <v>3</v>
      </c>
      <c r="B12" s="75">
        <f t="shared" ref="B12:B19" si="18">+C11+1</f>
        <v>13.346000000000004</v>
      </c>
      <c r="C12" s="73">
        <v>16.62</v>
      </c>
      <c r="D12" s="14">
        <f>+'def (Muestra 20%)'!B22</f>
        <v>1557</v>
      </c>
      <c r="E12" s="27">
        <f t="shared" si="0"/>
        <v>0.99361837906828332</v>
      </c>
      <c r="F12" s="28">
        <f t="shared" si="1"/>
        <v>0.11430878790103517</v>
      </c>
      <c r="G12" s="29">
        <f t="shared" si="8"/>
        <v>0.34380735628808456</v>
      </c>
      <c r="H12" s="30">
        <f t="shared" si="2"/>
        <v>0.77050143161295059</v>
      </c>
      <c r="I12" s="14">
        <f>+'def (Muestra 20%)'!C22</f>
        <v>10</v>
      </c>
      <c r="J12" s="27">
        <f t="shared" si="3"/>
        <v>6.3816209317166563E-3</v>
      </c>
      <c r="K12" s="28">
        <f t="shared" si="4"/>
        <v>4.734848484848485E-3</v>
      </c>
      <c r="L12" s="29">
        <f t="shared" si="9"/>
        <v>1.4678030303030304E-2</v>
      </c>
      <c r="M12" s="30">
        <f t="shared" si="5"/>
        <v>0.99005681818181812</v>
      </c>
      <c r="N12" s="19">
        <f t="shared" si="6"/>
        <v>1567</v>
      </c>
      <c r="O12" s="20">
        <f t="shared" si="7"/>
        <v>9.959956778745313E-2</v>
      </c>
      <c r="P12" s="21">
        <f t="shared" si="10"/>
        <v>155.69999999999999</v>
      </c>
      <c r="Q12" s="22">
        <f>+SUM($D$10:D12)/SUM($I$10:I12)</f>
        <v>151.06451612903226</v>
      </c>
      <c r="R12" s="29">
        <f t="shared" si="11"/>
        <v>0.32912932598505429</v>
      </c>
      <c r="S12" s="31">
        <f t="shared" ref="S12:S19" si="19">+L12-L11</f>
        <v>4.7348484848484858E-3</v>
      </c>
      <c r="T12" s="32">
        <f t="shared" ref="T12:T19" si="20">+G12+G11</f>
        <v>0.57330592467513397</v>
      </c>
      <c r="U12" s="20">
        <f t="shared" si="12"/>
        <v>2.7145166888027181E-3</v>
      </c>
      <c r="W12" s="97">
        <f t="shared" si="13"/>
        <v>1.6619999999999999E-2</v>
      </c>
      <c r="X12" s="98">
        <f>+NORMSINV($X$7)</f>
        <v>2.3263478740408399</v>
      </c>
      <c r="Y12" s="98">
        <f t="shared" si="14"/>
        <v>5.0607011732762883</v>
      </c>
      <c r="Z12" s="98">
        <f t="shared" si="15"/>
        <v>26.04354</v>
      </c>
      <c r="AA12" s="98">
        <f t="shared" si="16"/>
        <v>37.816491415607274</v>
      </c>
      <c r="AB12" s="99" t="str">
        <f t="shared" si="17"/>
        <v>Cumple hipótesis</v>
      </c>
    </row>
    <row r="13" spans="1:28">
      <c r="A13" s="26">
        <v>4</v>
      </c>
      <c r="B13" s="75">
        <f t="shared" si="18"/>
        <v>17.62</v>
      </c>
      <c r="C13" s="73">
        <v>21.53</v>
      </c>
      <c r="D13" s="14">
        <f>+'def (Muestra 20%)'!B23</f>
        <v>1558</v>
      </c>
      <c r="E13" s="27">
        <f t="shared" si="0"/>
        <v>0.9892063492063492</v>
      </c>
      <c r="F13" s="28">
        <f t="shared" si="1"/>
        <v>0.11438220394978342</v>
      </c>
      <c r="G13" s="29">
        <f t="shared" si="8"/>
        <v>0.458189560237868</v>
      </c>
      <c r="H13" s="30">
        <f t="shared" si="2"/>
        <v>0.65619264371191544</v>
      </c>
      <c r="I13" s="14">
        <f>+'def (Muestra 20%)'!C23</f>
        <v>17</v>
      </c>
      <c r="J13" s="27">
        <f t="shared" si="3"/>
        <v>1.0793650793650795E-2</v>
      </c>
      <c r="K13" s="28">
        <f t="shared" si="4"/>
        <v>8.049242424242424E-3</v>
      </c>
      <c r="L13" s="29">
        <f t="shared" si="9"/>
        <v>2.2727272727272728E-2</v>
      </c>
      <c r="M13" s="30">
        <f t="shared" si="5"/>
        <v>0.98532196969696961</v>
      </c>
      <c r="N13" s="19">
        <f t="shared" si="6"/>
        <v>1575</v>
      </c>
      <c r="O13" s="20">
        <f t="shared" si="7"/>
        <v>0.100108053136719</v>
      </c>
      <c r="P13" s="21">
        <f t="shared" si="10"/>
        <v>91.647058823529406</v>
      </c>
      <c r="Q13" s="22">
        <f>+SUM($D$10:D13)/SUM($I$10:I13)</f>
        <v>130.02083333333334</v>
      </c>
      <c r="R13" s="29">
        <f t="shared" si="11"/>
        <v>0.43546228751059529</v>
      </c>
      <c r="S13" s="31">
        <f t="shared" si="19"/>
        <v>8.049242424242424E-3</v>
      </c>
      <c r="T13" s="32">
        <f t="shared" si="20"/>
        <v>0.80199691652595262</v>
      </c>
      <c r="U13" s="20">
        <f t="shared" si="12"/>
        <v>6.4554676046123076E-3</v>
      </c>
      <c r="W13" s="97">
        <f t="shared" si="13"/>
        <v>2.1530000000000001E-2</v>
      </c>
      <c r="X13" s="98">
        <f>+NORMSINV($X$7)</f>
        <v>2.3263478740408399</v>
      </c>
      <c r="Y13" s="98">
        <f t="shared" si="14"/>
        <v>5.7601799522671167</v>
      </c>
      <c r="Z13" s="98">
        <f t="shared" si="15"/>
        <v>33.909750000000003</v>
      </c>
      <c r="AA13" s="98">
        <f t="shared" si="16"/>
        <v>47.309932386049276</v>
      </c>
      <c r="AB13" s="99" t="str">
        <f t="shared" si="17"/>
        <v>Cumple hipótesis</v>
      </c>
    </row>
    <row r="14" spans="1:28">
      <c r="A14" s="26">
        <v>5</v>
      </c>
      <c r="B14" s="75">
        <f t="shared" si="18"/>
        <v>22.53</v>
      </c>
      <c r="C14" s="73">
        <v>27.459999999999997</v>
      </c>
      <c r="D14" s="14">
        <f>+'def (Muestra 20%)'!B24</f>
        <v>1541</v>
      </c>
      <c r="E14" s="27">
        <f t="shared" si="0"/>
        <v>0.97717184527584022</v>
      </c>
      <c r="F14" s="28">
        <f t="shared" si="1"/>
        <v>0.11313413112106306</v>
      </c>
      <c r="G14" s="29">
        <f t="shared" si="8"/>
        <v>0.57132369135893102</v>
      </c>
      <c r="H14" s="30">
        <f t="shared" si="2"/>
        <v>0.54181043976213206</v>
      </c>
      <c r="I14" s="14">
        <f>+'def (Muestra 20%)'!C24</f>
        <v>36</v>
      </c>
      <c r="J14" s="27">
        <f t="shared" si="3"/>
        <v>2.2828154724159798E-2</v>
      </c>
      <c r="K14" s="28">
        <f t="shared" si="4"/>
        <v>1.7045454545454544E-2</v>
      </c>
      <c r="L14" s="29">
        <f t="shared" si="9"/>
        <v>3.9772727272727272E-2</v>
      </c>
      <c r="M14" s="30">
        <f t="shared" si="5"/>
        <v>0.97727272727272718</v>
      </c>
      <c r="N14" s="19">
        <f t="shared" si="6"/>
        <v>1577</v>
      </c>
      <c r="O14" s="20">
        <f t="shared" si="7"/>
        <v>0.10023517447403546</v>
      </c>
      <c r="P14" s="21">
        <f t="shared" si="10"/>
        <v>42.805555555555557</v>
      </c>
      <c r="Q14" s="22">
        <f>+SUM($D$10:D14)/SUM($I$10:I14)</f>
        <v>92.642857142857139</v>
      </c>
      <c r="R14" s="29">
        <f t="shared" si="11"/>
        <v>0.53155096408620373</v>
      </c>
      <c r="S14" s="31">
        <f t="shared" si="19"/>
        <v>1.7045454545454544E-2</v>
      </c>
      <c r="T14" s="32">
        <f t="shared" si="20"/>
        <v>1.0295132515967991</v>
      </c>
      <c r="U14" s="20">
        <f t="shared" si="12"/>
        <v>1.7548521334036348E-2</v>
      </c>
      <c r="W14" s="97">
        <f t="shared" si="13"/>
        <v>2.7459999999999998E-2</v>
      </c>
      <c r="X14" s="98">
        <f>+NORMSINV($X$7)</f>
        <v>2.3263478740408399</v>
      </c>
      <c r="Y14" s="98">
        <f t="shared" si="14"/>
        <v>6.4896286971443908</v>
      </c>
      <c r="Z14" s="98">
        <f t="shared" si="15"/>
        <v>43.30442</v>
      </c>
      <c r="AA14" s="98">
        <f t="shared" si="16"/>
        <v>58.401553922916278</v>
      </c>
      <c r="AB14" s="99" t="str">
        <f t="shared" si="17"/>
        <v>Cumple hipótesis</v>
      </c>
    </row>
    <row r="15" spans="1:28">
      <c r="A15" s="26">
        <v>6</v>
      </c>
      <c r="B15" s="75">
        <f t="shared" si="18"/>
        <v>28.459999999999997</v>
      </c>
      <c r="C15" s="73">
        <v>34.99</v>
      </c>
      <c r="D15" s="14">
        <f>+'def (Muestra 20%)'!B25</f>
        <v>1545</v>
      </c>
      <c r="E15" s="27">
        <f t="shared" si="0"/>
        <v>0.98157560355781448</v>
      </c>
      <c r="F15" s="28">
        <f t="shared" si="1"/>
        <v>0.1134277953160561</v>
      </c>
      <c r="G15" s="29">
        <f t="shared" si="8"/>
        <v>0.68475148667498709</v>
      </c>
      <c r="H15" s="30">
        <f t="shared" si="2"/>
        <v>0.42867630864106898</v>
      </c>
      <c r="I15" s="14">
        <f>+'def (Muestra 20%)'!C25</f>
        <v>29</v>
      </c>
      <c r="J15" s="27">
        <f t="shared" si="3"/>
        <v>1.8424396442185513E-2</v>
      </c>
      <c r="K15" s="28">
        <f t="shared" si="4"/>
        <v>1.3731060606060606E-2</v>
      </c>
      <c r="L15" s="29">
        <f t="shared" si="9"/>
        <v>5.350378787878788E-2</v>
      </c>
      <c r="M15" s="30">
        <f t="shared" si="5"/>
        <v>0.9602272727272726</v>
      </c>
      <c r="N15" s="19">
        <f t="shared" si="6"/>
        <v>1574</v>
      </c>
      <c r="O15" s="20">
        <f t="shared" si="7"/>
        <v>0.10004449246806077</v>
      </c>
      <c r="P15" s="21">
        <f t="shared" si="10"/>
        <v>53.275862068965516</v>
      </c>
      <c r="Q15" s="22">
        <f>+SUM($D$10:D15)/SUM($I$10:I15)</f>
        <v>82.539823008849552</v>
      </c>
      <c r="R15" s="29">
        <f t="shared" si="11"/>
        <v>0.63124769879619924</v>
      </c>
      <c r="S15" s="31">
        <f t="shared" si="19"/>
        <v>1.3731060606060608E-2</v>
      </c>
      <c r="T15" s="32">
        <f t="shared" si="20"/>
        <v>1.2560751780339181</v>
      </c>
      <c r="U15" s="20">
        <f t="shared" si="12"/>
        <v>1.7247244395352097E-2</v>
      </c>
      <c r="W15" s="97">
        <f t="shared" si="13"/>
        <v>3.499E-2</v>
      </c>
      <c r="X15" s="98">
        <f>+NORMSINV($X$7)</f>
        <v>2.3263478740408399</v>
      </c>
      <c r="Y15" s="98">
        <f t="shared" si="14"/>
        <v>7.2902134154357929</v>
      </c>
      <c r="Z15" s="98">
        <f t="shared" si="15"/>
        <v>55.074260000000002</v>
      </c>
      <c r="AA15" s="98">
        <f t="shared" si="16"/>
        <v>72.033832480303062</v>
      </c>
      <c r="AB15" s="99" t="str">
        <f t="shared" si="17"/>
        <v>Cumple hipótesis</v>
      </c>
    </row>
    <row r="16" spans="1:28">
      <c r="A16" s="26">
        <v>7</v>
      </c>
      <c r="B16" s="75">
        <f t="shared" si="18"/>
        <v>35.99</v>
      </c>
      <c r="C16" s="73">
        <v>48.065999999999981</v>
      </c>
      <c r="D16" s="14">
        <f>+'def (Muestra 20%)'!B26</f>
        <v>1501</v>
      </c>
      <c r="E16" s="27">
        <f t="shared" si="0"/>
        <v>0.9548346055979644</v>
      </c>
      <c r="F16" s="28">
        <f t="shared" si="1"/>
        <v>0.11019748917113281</v>
      </c>
      <c r="G16" s="29">
        <f t="shared" si="8"/>
        <v>0.7949489758461199</v>
      </c>
      <c r="H16" s="30">
        <f t="shared" si="2"/>
        <v>0.31524851332501286</v>
      </c>
      <c r="I16" s="14">
        <f>+'def (Muestra 20%)'!C26</f>
        <v>71</v>
      </c>
      <c r="J16" s="27">
        <f t="shared" si="3"/>
        <v>4.5165394402035625E-2</v>
      </c>
      <c r="K16" s="28">
        <f t="shared" si="4"/>
        <v>3.361742424242424E-2</v>
      </c>
      <c r="L16" s="29">
        <f t="shared" si="9"/>
        <v>8.7121212121212127E-2</v>
      </c>
      <c r="M16" s="30">
        <f t="shared" si="5"/>
        <v>0.94649621212121204</v>
      </c>
      <c r="N16" s="19">
        <f t="shared" si="6"/>
        <v>1572</v>
      </c>
      <c r="O16" s="20">
        <f t="shared" si="7"/>
        <v>9.9917371130744295E-2</v>
      </c>
      <c r="P16" s="21">
        <f t="shared" si="10"/>
        <v>21.140845070422536</v>
      </c>
      <c r="Q16" s="22">
        <f>+SUM($D$10:D16)/SUM($I$10:I16)</f>
        <v>58.847826086956523</v>
      </c>
      <c r="R16" s="29">
        <f t="shared" si="11"/>
        <v>0.70782776372490774</v>
      </c>
      <c r="S16" s="31">
        <f t="shared" si="19"/>
        <v>3.3617424242424247E-2</v>
      </c>
      <c r="T16" s="32">
        <f t="shared" si="20"/>
        <v>1.479700462521107</v>
      </c>
      <c r="U16" s="20">
        <f>T16*S16</f>
        <v>4.9743718200283435E-2</v>
      </c>
      <c r="W16" s="97">
        <f t="shared" si="13"/>
        <v>4.8065999999999984E-2</v>
      </c>
      <c r="X16" s="98">
        <f>+NORMSINV($X$7)</f>
        <v>2.3263478740408399</v>
      </c>
      <c r="Y16" s="98">
        <f t="shared" si="14"/>
        <v>8.4810315976517838</v>
      </c>
      <c r="Z16" s="98">
        <f t="shared" si="15"/>
        <v>75.559751999999975</v>
      </c>
      <c r="AA16" s="98">
        <f t="shared" si="16"/>
        <v>95.289581826870389</v>
      </c>
      <c r="AB16" s="99" t="str">
        <f t="shared" si="17"/>
        <v>Cumple hipótesis</v>
      </c>
    </row>
    <row r="17" spans="1:28">
      <c r="A17" s="26">
        <v>8</v>
      </c>
      <c r="B17" s="75">
        <f t="shared" si="18"/>
        <v>49.065999999999981</v>
      </c>
      <c r="C17" s="73">
        <v>94.398000000000025</v>
      </c>
      <c r="D17" s="14">
        <f>+'def (Muestra 20%)'!B27</f>
        <v>1460</v>
      </c>
      <c r="E17" s="27">
        <f t="shared" si="0"/>
        <v>0.92757306226175351</v>
      </c>
      <c r="F17" s="28">
        <f t="shared" si="1"/>
        <v>0.1071874311724543</v>
      </c>
      <c r="G17" s="29">
        <f t="shared" si="8"/>
        <v>0.90213640701857423</v>
      </c>
      <c r="H17" s="30">
        <f t="shared" si="2"/>
        <v>0.20505102415388005</v>
      </c>
      <c r="I17" s="14">
        <f>+'def (Muestra 20%)'!C27</f>
        <v>114</v>
      </c>
      <c r="J17" s="27">
        <f t="shared" si="3"/>
        <v>7.2426937738246502E-2</v>
      </c>
      <c r="K17" s="28">
        <f t="shared" si="4"/>
        <v>5.3977272727272728E-2</v>
      </c>
      <c r="L17" s="29">
        <f t="shared" si="9"/>
        <v>0.14109848484848486</v>
      </c>
      <c r="M17" s="30">
        <f t="shared" si="5"/>
        <v>0.91287878787878785</v>
      </c>
      <c r="N17" s="19">
        <f t="shared" si="6"/>
        <v>1574</v>
      </c>
      <c r="O17" s="20">
        <f t="shared" si="7"/>
        <v>0.10004449246806077</v>
      </c>
      <c r="P17" s="21">
        <f t="shared" si="10"/>
        <v>12.807017543859649</v>
      </c>
      <c r="Q17" s="22">
        <f>+SUM($D$10:D17)/SUM($I$10:I17)</f>
        <v>41.234899328859058</v>
      </c>
      <c r="R17" s="29">
        <f t="shared" si="11"/>
        <v>0.76103792217008936</v>
      </c>
      <c r="S17" s="31">
        <f t="shared" si="19"/>
        <v>5.3977272727272735E-2</v>
      </c>
      <c r="T17" s="32">
        <f t="shared" si="20"/>
        <v>1.6970853828646941</v>
      </c>
      <c r="U17" s="20">
        <f t="shared" si="12"/>
        <v>9.1604040552355659E-2</v>
      </c>
      <c r="W17" s="97">
        <f t="shared" si="13"/>
        <v>9.4398000000000024E-2</v>
      </c>
      <c r="X17" s="98">
        <f>+NORMSINV($X$7)</f>
        <v>2.3263478740408399</v>
      </c>
      <c r="Y17" s="98">
        <f t="shared" si="14"/>
        <v>11.59985196871512</v>
      </c>
      <c r="Z17" s="98">
        <f t="shared" si="15"/>
        <v>148.58245200000005</v>
      </c>
      <c r="AA17" s="98">
        <f t="shared" si="16"/>
        <v>175.5677429666089</v>
      </c>
      <c r="AB17" s="99" t="str">
        <f t="shared" si="17"/>
        <v>Cumple hipótesis</v>
      </c>
    </row>
    <row r="18" spans="1:28">
      <c r="A18" s="26">
        <v>9</v>
      </c>
      <c r="B18" s="75">
        <f t="shared" si="18"/>
        <v>95.398000000000025</v>
      </c>
      <c r="C18" s="73">
        <v>613.74</v>
      </c>
      <c r="D18" s="14">
        <f>+'def (Muestra 20%)'!B28</f>
        <v>1094</v>
      </c>
      <c r="E18" s="27">
        <f t="shared" si="0"/>
        <v>0.69548633184996822</v>
      </c>
      <c r="F18" s="28">
        <f t="shared" si="1"/>
        <v>8.031715733059247E-2</v>
      </c>
      <c r="G18" s="29">
        <f t="shared" si="8"/>
        <v>0.98245356434916675</v>
      </c>
      <c r="H18" s="30">
        <f t="shared" si="2"/>
        <v>9.7863592981425745E-2</v>
      </c>
      <c r="I18" s="14">
        <f>+'def (Muestra 20%)'!C28</f>
        <v>479</v>
      </c>
      <c r="J18" s="27">
        <f t="shared" si="3"/>
        <v>0.30451366815003178</v>
      </c>
      <c r="K18" s="28">
        <f t="shared" si="4"/>
        <v>0.22679924242424243</v>
      </c>
      <c r="L18" s="29">
        <f t="shared" si="9"/>
        <v>0.36789772727272729</v>
      </c>
      <c r="M18" s="30">
        <f t="shared" si="5"/>
        <v>0.85890151515151514</v>
      </c>
      <c r="N18" s="19">
        <f t="shared" si="6"/>
        <v>1573</v>
      </c>
      <c r="O18" s="20">
        <f t="shared" si="7"/>
        <v>9.9980931799402525E-2</v>
      </c>
      <c r="P18" s="21">
        <f t="shared" si="10"/>
        <v>2.2839248434237995</v>
      </c>
      <c r="Q18" s="22">
        <f>+SUM($D$10:D18)/SUM($I$10:I18)</f>
        <v>17.222651222651223</v>
      </c>
      <c r="R18" s="29">
        <f t="shared" si="11"/>
        <v>0.61455583707643946</v>
      </c>
      <c r="S18" s="31">
        <f t="shared" si="19"/>
        <v>0.22679924242424243</v>
      </c>
      <c r="T18" s="32">
        <f t="shared" si="20"/>
        <v>1.884589971367741</v>
      </c>
      <c r="U18" s="20">
        <f t="shared" si="12"/>
        <v>0.4274235777865284</v>
      </c>
      <c r="W18" s="97">
        <f t="shared" si="13"/>
        <v>0.61374000000000006</v>
      </c>
      <c r="X18" s="98">
        <f>+NORMSINV($X$7)</f>
        <v>2.3263478740408399</v>
      </c>
      <c r="Y18" s="98">
        <f t="shared" si="14"/>
        <v>19.310630054589105</v>
      </c>
      <c r="Z18" s="98">
        <f t="shared" si="15"/>
        <v>965.41302000000007</v>
      </c>
      <c r="AA18" s="98">
        <f t="shared" si="16"/>
        <v>1010.3362631738826</v>
      </c>
      <c r="AB18" s="99" t="str">
        <f t="shared" si="17"/>
        <v>Cumple hipótesis</v>
      </c>
    </row>
    <row r="19" spans="1:28">
      <c r="A19" s="26">
        <v>10</v>
      </c>
      <c r="B19" s="75">
        <f t="shared" si="18"/>
        <v>614.74</v>
      </c>
      <c r="C19" s="73">
        <v>999.89</v>
      </c>
      <c r="D19" s="14">
        <f>+'def (Muestra 20%)'!B29</f>
        <v>239</v>
      </c>
      <c r="E19" s="27">
        <f t="shared" si="0"/>
        <v>0.15184243964421856</v>
      </c>
      <c r="F19" s="28">
        <f t="shared" si="1"/>
        <v>1.7546435650833272E-2</v>
      </c>
      <c r="G19" s="29">
        <f t="shared" si="8"/>
        <v>1</v>
      </c>
      <c r="H19" s="30">
        <f>F19</f>
        <v>1.7546435650833272E-2</v>
      </c>
      <c r="I19" s="14">
        <f>+'def (Muestra 20%)'!C29</f>
        <v>1335</v>
      </c>
      <c r="J19" s="27">
        <f t="shared" si="3"/>
        <v>0.84815756035578149</v>
      </c>
      <c r="K19" s="28">
        <f t="shared" si="4"/>
        <v>0.63210227272727271</v>
      </c>
      <c r="L19" s="29">
        <f t="shared" si="9"/>
        <v>1</v>
      </c>
      <c r="M19" s="30">
        <f>+K19</f>
        <v>0.63210227272727271</v>
      </c>
      <c r="N19" s="19">
        <f t="shared" si="6"/>
        <v>1574</v>
      </c>
      <c r="O19" s="20">
        <f t="shared" si="7"/>
        <v>0.10004449246806077</v>
      </c>
      <c r="P19" s="21">
        <f t="shared" si="10"/>
        <v>0.17902621722846443</v>
      </c>
      <c r="Q19" s="22">
        <f>+SUM($D$10:D19)/SUM($I$10:I19)</f>
        <v>6.4493371212121211</v>
      </c>
      <c r="R19" s="29">
        <f t="shared" si="11"/>
        <v>0</v>
      </c>
      <c r="S19" s="31">
        <f t="shared" si="19"/>
        <v>0.63210227272727271</v>
      </c>
      <c r="T19" s="32">
        <f t="shared" si="20"/>
        <v>1.9824535643491668</v>
      </c>
      <c r="U19" s="20">
        <f t="shared" si="12"/>
        <v>1.2531134036013909</v>
      </c>
      <c r="W19" s="97">
        <f t="shared" si="13"/>
        <v>0.99988999999999995</v>
      </c>
      <c r="X19" s="98">
        <f>+NORMSINV($X$7)</f>
        <v>2.3263478740408399</v>
      </c>
      <c r="Y19" s="98">
        <f t="shared" si="14"/>
        <v>0.41607806310845774</v>
      </c>
      <c r="Z19" s="98">
        <f t="shared" si="15"/>
        <v>1573.8268599999999</v>
      </c>
      <c r="AA19" s="98">
        <f t="shared" si="16"/>
        <v>1574.7948023175472</v>
      </c>
      <c r="AB19" s="99" t="str">
        <f t="shared" si="17"/>
        <v>Cumple hipótesis</v>
      </c>
    </row>
    <row r="20" spans="1:28" s="43" customFormat="1">
      <c r="A20" s="83" t="s">
        <v>10</v>
      </c>
      <c r="B20" s="84"/>
      <c r="C20" s="33"/>
      <c r="D20" s="34">
        <f>SUM(D10:D19)</f>
        <v>13621</v>
      </c>
      <c r="E20" s="35">
        <f t="shared" si="0"/>
        <v>0.8657598677938092</v>
      </c>
      <c r="F20" s="36">
        <f t="shared" si="1"/>
        <v>1</v>
      </c>
      <c r="G20" s="37"/>
      <c r="H20" s="38"/>
      <c r="I20" s="39">
        <f>SUM(I10:I19)</f>
        <v>2112</v>
      </c>
      <c r="J20" s="62">
        <f t="shared" si="3"/>
        <v>0.1342401322061908</v>
      </c>
      <c r="K20" s="36">
        <f t="shared" si="4"/>
        <v>1</v>
      </c>
      <c r="L20" s="37"/>
      <c r="M20" s="38"/>
      <c r="N20" s="39">
        <f>SUM(N10:N19)</f>
        <v>15733</v>
      </c>
      <c r="O20" s="40">
        <f>SUM(O10:O19)</f>
        <v>1</v>
      </c>
      <c r="P20" s="41">
        <f>+D20/I20</f>
        <v>6.4493371212121211</v>
      </c>
      <c r="Q20" s="41"/>
      <c r="R20" s="70">
        <f>MAX(R10:R19)</f>
        <v>0.76103792217008936</v>
      </c>
      <c r="S20" s="42"/>
      <c r="T20" s="42"/>
      <c r="U20" s="70">
        <f>ABS(1-SUM(U10:U19))</f>
        <v>0.86851422046616955</v>
      </c>
    </row>
    <row r="22" spans="1:28" ht="15.75">
      <c r="A22" s="44" t="s">
        <v>27</v>
      </c>
    </row>
    <row r="26" spans="1:28">
      <c r="P26" s="45"/>
      <c r="Q26" s="45"/>
    </row>
    <row r="27" spans="1:28">
      <c r="P27" s="45"/>
      <c r="Q27" s="45"/>
    </row>
    <row r="28" spans="1:28">
      <c r="P28" s="45"/>
      <c r="Q28" s="45"/>
    </row>
  </sheetData>
  <mergeCells count="12">
    <mergeCell ref="W8:AB8"/>
    <mergeCell ref="A20:B20"/>
    <mergeCell ref="A1:U1"/>
    <mergeCell ref="B8:C8"/>
    <mergeCell ref="D8:H8"/>
    <mergeCell ref="I8:M8"/>
    <mergeCell ref="N8:O8"/>
    <mergeCell ref="P8:Q8"/>
    <mergeCell ref="R8:R9"/>
    <mergeCell ref="S8:S9"/>
    <mergeCell ref="T8:T9"/>
    <mergeCell ref="U8:U9"/>
  </mergeCells>
  <conditionalFormatting sqref="R10:R1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0:J19">
    <cfRule type="dataBar" priority="4">
      <dataBar>
        <cfvo type="min" val="0"/>
        <cfvo type="max" val="0"/>
        <color rgb="FF638EC6"/>
      </dataBar>
    </cfRule>
  </conditionalFormatting>
  <conditionalFormatting sqref="P10:P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0:E19">
    <cfRule type="dataBar" priority="2">
      <dataBar>
        <cfvo type="min" val="0"/>
        <cfvo type="max" val="0"/>
        <color rgb="FF638EC6"/>
      </dataBar>
    </cfRule>
  </conditionalFormatting>
  <conditionalFormatting sqref="F10:F19">
    <cfRule type="dataBar" priority="1">
      <dataBar>
        <cfvo type="min" val="0"/>
        <cfvo type="max" val="0"/>
        <color rgb="FFFF555A"/>
      </dataBar>
    </cfRule>
  </conditionalFormatting>
  <pageMargins left="0.75" right="0.75" top="1" bottom="1" header="0" footer="0"/>
  <pageSetup paperSize="9" scale="48" orientation="portrait" r:id="rId1"/>
  <headerFooter alignWithMargins="0"/>
  <drawing r:id="rId2"/>
  <legacyDrawing r:id="rId3"/>
  <oleObjects>
    <oleObject progId="Equation.3" shapeId="3077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def Modelo 2</vt:lpstr>
      <vt:lpstr>BT Modelo 2</vt:lpstr>
      <vt:lpstr>def (Muestra 20%)</vt:lpstr>
      <vt:lpstr>BT Modelo 2  (MUESTRA 20%)</vt:lpstr>
      <vt:lpstr>'BT Modelo 2'!Área_de_impresión</vt:lpstr>
      <vt:lpstr>'BT Modelo 2  (MUESTRA 20%)'!Área_de_impresión</vt:lpstr>
    </vt:vector>
  </TitlesOfParts>
  <Company>GRUPO SOLIDARIO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VELASQUEZM</dc:creator>
  <cp:lastModifiedBy>Sergio Sotomayor</cp:lastModifiedBy>
  <cp:lastPrinted>2010-08-20T21:41:14Z</cp:lastPrinted>
  <dcterms:created xsi:type="dcterms:W3CDTF">2009-12-08T17:12:58Z</dcterms:created>
  <dcterms:modified xsi:type="dcterms:W3CDTF">2011-01-20T23:02:28Z</dcterms:modified>
</cp:coreProperties>
</file>