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i\Desktop\MyNotes\Excel Vari\"/>
    </mc:Choice>
  </mc:AlternateContent>
  <xr:revisionPtr revIDLastSave="0" documentId="13_ncr:1_{998DBBE5-D60C-4DFB-93EC-72E2EC0A9363}" xr6:coauthVersionLast="47" xr6:coauthVersionMax="47" xr10:uidLastSave="{00000000-0000-0000-0000-000000000000}"/>
  <bookViews>
    <workbookView xWindow="-120" yWindow="-120" windowWidth="20640" windowHeight="11160" firstSheet="1" activeTab="4" xr2:uid="{00000000-000D-0000-FFFF-FFFF00000000}"/>
  </bookViews>
  <sheets>
    <sheet name="Premier League 22-23" sheetId="1" r:id="rId1"/>
    <sheet name="Serie A 22-23" sheetId="2" r:id="rId2"/>
    <sheet name="Bundesliga 22-23" sheetId="3" r:id="rId3"/>
    <sheet name="Scommesse Gol rischiosa" sheetId="5" r:id="rId4"/>
    <sheet name="Scommesse Gol non rischiosa" sheetId="6" r:id="rId5"/>
    <sheet name="modulo di calcolo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6" l="1"/>
  <c r="G20" i="6" s="1"/>
  <c r="G19" i="6"/>
  <c r="F19" i="6"/>
  <c r="E25" i="6"/>
  <c r="F18" i="7"/>
  <c r="G18" i="7" s="1"/>
  <c r="F19" i="7"/>
  <c r="G19" i="7" s="1"/>
  <c r="F20" i="7"/>
  <c r="G20" i="7" s="1"/>
  <c r="F6" i="7"/>
  <c r="G6" i="7" s="1"/>
  <c r="H4" i="5"/>
  <c r="H5" i="5"/>
  <c r="H6" i="5"/>
  <c r="H7" i="5"/>
  <c r="H8" i="5"/>
  <c r="H9" i="5"/>
  <c r="H10" i="5"/>
  <c r="H11" i="5"/>
  <c r="H12" i="5"/>
  <c r="H13" i="5"/>
  <c r="H14" i="5"/>
  <c r="H15" i="5"/>
  <c r="F5" i="7"/>
  <c r="G5" i="7" s="1"/>
  <c r="E30" i="7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4" i="7"/>
  <c r="G4" i="7" s="1"/>
  <c r="G5" i="5"/>
  <c r="F5" i="5"/>
  <c r="F12" i="6"/>
  <c r="G12" i="6" s="1"/>
  <c r="F13" i="5"/>
  <c r="G13" i="5" s="1"/>
  <c r="F15" i="5"/>
  <c r="G15" i="5" s="1"/>
  <c r="F14" i="5"/>
  <c r="G14" i="5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6" i="5"/>
  <c r="G6" i="5" s="1"/>
  <c r="F4" i="5"/>
  <c r="E26" i="5"/>
  <c r="D38" i="3"/>
  <c r="B38" i="3"/>
  <c r="C38" i="3"/>
  <c r="D5" i="3"/>
  <c r="D4" i="3"/>
  <c r="B35" i="3"/>
  <c r="E35" i="3"/>
  <c r="D35" i="3"/>
  <c r="C35" i="3"/>
  <c r="E34" i="3"/>
  <c r="C34" i="3"/>
  <c r="B34" i="3"/>
  <c r="B33" i="3"/>
  <c r="D32" i="3"/>
  <c r="C32" i="3"/>
  <c r="B32" i="3"/>
  <c r="B31" i="3"/>
  <c r="E31" i="3"/>
  <c r="C30" i="3"/>
  <c r="B30" i="3"/>
  <c r="D30" i="3"/>
  <c r="B29" i="3"/>
  <c r="C29" i="3"/>
  <c r="E29" i="3"/>
  <c r="C28" i="3"/>
  <c r="B28" i="3"/>
  <c r="E27" i="3"/>
  <c r="B27" i="3"/>
  <c r="D27" i="3"/>
  <c r="C27" i="3"/>
  <c r="D26" i="3"/>
  <c r="B26" i="3"/>
  <c r="C26" i="3"/>
  <c r="E26" i="3"/>
  <c r="E25" i="3"/>
  <c r="D25" i="3"/>
  <c r="C25" i="3"/>
  <c r="B25" i="3"/>
  <c r="D24" i="3"/>
  <c r="B24" i="3"/>
  <c r="C24" i="3"/>
  <c r="E24" i="3"/>
  <c r="D23" i="3"/>
  <c r="B23" i="3"/>
  <c r="C23" i="3"/>
  <c r="D22" i="3"/>
  <c r="C22" i="3"/>
  <c r="B22" i="3"/>
  <c r="D21" i="3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E38" i="3" s="1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  <c r="F25" i="6" l="1"/>
  <c r="H20" i="6" s="1"/>
  <c r="F30" i="7"/>
  <c r="H18" i="7" s="1"/>
  <c r="G4" i="6"/>
  <c r="F26" i="5"/>
  <c r="G4" i="5"/>
  <c r="H19" i="6" l="1"/>
  <c r="H6" i="7"/>
  <c r="H19" i="7"/>
  <c r="H20" i="7"/>
  <c r="H4" i="7"/>
  <c r="H7" i="7"/>
  <c r="H12" i="7"/>
  <c r="H5" i="7"/>
  <c r="H13" i="7"/>
  <c r="H14" i="7"/>
  <c r="H15" i="7"/>
  <c r="H16" i="7"/>
  <c r="H9" i="7"/>
  <c r="H17" i="7"/>
  <c r="H10" i="7"/>
  <c r="H11" i="7"/>
  <c r="H8" i="7"/>
  <c r="H14" i="6"/>
  <c r="H12" i="6"/>
  <c r="H13" i="6"/>
  <c r="H11" i="6"/>
  <c r="H6" i="6"/>
  <c r="H16" i="6"/>
  <c r="H18" i="6"/>
  <c r="H15" i="6"/>
  <c r="H8" i="6"/>
  <c r="H17" i="6"/>
  <c r="H10" i="6"/>
  <c r="H5" i="6"/>
  <c r="H4" i="6"/>
  <c r="H9" i="6"/>
  <c r="H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Rapicano</author>
    <author>tc={76C2BEB7-B813-463A-91B9-F57E16DAF80B}</author>
    <author>tc={5394C5A5-4F67-48A4-BD6E-55D28AD58806}</author>
    <author>tc={37E083B4-B7D1-48DC-811B-0D78C9789871}</author>
    <author>tc={D1FCA04E-F287-418D-8FCE-A4F5C6C5EADB}</author>
    <author>tc={15229010-C595-473D-95F8-BD67FB6B6EF0}</author>
    <author>tc={7F529FDA-9A89-4E96-9A14-E533F552ACD9}</author>
    <author>tc={0579B13F-3613-447B-9738-CD8DEEC31A89}</author>
    <author>tc={3EA51C18-A036-40F4-99F9-00966E15CC26}</author>
    <author>tc={964C264D-9F0C-43E5-B0A3-C02110EE1B45}</author>
    <author>tc={C4872552-B9BD-4F94-9215-47B778B5A5B2}</author>
    <author>tc={DB2D74A9-9737-45DE-8ADB-83F11782B89A}</author>
    <author>tc={125C0395-AAAD-4415-B5DA-C69BE34DDC41}</author>
    <author>tc={382BB432-EAE1-44B5-A049-B106E3E8A9E7}</author>
    <author>tc={32BA2D5E-7063-4C4B-B15F-17468EDB07EB}</author>
  </authors>
  <commentList>
    <comment ref="H3" authorId="0" shapeId="0" xr:uid="{7248C532-ED23-4FFC-A0F0-175AA454CA8D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4-2 FAV</t>
        </r>
      </text>
    </comment>
    <comment ref="H4" authorId="0" shapeId="0" xr:uid="{23F6D54A-8005-4F34-8ADC-7D1219E59192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3-3 PAR</t>
        </r>
      </text>
    </comment>
    <comment ref="H5" authorId="0" shapeId="0" xr:uid="{CDCCB2D8-A2CC-47B5-AF3E-EC00CF0E59FB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9-0 fav
4-2 fav</t>
        </r>
      </text>
    </comment>
    <comment ref="H6" authorId="0" shapeId="0" xr:uid="{154124DD-D640-446E-A26C-41EB432816E9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6-0 Fav</t>
        </r>
      </text>
    </comment>
    <comment ref="H7" authorId="0" shapeId="0" xr:uid="{159B8775-6184-4D09-AEAE-850F483899F4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5-2 FAV
5-2 FAV</t>
        </r>
      </text>
    </comment>
    <comment ref="H8" authorId="0" shapeId="0" xr:uid="{EDEBCC4E-B299-4943-9AA4-D616E4220099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4-2 fav 
5-1 fav</t>
        </r>
      </text>
    </comment>
    <comment ref="H9" authorId="0" shapeId="0" xr:uid="{01E1E70F-0522-4504-9902-792B8CA34877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6-2</t>
        </r>
      </text>
    </comment>
    <comment ref="H10" authorId="0" shapeId="0" xr:uid="{D6801A6A-526E-4C00-BD41-706E63DE7958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3-3 par
6-3 fav
</t>
        </r>
      </text>
    </comment>
    <comment ref="H11" authorId="0" shapeId="0" xr:uid="{DD5B3CFA-BEDF-4748-821E-F5EF92DC996B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5-1 FAV</t>
        </r>
      </text>
    </comment>
    <comment ref="H16" authorId="1" shapeId="0" xr:uid="{76C2BEB7-B813-463A-91B9-F57E16DAF80B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4-3 FAV</t>
        </r>
      </text>
    </comment>
    <comment ref="H17" authorId="2" shapeId="0" xr:uid="{5394C5A5-4F67-48A4-BD6E-55D28AD58806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4-3 FAV</t>
        </r>
      </text>
    </comment>
    <comment ref="H19" authorId="3" shapeId="0" xr:uid="{37E083B4-B7D1-48DC-811B-0D78C9789871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fav</t>
        </r>
      </text>
    </comment>
    <comment ref="H22" authorId="4" shapeId="0" xr:uid="{D1FCA04E-F287-418D-8FCE-A4F5C6C5EADB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SFAV</t>
        </r>
      </text>
    </comment>
    <comment ref="H25" authorId="5" shapeId="0" xr:uid="{15229010-C595-473D-95F8-BD67FB6B6EF0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FAV</t>
        </r>
      </text>
    </comment>
    <comment ref="H27" authorId="6" shapeId="0" xr:uid="{7F529FDA-9A89-4E96-9A14-E533F552ACD9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7-0 FAV</t>
        </r>
      </text>
    </comment>
    <comment ref="H29" authorId="7" shapeId="0" xr:uid="{0579B13F-3613-447B-9738-CD8DEEC31A89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SFAV
Rispondi:
3-3</t>
        </r>
      </text>
    </comment>
    <comment ref="H30" authorId="8" shapeId="0" xr:uid="{3EA51C18-A036-40F4-99F9-00966E15CC26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3-3</t>
        </r>
      </text>
    </comment>
    <comment ref="H31" authorId="9" shapeId="0" xr:uid="{964C264D-9F0C-43E5-B0A3-C02110EE1B45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1-5 SFAV</t>
        </r>
      </text>
    </comment>
    <comment ref="H32" authorId="10" shapeId="0" xr:uid="{C4872552-B9BD-4F94-9215-47B778B5A5B2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1-6 FAV</t>
        </r>
      </text>
    </comment>
    <comment ref="H33" authorId="11" shapeId="0" xr:uid="{DB2D74A9-9737-45DE-8ADB-83F11782B89A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3-3
6-1 FAV</t>
        </r>
      </text>
    </comment>
    <comment ref="H35" authorId="12" shapeId="0" xr:uid="{125C0395-AAAD-4415-B5DA-C69BE34DDC41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4-3 FAV
6-0 FAV
4-3 FAV</t>
        </r>
      </text>
    </comment>
    <comment ref="H36" authorId="13" shapeId="0" xr:uid="{382BB432-EAE1-44B5-A049-B106E3E8A9E7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3-5 FAV
1-5 SFAV
5-3 FAV</t>
        </r>
      </text>
    </comment>
    <comment ref="H39" authorId="14" shapeId="0" xr:uid="{32BA2D5E-7063-4C4B-B15F-17468EDB07EB}">
      <text>
        <r>
          <rPr>
            <sz val="11"/>
            <color rgb="FF000000"/>
            <rFont val="Calibri"/>
            <family val="2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4-4</t>
        </r>
      </text>
    </comment>
  </commentList>
</comments>
</file>

<file path=xl/sharedStrings.xml><?xml version="1.0" encoding="utf-8"?>
<sst xmlns="http://schemas.openxmlformats.org/spreadsheetml/2006/main" count="668" uniqueCount="77">
  <si>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</si>
  <si>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</si>
  <si>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</si>
  <si>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</si>
  <si>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</si>
  <si>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</si>
  <si>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</si>
  <si>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</si>
  <si>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</si>
  <si>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</si>
  <si>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</si>
  <si>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</si>
  <si>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</si>
  <si>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</si>
  <si>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</si>
  <si>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</si>
  <si>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</si>
  <si>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</si>
  <si>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</si>
  <si>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</si>
  <si>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</si>
  <si>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</si>
  <si>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</si>
  <si>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</si>
  <si>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</si>
  <si>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</si>
  <si>
    <t>1/9</t>
  </si>
  <si>
    <t>GOAL+UNDER 4.5</t>
  </si>
  <si>
    <t>2.05</t>
  </si>
  <si>
    <t>X2+O 1.5</t>
  </si>
  <si>
    <t>1.47</t>
  </si>
  <si>
    <t>X2+U4.5</t>
  </si>
  <si>
    <t>1.52</t>
  </si>
  <si>
    <t>1.95</t>
  </si>
  <si>
    <t>NO G U 4.5</t>
  </si>
  <si>
    <t>2.40</t>
  </si>
  <si>
    <t>SOMM GOL 0</t>
  </si>
  <si>
    <t>3.50</t>
  </si>
  <si>
    <t xml:space="preserve">SOMMA GOL &gt;4 </t>
  </si>
  <si>
    <t>Quota</t>
  </si>
  <si>
    <t>Percent. %</t>
  </si>
  <si>
    <t>€uri da scomm.</t>
  </si>
  <si>
    <t>Tipo scommessa</t>
  </si>
  <si>
    <t>Possib Vincita</t>
  </si>
  <si>
    <t>Guadagno</t>
  </si>
  <si>
    <t>Budget Totale</t>
  </si>
  <si>
    <t>under 1.5 (0-0;1-0;0-1;1-1)</t>
  </si>
  <si>
    <t>2-2 ; 3-3;  4-4</t>
  </si>
  <si>
    <t>0-2; 0-3</t>
  </si>
  <si>
    <t>2-0; 3-0</t>
  </si>
  <si>
    <t>2-1; 3-1; 4-1</t>
  </si>
  <si>
    <t>1-2; 1-3; 1-4</t>
  </si>
  <si>
    <t>2-3</t>
  </si>
  <si>
    <t>3-2</t>
  </si>
  <si>
    <t>5-0 vittoria favorita</t>
  </si>
  <si>
    <t>5-1 vittoria favorita</t>
  </si>
  <si>
    <t>5-2 vittoria favorita</t>
  </si>
  <si>
    <t>6-0 vittoria favorita</t>
  </si>
  <si>
    <t>6-1 vittoria favorita</t>
  </si>
  <si>
    <t>6-2 vittoria favorita</t>
  </si>
  <si>
    <t>2-4 vittoria favorita</t>
  </si>
  <si>
    <t>tot perc:</t>
  </si>
  <si>
    <t>tot da scomm</t>
  </si>
  <si>
    <t>5/10</t>
  </si>
  <si>
    <t>3/10</t>
  </si>
  <si>
    <t>2/10</t>
  </si>
  <si>
    <t>1/10</t>
  </si>
  <si>
    <t>4-0 vittoria favorita</t>
  </si>
  <si>
    <t>0-4 vittoria Sfavorita</t>
  </si>
  <si>
    <t xml:space="preserve">possibili alternative </t>
  </si>
  <si>
    <t>under 1.5</t>
  </si>
  <si>
    <t xml:space="preserve"> (0-0;1-0;0-1;1-1)</t>
  </si>
  <si>
    <t>1-1</t>
  </si>
  <si>
    <t>senza 1-1</t>
  </si>
  <si>
    <t>(0-0;1-0;0-1;1-1)</t>
  </si>
  <si>
    <t>x</t>
  </si>
  <si>
    <t>3-2;4-2;4-3 5-1 FAV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</si>
</sst>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  <font>
      <sz val="11"/>
      <color theme="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8"/>
      <color rgb="FF000000"/>
      <name val="Calibri"/>
      <family val="2"/>
    </font>
    <font>
      <b/>
      <sz val="8"/>
      <color theme="4"/>
      <name val="Calibri"/>
      <family val="2"/>
    </font>
    <font>
      <b/>
      <sz val="8"/>
      <color theme="9" tint="-0.24997711111789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double">
        <color rgb="FFFF8001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1" applyNumberFormat="0" applyAlignment="0" applyProtection="0"/>
    <xf numFmtId="0" fontId="8" fillId="0" borderId="3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  <xf numFmtId="0" fontId="0" fillId="5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6" fillId="8" borderId="2" xfId="3" applyNumberFormat="1" applyBorder="1" applyAlignment="1">
      <alignment horizontal="center"/>
    </xf>
    <xf numFmtId="0" fontId="9" fillId="0" borderId="3" xfId="5" applyFont="1" applyAlignment="1">
      <alignment horizontal="center"/>
    </xf>
    <xf numFmtId="0" fontId="7" fillId="9" borderId="1" xfId="4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10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0" xfId="0" applyFill="1"/>
    <xf numFmtId="49" fontId="12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9" fillId="0" borderId="3" xfId="5" applyNumberFormat="1" applyFont="1" applyAlignment="1">
      <alignment horizontal="center"/>
    </xf>
    <xf numFmtId="0" fontId="7" fillId="9" borderId="1" xfId="4" applyAlignment="1">
      <alignment horizontal="center"/>
    </xf>
    <xf numFmtId="0" fontId="11" fillId="0" borderId="4" xfId="0" applyFont="1" applyBorder="1" applyAlignment="1">
      <alignment horizontal="center"/>
    </xf>
    <xf numFmtId="49" fontId="11" fillId="10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5" fillId="10" borderId="0" xfId="0" applyFont="1" applyFill="1" applyAlignment="1">
      <alignment horizontal="center" vertical="center"/>
    </xf>
    <xf numFmtId="164" fontId="15" fillId="10" borderId="0" xfId="0" applyNumberFormat="1" applyFont="1" applyFill="1" applyAlignment="1">
      <alignment horizontal="center"/>
    </xf>
    <xf numFmtId="0" fontId="15" fillId="10" borderId="0" xfId="0" applyFont="1" applyFill="1"/>
    <xf numFmtId="0" fontId="16" fillId="10" borderId="0" xfId="0" applyFont="1" applyFill="1" applyAlignment="1">
      <alignment horizontal="center"/>
    </xf>
  </cellXfs>
  <cellStyles count="6">
    <cellStyle name="20% - Colore 3" xfId="2" builtinId="38"/>
    <cellStyle name="Calcolo" xfId="4" builtinId="22"/>
    <cellStyle name="Cella collegata" xfId="5" builtinId="24"/>
    <cellStyle name="Input" xfId="1" builtinId="20"/>
    <cellStyle name="Neutrale" xfId="3" builtinId="28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picano Fabio" id="{F776A85B-59AB-4A96-8732-1B84EF6EC3E8}" userId="S::Fabio.Rapicano@corob.com::92db58b6-d190-4935-99a4-d8ed0acd4993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6" dT="2023-08-10T09:21:03.51" personId="{F776A85B-59AB-4A96-8732-1B84EF6EC3E8}" id="{76C2BEB7-B813-463A-91B9-F57E16DAF80B}">
    <text>4-3 FAV</text>
  </threadedComment>
  <threadedComment ref="H17" dT="2023-08-10T09:27:51.37" personId="{F776A85B-59AB-4A96-8732-1B84EF6EC3E8}" id="{5394C5A5-4F67-48A4-BD6E-55D28AD58806}">
    <text>4-3 FAV</text>
  </threadedComment>
  <threadedComment ref="H19" dT="2023-08-10T09:40:15.51" personId="{F776A85B-59AB-4A96-8732-1B84EF6EC3E8}" id="{37E083B4-B7D1-48DC-811B-0D78C9789871}">
    <text>2-4 fav</text>
  </threadedComment>
  <threadedComment ref="H22" dT="2023-08-10T09:54:42.43" personId="{F776A85B-59AB-4A96-8732-1B84EF6EC3E8}" id="{D1FCA04E-F287-418D-8FCE-A4F5C6C5EADB}">
    <text>2-4 SFAV</text>
  </threadedComment>
  <threadedComment ref="H25" dT="2023-08-10T10:02:17.55" personId="{F776A85B-59AB-4A96-8732-1B84EF6EC3E8}" id="{15229010-C595-473D-95F8-BD67FB6B6EF0}">
    <text>2-4 FAV</text>
  </threadedComment>
  <threadedComment ref="H27" dT="2023-08-10T10:09:01.84" personId="{F776A85B-59AB-4A96-8732-1B84EF6EC3E8}" id="{7F529FDA-9A89-4E96-9A14-E533F552ACD9}">
    <text>7-0 FAV</text>
  </threadedComment>
  <threadedComment ref="H29" dT="2023-08-10T10:15:08.88" personId="{F776A85B-59AB-4A96-8732-1B84EF6EC3E8}" id="{0579B13F-3613-447B-9738-CD8DEEC31A89}">
    <text>2-4 SFAV</text>
  </threadedComment>
  <threadedComment ref="H29" dT="2023-08-10T10:15:24.22" personId="{F776A85B-59AB-4A96-8732-1B84EF6EC3E8}" id="{DE134D66-496A-4C23-A06F-75609DBF1ACD}" parentId="{0579B13F-3613-447B-9738-CD8DEEC31A89}">
    <text>3-3</text>
  </threadedComment>
  <threadedComment ref="H30" dT="2023-08-10T10:23:01.71" personId="{F776A85B-59AB-4A96-8732-1B84EF6EC3E8}" id="{3EA51C18-A036-40F4-99F9-00966E15CC26}">
    <text>3-3</text>
  </threadedComment>
  <threadedComment ref="H31" dT="2023-08-10T10:22:28.80" personId="{F776A85B-59AB-4A96-8732-1B84EF6EC3E8}" id="{964C264D-9F0C-43E5-B0A3-C02110EE1B45}">
    <text>1-5 SFAV</text>
  </threadedComment>
  <threadedComment ref="H32" dT="2023-08-10T10:25:51.05" personId="{F776A85B-59AB-4A96-8732-1B84EF6EC3E8}" id="{C4872552-B9BD-4F94-9215-47B778B5A5B2}">
    <text>1-6 FAV</text>
  </threadedComment>
  <threadedComment ref="H33" dT="2023-08-10T10:33:05.76" personId="{F776A85B-59AB-4A96-8732-1B84EF6EC3E8}" id="{DB2D74A9-9737-45DE-8ADB-83F11782B89A}">
    <text>3-3
6-1 FAV</text>
  </threadedComment>
  <threadedComment ref="H35" dT="2023-08-10T10:39:31.16" personId="{F776A85B-59AB-4A96-8732-1B84EF6EC3E8}" id="{125C0395-AAAD-4415-B5DA-C69BE34DDC41}">
    <text>4-3 FAV
6-0 FAV
4-3 FAV</text>
  </threadedComment>
  <threadedComment ref="H36" dT="2023-08-10T10:47:39.54" personId="{F776A85B-59AB-4A96-8732-1B84EF6EC3E8}" id="{382BB432-EAE1-44B5-A049-B106E3E8A9E7}">
    <text>3-5 FAV
1-5 SFAV
5-3 FAV</text>
  </threadedComment>
  <threadedComment ref="H39" dT="2023-08-10T10:55:26.37" personId="{F776A85B-59AB-4A96-8732-1B84EF6EC3E8}" id="{32BA2D5E-7063-4C4B-B15F-17468EDB07EB}">
    <text>4-4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B22" workbookViewId="0">
      <selection activeCell="G42" sqref="G42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12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23</v>
      </c>
      <c r="H1" s="7" t="s">
        <v>7</v>
      </c>
      <c r="I1" s="7" t="s">
        <v>10</v>
      </c>
      <c r="J1" s="10" t="s">
        <v>21</v>
      </c>
      <c r="K1" s="10" t="s">
        <v>22</v>
      </c>
    </row>
    <row r="2" spans="1:12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  <c r="F2" s="9" t="s">
        <v>9</v>
      </c>
      <c r="G2" s="9" t="s">
        <v>63</v>
      </c>
      <c r="H2" s="9" t="s">
        <v>8</v>
      </c>
      <c r="I2" s="9" t="s">
        <v>9</v>
      </c>
      <c r="J2" s="9" t="s">
        <v>14</v>
      </c>
      <c r="K2" s="9" t="s">
        <v>12</v>
      </c>
      <c r="L2" s="19"/>
    </row>
    <row r="3" spans="1:12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  <c r="F3" s="9" t="s">
        <v>13</v>
      </c>
      <c r="G3" s="9" t="s">
        <v>12</v>
      </c>
      <c r="H3" s="9" t="s">
        <v>9</v>
      </c>
      <c r="I3" s="9" t="s">
        <v>9</v>
      </c>
      <c r="J3" s="9" t="s">
        <v>63</v>
      </c>
      <c r="K3" s="9" t="s">
        <v>63</v>
      </c>
      <c r="L3" s="19"/>
    </row>
    <row r="4" spans="1:12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  <c r="F4" s="9" t="s">
        <v>9</v>
      </c>
      <c r="G4" s="9" t="s">
        <v>13</v>
      </c>
      <c r="H4" s="9" t="s">
        <v>9</v>
      </c>
      <c r="I4" s="9" t="s">
        <v>11</v>
      </c>
      <c r="J4" s="9" t="s">
        <v>12</v>
      </c>
      <c r="K4" s="9" t="s">
        <v>14</v>
      </c>
      <c r="L4" s="19"/>
    </row>
    <row r="5" spans="1:12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  <c r="F5" s="9" t="s">
        <v>12</v>
      </c>
      <c r="G5" s="9" t="s">
        <v>14</v>
      </c>
      <c r="H5" s="9" t="s">
        <v>11</v>
      </c>
      <c r="I5" s="9" t="s">
        <v>11</v>
      </c>
      <c r="J5" s="9" t="s">
        <v>63</v>
      </c>
      <c r="K5" s="9" t="s">
        <v>63</v>
      </c>
      <c r="L5" s="19"/>
    </row>
    <row r="6" spans="1:12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  <c r="F6" s="9" t="s">
        <v>11</v>
      </c>
      <c r="G6" s="9" t="s">
        <v>63</v>
      </c>
      <c r="H6" s="9" t="s">
        <v>9</v>
      </c>
      <c r="I6" s="9" t="s">
        <v>9</v>
      </c>
      <c r="J6" s="9" t="s">
        <v>13</v>
      </c>
      <c r="K6" s="9" t="s">
        <v>64</v>
      </c>
      <c r="L6" s="19"/>
    </row>
    <row r="7" spans="1:12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  <c r="F7" s="9" t="s">
        <v>13</v>
      </c>
      <c r="G7" s="9" t="s">
        <v>13</v>
      </c>
      <c r="H7" s="9" t="s">
        <v>11</v>
      </c>
      <c r="I7" s="9" t="s">
        <v>11</v>
      </c>
      <c r="J7" s="9" t="s">
        <v>13</v>
      </c>
      <c r="K7" s="9" t="s">
        <v>64</v>
      </c>
      <c r="L7" s="19"/>
    </row>
    <row r="8" spans="1:12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  <c r="F8" s="9" t="s">
        <v>8</v>
      </c>
      <c r="G8" s="9" t="s">
        <v>12</v>
      </c>
      <c r="H8" s="9" t="s">
        <v>11</v>
      </c>
      <c r="I8" s="9" t="s">
        <v>11</v>
      </c>
      <c r="J8" s="9" t="s">
        <v>12</v>
      </c>
      <c r="K8" s="9" t="s">
        <v>14</v>
      </c>
      <c r="L8" s="19"/>
    </row>
    <row r="9" spans="1:12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  <c r="F9" s="9" t="s">
        <v>13</v>
      </c>
      <c r="G9" s="9" t="s">
        <v>63</v>
      </c>
      <c r="H9" s="9" t="s">
        <v>9</v>
      </c>
      <c r="I9" s="9" t="s">
        <v>11</v>
      </c>
      <c r="J9" s="9" t="s">
        <v>14</v>
      </c>
      <c r="K9" s="9" t="s">
        <v>12</v>
      </c>
      <c r="L9" s="19"/>
    </row>
    <row r="10" spans="1:12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  <c r="F10" s="9" t="s">
        <v>11</v>
      </c>
      <c r="G10" s="9" t="s">
        <v>12</v>
      </c>
      <c r="H10" s="9" t="s">
        <v>11</v>
      </c>
      <c r="I10" s="9" t="s">
        <v>13</v>
      </c>
      <c r="J10" s="9" t="s">
        <v>12</v>
      </c>
      <c r="K10" s="9" t="s">
        <v>14</v>
      </c>
      <c r="L10" s="19"/>
    </row>
    <row r="11" spans="1:12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  <c r="F11" s="9" t="s">
        <v>9</v>
      </c>
      <c r="G11" s="9" t="s">
        <v>11</v>
      </c>
      <c r="H11" s="9" t="s">
        <v>9</v>
      </c>
      <c r="I11" s="9" t="s">
        <v>11</v>
      </c>
      <c r="J11" s="9" t="s">
        <v>13</v>
      </c>
      <c r="K11" s="9" t="s">
        <v>64</v>
      </c>
      <c r="L11" s="19"/>
    </row>
    <row r="12" spans="1:12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  <c r="F12" s="9" t="s">
        <v>63</v>
      </c>
      <c r="G12" s="9" t="s">
        <v>66</v>
      </c>
      <c r="H12" s="9" t="s">
        <v>8</v>
      </c>
      <c r="I12" s="9" t="s">
        <v>8</v>
      </c>
      <c r="J12" s="9" t="s">
        <v>65</v>
      </c>
      <c r="K12" s="9" t="s">
        <v>11</v>
      </c>
      <c r="L12" s="19"/>
    </row>
    <row r="13" spans="1:12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  <c r="F13" s="9" t="s">
        <v>63</v>
      </c>
      <c r="G13" s="9" t="s">
        <v>64</v>
      </c>
      <c r="H13" s="9" t="s">
        <v>8</v>
      </c>
      <c r="I13" s="9" t="s">
        <v>8</v>
      </c>
      <c r="J13" s="9" t="s">
        <v>65</v>
      </c>
      <c r="K13" s="9" t="s">
        <v>11</v>
      </c>
      <c r="L13" s="19"/>
    </row>
    <row r="14" spans="1:12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  <c r="F14" s="9" t="s">
        <v>9</v>
      </c>
      <c r="G14" s="9" t="s">
        <v>13</v>
      </c>
      <c r="H14" s="9" t="s">
        <v>8</v>
      </c>
      <c r="I14" s="9" t="s">
        <v>9</v>
      </c>
      <c r="J14" s="9" t="s">
        <v>63</v>
      </c>
      <c r="K14" s="9" t="s">
        <v>63</v>
      </c>
      <c r="L14" s="19"/>
    </row>
    <row r="15" spans="1:12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  <c r="F15" s="9" t="s">
        <v>12</v>
      </c>
      <c r="G15" s="9" t="s">
        <v>63</v>
      </c>
      <c r="H15" s="9" t="s">
        <v>8</v>
      </c>
      <c r="I15" s="9" t="s">
        <v>13</v>
      </c>
      <c r="J15" s="9" t="s">
        <v>14</v>
      </c>
      <c r="K15" s="9" t="s">
        <v>12</v>
      </c>
      <c r="L15" s="19"/>
    </row>
    <row r="16" spans="1:12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  <c r="F16" s="9" t="s">
        <v>9</v>
      </c>
      <c r="G16" s="9" t="s">
        <v>11</v>
      </c>
      <c r="H16" s="9" t="s">
        <v>9</v>
      </c>
      <c r="I16" s="9" t="s">
        <v>13</v>
      </c>
      <c r="J16" s="9" t="s">
        <v>11</v>
      </c>
      <c r="K16" s="9" t="s">
        <v>65</v>
      </c>
      <c r="L16" s="19"/>
    </row>
    <row r="17" spans="1:12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  <c r="F17" s="9" t="s">
        <v>11</v>
      </c>
      <c r="G17" s="9" t="s">
        <v>12</v>
      </c>
      <c r="H17" s="9" t="s">
        <v>9</v>
      </c>
      <c r="I17" s="9" t="s">
        <v>9</v>
      </c>
      <c r="J17" s="9" t="s">
        <v>63</v>
      </c>
      <c r="K17" s="9" t="s">
        <v>14</v>
      </c>
      <c r="L17" s="19"/>
    </row>
    <row r="18" spans="1:12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  <c r="F18" s="9" t="s">
        <v>8</v>
      </c>
      <c r="G18" s="9" t="s">
        <v>11</v>
      </c>
      <c r="H18" s="9" t="s">
        <v>8</v>
      </c>
      <c r="I18" s="9" t="s">
        <v>8</v>
      </c>
      <c r="J18" s="9" t="s">
        <v>12</v>
      </c>
      <c r="K18" s="9" t="s">
        <v>14</v>
      </c>
      <c r="L18" s="19"/>
    </row>
    <row r="19" spans="1:12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  <c r="F19" s="9" t="s">
        <v>11</v>
      </c>
      <c r="G19" s="9" t="s">
        <v>64</v>
      </c>
      <c r="H19" s="9" t="s">
        <v>9</v>
      </c>
      <c r="I19" s="9" t="s">
        <v>9</v>
      </c>
      <c r="J19" s="9" t="s">
        <v>63</v>
      </c>
      <c r="K19" s="9" t="s">
        <v>12</v>
      </c>
      <c r="L19" s="19"/>
    </row>
    <row r="20" spans="1:12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  <c r="F20" s="9" t="s">
        <v>13</v>
      </c>
      <c r="G20" s="9" t="s">
        <v>14</v>
      </c>
      <c r="H20" s="9" t="s">
        <v>8</v>
      </c>
      <c r="I20" s="9" t="s">
        <v>8</v>
      </c>
      <c r="J20" s="9" t="s">
        <v>64</v>
      </c>
      <c r="K20" s="9" t="s">
        <v>13</v>
      </c>
      <c r="L20" s="19"/>
    </row>
    <row r="21" spans="1:12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  <c r="F21" s="9" t="s">
        <v>63</v>
      </c>
      <c r="G21" s="9" t="s">
        <v>64</v>
      </c>
      <c r="H21" s="9" t="s">
        <v>8</v>
      </c>
      <c r="I21" s="9" t="s">
        <v>9</v>
      </c>
      <c r="J21" s="9" t="s">
        <v>64</v>
      </c>
      <c r="K21" s="9" t="s">
        <v>13</v>
      </c>
      <c r="L21" s="19"/>
    </row>
    <row r="22" spans="1:12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  <c r="F22" s="9" t="s">
        <v>63</v>
      </c>
      <c r="G22" s="9" t="s">
        <v>14</v>
      </c>
      <c r="H22" s="9" t="s">
        <v>9</v>
      </c>
      <c r="I22" s="9" t="s">
        <v>9</v>
      </c>
      <c r="J22" s="9" t="s">
        <v>64</v>
      </c>
      <c r="K22" s="9" t="s">
        <v>13</v>
      </c>
      <c r="L22" s="19"/>
    </row>
    <row r="23" spans="1:12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  <c r="F23" s="9" t="s">
        <v>63</v>
      </c>
      <c r="G23" s="9" t="s">
        <v>65</v>
      </c>
      <c r="H23" s="9" t="s">
        <v>8</v>
      </c>
      <c r="I23" s="9" t="s">
        <v>9</v>
      </c>
      <c r="J23" s="9" t="s">
        <v>64</v>
      </c>
      <c r="K23" s="9" t="s">
        <v>13</v>
      </c>
      <c r="L23" s="19"/>
    </row>
    <row r="24" spans="1:12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  <c r="F24" s="9" t="s">
        <v>13</v>
      </c>
      <c r="G24" s="9" t="s">
        <v>13</v>
      </c>
      <c r="H24" s="9" t="s">
        <v>8</v>
      </c>
      <c r="I24" s="9" t="s">
        <v>9</v>
      </c>
      <c r="J24" s="9" t="s">
        <v>13</v>
      </c>
      <c r="K24" s="9" t="s">
        <v>64</v>
      </c>
      <c r="L24" s="19"/>
    </row>
    <row r="25" spans="1:12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  <c r="F25" s="9" t="s">
        <v>12</v>
      </c>
      <c r="G25" s="9" t="s">
        <v>65</v>
      </c>
      <c r="H25" s="9" t="s">
        <v>9</v>
      </c>
      <c r="I25" s="9" t="s">
        <v>9</v>
      </c>
      <c r="J25" s="9" t="s">
        <v>64</v>
      </c>
      <c r="K25" s="9" t="s">
        <v>13</v>
      </c>
      <c r="L25" s="19"/>
    </row>
    <row r="26" spans="1:12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  <c r="F26" s="9" t="s">
        <v>12</v>
      </c>
      <c r="G26" s="9" t="s">
        <v>64</v>
      </c>
      <c r="H26" s="9" t="s">
        <v>8</v>
      </c>
      <c r="I26" s="9" t="s">
        <v>9</v>
      </c>
      <c r="J26" s="9" t="s">
        <v>64</v>
      </c>
      <c r="K26" s="9" t="s">
        <v>13</v>
      </c>
      <c r="L26" s="19"/>
    </row>
    <row r="27" spans="1:12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  <c r="F27" s="9" t="s">
        <v>12</v>
      </c>
      <c r="G27" s="9" t="s">
        <v>63</v>
      </c>
      <c r="H27" s="9" t="s">
        <v>9</v>
      </c>
      <c r="I27" s="9" t="s">
        <v>13</v>
      </c>
      <c r="J27" s="9" t="s">
        <v>64</v>
      </c>
      <c r="K27" s="9" t="s">
        <v>13</v>
      </c>
      <c r="L27" s="19"/>
    </row>
    <row r="28" spans="1:12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  <c r="F28" s="9" t="s">
        <v>12</v>
      </c>
      <c r="G28" s="9" t="s">
        <v>63</v>
      </c>
      <c r="H28" s="9" t="s">
        <v>8</v>
      </c>
      <c r="I28" s="9" t="s">
        <v>8</v>
      </c>
      <c r="J28" s="9" t="s">
        <v>63</v>
      </c>
      <c r="K28" s="9" t="s">
        <v>63</v>
      </c>
      <c r="L28" s="19"/>
    </row>
    <row r="29" spans="1:12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  <c r="F29" s="9" t="s">
        <v>11</v>
      </c>
      <c r="G29" s="9" t="s">
        <v>13</v>
      </c>
      <c r="H29" s="9" t="s">
        <v>11</v>
      </c>
      <c r="I29" s="9" t="s">
        <v>13</v>
      </c>
      <c r="J29" s="9" t="s">
        <v>12</v>
      </c>
      <c r="K29" s="9" t="s">
        <v>14</v>
      </c>
      <c r="L29" s="19"/>
    </row>
    <row r="30" spans="1:12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  <c r="F30" s="9" t="s">
        <v>9</v>
      </c>
      <c r="G30" s="9" t="s">
        <v>63</v>
      </c>
      <c r="H30" s="9" t="s">
        <v>9</v>
      </c>
      <c r="I30" s="9" t="s">
        <v>13</v>
      </c>
      <c r="J30" s="9" t="s">
        <v>13</v>
      </c>
      <c r="K30" s="9" t="s">
        <v>64</v>
      </c>
      <c r="L30" s="19"/>
    </row>
    <row r="31" spans="1:12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  <c r="F31" s="9" t="s">
        <v>13</v>
      </c>
      <c r="G31" s="9" t="s">
        <v>63</v>
      </c>
      <c r="H31" s="9" t="s">
        <v>9</v>
      </c>
      <c r="I31" s="9" t="s">
        <v>11</v>
      </c>
      <c r="J31" s="9" t="s">
        <v>63</v>
      </c>
      <c r="K31" s="9" t="s">
        <v>63</v>
      </c>
      <c r="L31" s="19"/>
    </row>
    <row r="32" spans="1:12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  <c r="F32" s="9" t="s">
        <v>8</v>
      </c>
      <c r="G32" s="9" t="s">
        <v>13</v>
      </c>
      <c r="H32" s="9" t="s">
        <v>9</v>
      </c>
      <c r="I32" s="9" t="s">
        <v>11</v>
      </c>
      <c r="J32" s="9" t="s">
        <v>12</v>
      </c>
      <c r="K32" s="9" t="s">
        <v>14</v>
      </c>
      <c r="L32" s="19"/>
    </row>
    <row r="33" spans="1:12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  <c r="F33" s="9" t="s">
        <v>9</v>
      </c>
      <c r="G33" s="9" t="s">
        <v>63</v>
      </c>
      <c r="H33" s="9" t="s">
        <v>11</v>
      </c>
      <c r="I33" s="9" t="s">
        <v>12</v>
      </c>
      <c r="J33" s="9" t="s">
        <v>11</v>
      </c>
      <c r="K33" s="9" t="s">
        <v>65</v>
      </c>
      <c r="L33" s="19"/>
    </row>
    <row r="34" spans="1:12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  <c r="F34" s="9" t="s">
        <v>11</v>
      </c>
      <c r="G34" s="9" t="s">
        <v>63</v>
      </c>
      <c r="H34" s="9" t="s">
        <v>8</v>
      </c>
      <c r="I34" s="9" t="s">
        <v>11</v>
      </c>
      <c r="J34" s="9" t="s">
        <v>12</v>
      </c>
      <c r="K34" s="9" t="s">
        <v>14</v>
      </c>
      <c r="L34" s="19"/>
    </row>
    <row r="35" spans="1:12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  <c r="F35" s="9" t="s">
        <v>9</v>
      </c>
      <c r="G35" s="9" t="s">
        <v>9</v>
      </c>
      <c r="H35" s="9" t="s">
        <v>13</v>
      </c>
      <c r="I35" s="9" t="s">
        <v>12</v>
      </c>
      <c r="J35" s="9" t="s">
        <v>11</v>
      </c>
      <c r="K35" s="9" t="s">
        <v>65</v>
      </c>
      <c r="L35" s="19"/>
    </row>
    <row r="36" spans="1:12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  <c r="F36" s="9" t="s">
        <v>12</v>
      </c>
      <c r="G36" s="9" t="s">
        <v>63</v>
      </c>
      <c r="H36" s="9" t="s">
        <v>13</v>
      </c>
      <c r="I36" s="9" t="s">
        <v>13</v>
      </c>
      <c r="J36" s="9" t="s">
        <v>63</v>
      </c>
      <c r="K36" s="9" t="s">
        <v>63</v>
      </c>
      <c r="L36" s="19"/>
    </row>
    <row r="37" spans="1:12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  <c r="F37" s="9" t="s">
        <v>8</v>
      </c>
      <c r="G37" s="9" t="s">
        <v>12</v>
      </c>
      <c r="H37" s="9" t="s">
        <v>8</v>
      </c>
      <c r="I37" s="9" t="s">
        <v>8</v>
      </c>
      <c r="J37" s="9" t="s">
        <v>64</v>
      </c>
      <c r="K37" s="9" t="s">
        <v>13</v>
      </c>
      <c r="L37" s="19"/>
    </row>
    <row r="38" spans="1:12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  <c r="F38" s="9" t="s">
        <v>12</v>
      </c>
      <c r="G38" s="9" t="s">
        <v>14</v>
      </c>
      <c r="H38" s="9" t="s">
        <v>8</v>
      </c>
      <c r="I38" s="9" t="s">
        <v>8</v>
      </c>
      <c r="J38" s="9" t="s">
        <v>12</v>
      </c>
      <c r="K38" s="9" t="s">
        <v>14</v>
      </c>
      <c r="L38" s="19"/>
    </row>
    <row r="39" spans="1:12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  <c r="F39" s="9" t="s">
        <v>11</v>
      </c>
      <c r="G39" s="9" t="s">
        <v>12</v>
      </c>
      <c r="H39" s="9" t="s">
        <v>9</v>
      </c>
      <c r="I39" s="9" t="s">
        <v>13</v>
      </c>
      <c r="J39" s="9" t="s">
        <v>13</v>
      </c>
      <c r="K39" s="9" t="s">
        <v>65</v>
      </c>
      <c r="L39" s="19"/>
    </row>
    <row r="41" spans="1:12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workbookViewId="0">
      <selection activeCell="F6" sqref="F6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3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3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3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3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3">
        <f>270+220+375+160</f>
        <v>1025</v>
      </c>
      <c r="C6" s="13">
        <f>255+220+180+160+260</f>
        <v>1075</v>
      </c>
      <c r="D6" s="1">
        <f>375</f>
        <v>375</v>
      </c>
      <c r="E6" s="13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3">
        <f>129+155+145+260+162+170</f>
        <v>1021</v>
      </c>
      <c r="D7" s="1">
        <f>325</f>
        <v>325</v>
      </c>
      <c r="E7" s="13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3">
        <f>457+180+380+275</f>
        <v>1292</v>
      </c>
      <c r="C8" s="1">
        <f>185+180</f>
        <v>365</v>
      </c>
      <c r="D8" s="13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3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3">
        <f>175+215+195+240+150+150</f>
        <v>1125</v>
      </c>
      <c r="D10" s="1">
        <f>300</f>
        <v>300</v>
      </c>
      <c r="E10" s="13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3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3">
        <f>136+215+145+220+210+225+220</f>
        <v>1371</v>
      </c>
      <c r="D12" s="13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3">
        <f>129+210+120+170+190+183</f>
        <v>1002</v>
      </c>
      <c r="D13" s="13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3">
        <f>320+122+300+215+300</f>
        <v>1257</v>
      </c>
      <c r="C14" s="1">
        <f>215+122+215+185</f>
        <v>737</v>
      </c>
      <c r="D14" s="13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3">
        <f>129+330+150+135+160+167</f>
        <v>1071</v>
      </c>
      <c r="C15" s="1">
        <f>129+153+135+160+157+167</f>
        <v>901</v>
      </c>
      <c r="D15" s="1">
        <f>320</f>
        <v>320</v>
      </c>
      <c r="E15" s="13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3">
        <f>255+150+225+195+165+183</f>
        <v>1173</v>
      </c>
      <c r="C16" s="13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3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3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3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3">
        <f>215+125+220+170+270</f>
        <v>1000</v>
      </c>
      <c r="D20" s="13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3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3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3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3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3">
        <f>460+340+215+135+535</f>
        <v>1685</v>
      </c>
      <c r="C25" s="1">
        <f>140+215+210+135+170</f>
        <v>870</v>
      </c>
      <c r="D25" s="13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3">
        <f>225+180+290+136+265+190</f>
        <v>1286</v>
      </c>
      <c r="C26" s="1">
        <f>190+136+180+225</f>
        <v>731</v>
      </c>
      <c r="D26" s="13">
        <f>560+265+290</f>
        <v>1115</v>
      </c>
      <c r="E26" s="13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3">
        <f>775+160+130</f>
        <v>1065</v>
      </c>
      <c r="C27" s="1">
        <f>130+180+160+235</f>
        <v>705</v>
      </c>
      <c r="D27" s="13">
        <f>775+290+525</f>
        <v>1590</v>
      </c>
      <c r="E27" s="13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3">
        <f>300+150+280+360+135+170</f>
        <v>1395</v>
      </c>
      <c r="C28" s="1">
        <f>170+135+150+180</f>
        <v>635</v>
      </c>
      <c r="D28" s="13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3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3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3">
        <f>730+320</f>
        <v>1050</v>
      </c>
      <c r="E31" s="13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3">
        <f>230+150+170+350+310+260</f>
        <v>1470</v>
      </c>
      <c r="C32" s="13">
        <f>260+155+170+150+245+230</f>
        <v>1210</v>
      </c>
      <c r="D32" s="13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3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3">
        <f>260+155+155+180+150+130</f>
        <v>1030</v>
      </c>
      <c r="D34" s="1">
        <v>0</v>
      </c>
      <c r="E34" s="13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3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3">
        <f>460+420+140+180+320+130</f>
        <v>1650</v>
      </c>
      <c r="C36" s="1">
        <f>140+180+130</f>
        <v>450</v>
      </c>
      <c r="D36" s="13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3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3">
        <f>280+340+290+280</f>
        <v>1190</v>
      </c>
      <c r="E38" s="13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3">
        <f>245+185+105+145+160+175+160</f>
        <v>1175</v>
      </c>
      <c r="D39" s="13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52"/>
  <sheetViews>
    <sheetView workbookViewId="0">
      <selection activeCell="H37" sqref="H37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7" width="10.140625" style="8" customWidth="1"/>
    <col min="8" max="8" width="11.5703125" style="8" customWidth="1"/>
    <col min="9" max="11" width="9.140625" style="9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23</v>
      </c>
      <c r="H1" s="7" t="s">
        <v>7</v>
      </c>
      <c r="I1" s="7" t="s">
        <v>10</v>
      </c>
      <c r="J1" s="10" t="s">
        <v>21</v>
      </c>
      <c r="K1" s="10" t="s">
        <v>22</v>
      </c>
    </row>
    <row r="2" spans="1:11" x14ac:dyDescent="0.25">
      <c r="A2" s="4">
        <v>1</v>
      </c>
      <c r="B2" s="1">
        <f>185+200+200+200</f>
        <v>785</v>
      </c>
      <c r="C2" s="13">
        <f>145+185+200+210+215+200+205</f>
        <v>1360</v>
      </c>
      <c r="D2" s="1">
        <v>0</v>
      </c>
      <c r="E2" s="1">
        <f>320+340</f>
        <v>660</v>
      </c>
      <c r="F2" s="8" t="s">
        <v>15</v>
      </c>
      <c r="G2" s="8" t="s">
        <v>17</v>
      </c>
      <c r="H2" s="8" t="s">
        <v>15</v>
      </c>
      <c r="I2" s="9" t="s">
        <v>15</v>
      </c>
      <c r="J2" s="9" t="s">
        <v>18</v>
      </c>
      <c r="K2" s="9" t="s">
        <v>25</v>
      </c>
    </row>
    <row r="3" spans="1:11" x14ac:dyDescent="0.25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1">
        <f>325+350+375+300+325</f>
        <v>1675</v>
      </c>
      <c r="F3" s="8" t="s">
        <v>15</v>
      </c>
      <c r="G3" s="8" t="s">
        <v>15</v>
      </c>
      <c r="H3" s="8" t="s">
        <v>16</v>
      </c>
      <c r="I3" s="9" t="s">
        <v>15</v>
      </c>
      <c r="J3" s="9" t="s">
        <v>18</v>
      </c>
      <c r="K3" s="9" t="s">
        <v>25</v>
      </c>
    </row>
    <row r="4" spans="1:11" x14ac:dyDescent="0.25">
      <c r="A4" s="4">
        <v>3</v>
      </c>
      <c r="B4" s="1">
        <f>325+150</f>
        <v>475</v>
      </c>
      <c r="C4" s="1">
        <f>150+191+255+120</f>
        <v>716</v>
      </c>
      <c r="D4" s="13">
        <f>460+680+315</f>
        <v>1455</v>
      </c>
      <c r="E4" s="1">
        <f>350+300</f>
        <v>650</v>
      </c>
      <c r="F4" s="8" t="s">
        <v>17</v>
      </c>
      <c r="G4" s="8" t="s">
        <v>18</v>
      </c>
      <c r="H4" s="8" t="s">
        <v>15</v>
      </c>
      <c r="I4" s="9" t="s">
        <v>18</v>
      </c>
      <c r="J4" s="9" t="s">
        <v>24</v>
      </c>
      <c r="K4" s="9" t="s">
        <v>17</v>
      </c>
    </row>
    <row r="5" spans="1:11" x14ac:dyDescent="0.25">
      <c r="A5" s="4">
        <v>4</v>
      </c>
      <c r="B5" s="1">
        <f>140+153+153</f>
        <v>446</v>
      </c>
      <c r="C5" s="1">
        <f>153+230+175+153+140</f>
        <v>851</v>
      </c>
      <c r="D5" s="1">
        <f>280+280</f>
        <v>560</v>
      </c>
      <c r="E5" s="1">
        <f>450+350</f>
        <v>800</v>
      </c>
      <c r="F5" s="8" t="s">
        <v>19</v>
      </c>
      <c r="G5" s="8" t="s">
        <v>24</v>
      </c>
      <c r="H5" s="8" t="s">
        <v>18</v>
      </c>
      <c r="I5" s="9" t="s">
        <v>18</v>
      </c>
      <c r="J5" s="9" t="s">
        <v>24</v>
      </c>
      <c r="K5" s="9" t="s">
        <v>17</v>
      </c>
    </row>
    <row r="6" spans="1:11" x14ac:dyDescent="0.25">
      <c r="A6" s="4">
        <v>5</v>
      </c>
      <c r="B6" s="1">
        <f>175+340</f>
        <v>515</v>
      </c>
      <c r="C6" s="1">
        <f>175+225</f>
        <v>400</v>
      </c>
      <c r="D6" s="11">
        <f>280+263+340+340+433</f>
        <v>1656</v>
      </c>
      <c r="E6" s="1">
        <f>400+350</f>
        <v>750</v>
      </c>
      <c r="F6" s="8" t="s">
        <v>18</v>
      </c>
      <c r="G6" s="8" t="s">
        <v>17</v>
      </c>
      <c r="H6" s="8" t="s">
        <v>15</v>
      </c>
      <c r="I6" s="9" t="s">
        <v>18</v>
      </c>
      <c r="J6" s="9" t="s">
        <v>18</v>
      </c>
      <c r="K6" s="9" t="s">
        <v>18</v>
      </c>
    </row>
    <row r="7" spans="1:11" x14ac:dyDescent="0.25">
      <c r="A7" s="4">
        <v>6</v>
      </c>
      <c r="B7" s="1">
        <f>681</f>
        <v>681</v>
      </c>
      <c r="C7" s="1">
        <f>238+238+205</f>
        <v>681</v>
      </c>
      <c r="D7" s="11">
        <f>650+380+290</f>
        <v>1320</v>
      </c>
      <c r="E7" s="11">
        <f>325+350+300</f>
        <v>975</v>
      </c>
      <c r="F7" s="8" t="s">
        <v>19</v>
      </c>
      <c r="G7" s="8" t="s">
        <v>20</v>
      </c>
      <c r="H7" s="8" t="s">
        <v>16</v>
      </c>
      <c r="I7" s="9" t="s">
        <v>15</v>
      </c>
      <c r="J7" s="9" t="s">
        <v>18</v>
      </c>
      <c r="K7" s="9" t="s">
        <v>25</v>
      </c>
    </row>
    <row r="8" spans="1:11" x14ac:dyDescent="0.25">
      <c r="A8" s="4">
        <v>7</v>
      </c>
      <c r="B8" s="11">
        <f>120+290+235+120+215+240+245</f>
        <v>1465</v>
      </c>
      <c r="C8" s="13">
        <f>130+235+120+215+245</f>
        <v>945</v>
      </c>
      <c r="D8" s="1">
        <f>290+390</f>
        <v>680</v>
      </c>
      <c r="E8" s="1">
        <v>350</v>
      </c>
      <c r="F8" s="8" t="s">
        <v>16</v>
      </c>
      <c r="G8" s="8" t="s">
        <v>15</v>
      </c>
      <c r="H8" s="8" t="s">
        <v>16</v>
      </c>
      <c r="I8" s="9" t="s">
        <v>15</v>
      </c>
      <c r="J8" s="9" t="s">
        <v>17</v>
      </c>
      <c r="K8" s="9" t="s">
        <v>24</v>
      </c>
    </row>
    <row r="9" spans="1:11" x14ac:dyDescent="0.25">
      <c r="A9" s="4">
        <v>8</v>
      </c>
      <c r="B9" s="11">
        <f>245+140+165+150+280+135</f>
        <v>1115</v>
      </c>
      <c r="C9" s="13">
        <f>195+245+165+140+150+135</f>
        <v>1030</v>
      </c>
      <c r="D9" s="1">
        <f>300+280</f>
        <v>580</v>
      </c>
      <c r="E9" s="1">
        <v>340</v>
      </c>
      <c r="F9" s="8" t="s">
        <v>16</v>
      </c>
      <c r="G9" s="8" t="s">
        <v>19</v>
      </c>
      <c r="H9" s="8" t="s">
        <v>15</v>
      </c>
      <c r="I9" s="9" t="s">
        <v>19</v>
      </c>
      <c r="J9" s="9" t="s">
        <v>15</v>
      </c>
      <c r="K9" s="9" t="s">
        <v>26</v>
      </c>
    </row>
    <row r="10" spans="1:11" x14ac:dyDescent="0.25">
      <c r="A10" s="4">
        <v>9</v>
      </c>
      <c r="B10" s="1">
        <f>365+200+130</f>
        <v>695</v>
      </c>
      <c r="C10" s="1">
        <f>130+200+260</f>
        <v>590</v>
      </c>
      <c r="D10" s="11">
        <f>340+365+340</f>
        <v>1045</v>
      </c>
      <c r="E10" s="11">
        <f>330+435+330+350</f>
        <v>1445</v>
      </c>
      <c r="F10" s="8" t="s">
        <v>15</v>
      </c>
      <c r="G10" s="8" t="s">
        <v>18</v>
      </c>
      <c r="H10" s="8" t="s">
        <v>15</v>
      </c>
      <c r="I10" s="9" t="s">
        <v>15</v>
      </c>
      <c r="J10" s="9" t="s">
        <v>15</v>
      </c>
      <c r="K10" s="9" t="s">
        <v>26</v>
      </c>
    </row>
    <row r="11" spans="1:11" x14ac:dyDescent="0.25">
      <c r="A11" s="4">
        <v>10</v>
      </c>
      <c r="B11" s="11">
        <f>135+280+150+140+165+245</f>
        <v>1115</v>
      </c>
      <c r="C11" s="13">
        <f>195+245+165+140+150+135</f>
        <v>1030</v>
      </c>
      <c r="D11" s="1">
        <f>280+300</f>
        <v>580</v>
      </c>
      <c r="E11" s="1">
        <v>340</v>
      </c>
      <c r="F11" s="8" t="s">
        <v>16</v>
      </c>
      <c r="G11" s="8" t="s">
        <v>17</v>
      </c>
      <c r="H11" s="8" t="s">
        <v>15</v>
      </c>
      <c r="I11" s="9" t="s">
        <v>20</v>
      </c>
      <c r="J11" s="9" t="s">
        <v>17</v>
      </c>
      <c r="K11" s="9" t="s">
        <v>24</v>
      </c>
    </row>
    <row r="12" spans="1:11" x14ac:dyDescent="0.25">
      <c r="A12" s="4">
        <v>11</v>
      </c>
      <c r="B12" s="11">
        <f>200+185+150+460+165</f>
        <v>1160</v>
      </c>
      <c r="C12" s="13">
        <f>200+150+185+150+245+165</f>
        <v>1095</v>
      </c>
      <c r="D12" s="1">
        <v>460</v>
      </c>
      <c r="E12" s="1">
        <f>410+390</f>
        <v>800</v>
      </c>
      <c r="F12" s="8" t="s">
        <v>16</v>
      </c>
      <c r="G12" s="8" t="s">
        <v>18</v>
      </c>
      <c r="H12" s="8" t="s">
        <v>15</v>
      </c>
      <c r="I12" s="9" t="s">
        <v>17</v>
      </c>
      <c r="J12" s="9" t="s">
        <v>19</v>
      </c>
      <c r="K12" s="9" t="s">
        <v>20</v>
      </c>
    </row>
    <row r="13" spans="1:11" x14ac:dyDescent="0.25">
      <c r="A13" s="4">
        <v>12</v>
      </c>
      <c r="B13" s="11">
        <f>475+150+170+185</f>
        <v>980</v>
      </c>
      <c r="C13" s="13">
        <f>200+120+155+150+170+185+180</f>
        <v>1160</v>
      </c>
      <c r="D13" s="1">
        <v>250</v>
      </c>
      <c r="E13" s="1">
        <f>350</f>
        <v>350</v>
      </c>
      <c r="F13" s="8" t="s">
        <v>15</v>
      </c>
      <c r="G13" s="8" t="s">
        <v>19</v>
      </c>
      <c r="H13" s="8" t="s">
        <v>15</v>
      </c>
      <c r="I13" s="9" t="s">
        <v>15</v>
      </c>
      <c r="J13" s="9" t="s">
        <v>19</v>
      </c>
      <c r="K13" s="9" t="s">
        <v>20</v>
      </c>
    </row>
    <row r="14" spans="1:11" x14ac:dyDescent="0.25">
      <c r="A14" s="4">
        <v>13</v>
      </c>
      <c r="B14" s="1">
        <f>220+125+150+220+155</f>
        <v>870</v>
      </c>
      <c r="C14" s="13">
        <f>220+125+170+120+240+150+220+155</f>
        <v>1400</v>
      </c>
      <c r="D14" s="1">
        <v>350</v>
      </c>
      <c r="E14" s="1">
        <v>0</v>
      </c>
      <c r="F14" s="8" t="s">
        <v>16</v>
      </c>
      <c r="G14" s="8" t="s">
        <v>15</v>
      </c>
      <c r="H14" s="8" t="s">
        <v>16</v>
      </c>
      <c r="I14" s="9" t="s">
        <v>18</v>
      </c>
      <c r="J14" s="9" t="s">
        <v>19</v>
      </c>
      <c r="K14" s="9" t="s">
        <v>20</v>
      </c>
    </row>
    <row r="15" spans="1:11" x14ac:dyDescent="0.25">
      <c r="A15" s="4">
        <v>14</v>
      </c>
      <c r="B15" s="1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15</v>
      </c>
      <c r="G15" s="8" t="s">
        <v>18</v>
      </c>
      <c r="H15" s="8" t="s">
        <v>18</v>
      </c>
      <c r="I15" s="9" t="s">
        <v>18</v>
      </c>
      <c r="J15" s="9" t="s">
        <v>18</v>
      </c>
      <c r="K15" s="9" t="s">
        <v>25</v>
      </c>
    </row>
    <row r="16" spans="1:11" x14ac:dyDescent="0.25">
      <c r="A16" s="4">
        <v>15</v>
      </c>
      <c r="B16" s="11">
        <f>320+180+245+200</f>
        <v>945</v>
      </c>
      <c r="C16" s="13">
        <f>180+245+185+120+200</f>
        <v>930</v>
      </c>
      <c r="D16" s="11">
        <f>320+280+310</f>
        <v>910</v>
      </c>
      <c r="E16" s="1">
        <v>340</v>
      </c>
      <c r="F16" s="8" t="s">
        <v>15</v>
      </c>
      <c r="G16" s="8" t="s">
        <v>20</v>
      </c>
      <c r="H16" s="8" t="s">
        <v>15</v>
      </c>
      <c r="I16" s="9" t="s">
        <v>18</v>
      </c>
      <c r="J16" s="9" t="s">
        <v>19</v>
      </c>
      <c r="K16" s="9" t="s">
        <v>20</v>
      </c>
    </row>
    <row r="17" spans="1:11" x14ac:dyDescent="0.25">
      <c r="A17" s="4">
        <v>16</v>
      </c>
      <c r="B17" s="11">
        <f>215+130+225+225+195+120</f>
        <v>1110</v>
      </c>
      <c r="C17" s="13">
        <f>215+225+130+225+195+120+225</f>
        <v>1335</v>
      </c>
      <c r="D17" s="1">
        <v>0</v>
      </c>
      <c r="E17" s="1">
        <f>420+340</f>
        <v>760</v>
      </c>
      <c r="F17" s="8" t="s">
        <v>16</v>
      </c>
      <c r="G17" s="8" t="s">
        <v>18</v>
      </c>
      <c r="H17" s="8" t="s">
        <v>17</v>
      </c>
      <c r="I17" s="9" t="s">
        <v>19</v>
      </c>
      <c r="J17" s="9" t="s">
        <v>18</v>
      </c>
      <c r="K17" s="9" t="s">
        <v>25</v>
      </c>
    </row>
    <row r="18" spans="1:11" x14ac:dyDescent="0.25">
      <c r="A18" s="4">
        <v>17</v>
      </c>
      <c r="B18" s="1">
        <f>140+300</f>
        <v>440</v>
      </c>
      <c r="C18" s="13">
        <f>150+235+210+140+250</f>
        <v>985</v>
      </c>
      <c r="D18" s="1">
        <v>300</v>
      </c>
      <c r="E18" s="11">
        <f>330+750+340</f>
        <v>1420</v>
      </c>
      <c r="F18" s="8" t="s">
        <v>15</v>
      </c>
      <c r="G18" s="8" t="s">
        <v>19</v>
      </c>
      <c r="H18" s="8" t="s">
        <v>15</v>
      </c>
      <c r="I18" s="9" t="s">
        <v>18</v>
      </c>
      <c r="J18" s="9" t="s">
        <v>17</v>
      </c>
      <c r="K18" s="9" t="s">
        <v>24</v>
      </c>
    </row>
    <row r="19" spans="1:11" x14ac:dyDescent="0.25">
      <c r="A19" s="4">
        <v>18</v>
      </c>
      <c r="B19" s="1">
        <f>125+175+160+340</f>
        <v>800</v>
      </c>
      <c r="C19" s="1">
        <f>125+175+215+160</f>
        <v>675</v>
      </c>
      <c r="D19" s="11">
        <f>255+340+340</f>
        <v>935</v>
      </c>
      <c r="E19" s="11">
        <f>365+560</f>
        <v>925</v>
      </c>
      <c r="F19" s="8" t="s">
        <v>15</v>
      </c>
      <c r="G19" s="8" t="s">
        <v>19</v>
      </c>
      <c r="H19" s="8" t="s">
        <v>15</v>
      </c>
      <c r="I19" s="9" t="s">
        <v>15</v>
      </c>
      <c r="J19" s="9" t="s">
        <v>17</v>
      </c>
      <c r="K19" s="9" t="s">
        <v>24</v>
      </c>
    </row>
    <row r="20" spans="1:11" x14ac:dyDescent="0.25">
      <c r="A20" s="4">
        <v>19</v>
      </c>
      <c r="B20" s="11">
        <f>365+185+160+150+265</f>
        <v>1125</v>
      </c>
      <c r="C20" s="1">
        <f>185+150+160+150</f>
        <v>645</v>
      </c>
      <c r="D20" s="11">
        <f>435+265+365</f>
        <v>1065</v>
      </c>
      <c r="E20" s="1">
        <f>435+340</f>
        <v>775</v>
      </c>
      <c r="F20" s="8" t="s">
        <v>17</v>
      </c>
      <c r="G20" s="8" t="s">
        <v>19</v>
      </c>
      <c r="H20" s="8" t="s">
        <v>17</v>
      </c>
      <c r="I20" s="9" t="s">
        <v>17</v>
      </c>
      <c r="J20" s="9" t="s">
        <v>20</v>
      </c>
      <c r="K20" s="9" t="s">
        <v>19</v>
      </c>
    </row>
    <row r="21" spans="1:11" x14ac:dyDescent="0.25">
      <c r="A21" s="4">
        <v>20</v>
      </c>
      <c r="B21" s="1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15</v>
      </c>
      <c r="G21" s="8" t="s">
        <v>18</v>
      </c>
      <c r="H21" s="8" t="s">
        <v>16</v>
      </c>
      <c r="I21" s="9" t="s">
        <v>15</v>
      </c>
      <c r="J21" s="9" t="s">
        <v>19</v>
      </c>
      <c r="K21" s="9" t="s">
        <v>20</v>
      </c>
    </row>
    <row r="22" spans="1:11" x14ac:dyDescent="0.25">
      <c r="A22" s="4">
        <v>21</v>
      </c>
      <c r="B22" s="11">
        <f>250+680+215+130+150</f>
        <v>1425</v>
      </c>
      <c r="C22" s="13">
        <f>215+215+245+130+150</f>
        <v>955</v>
      </c>
      <c r="D22" s="11">
        <f>370+680+250</f>
        <v>1300</v>
      </c>
      <c r="E22" s="1">
        <v>340</v>
      </c>
      <c r="F22" s="8" t="s">
        <v>18</v>
      </c>
      <c r="G22" s="8" t="s">
        <v>19</v>
      </c>
      <c r="H22" s="8" t="s">
        <v>16</v>
      </c>
      <c r="I22" s="9" t="s">
        <v>17</v>
      </c>
      <c r="J22" s="9" t="s">
        <v>24</v>
      </c>
      <c r="K22" s="9" t="s">
        <v>17</v>
      </c>
    </row>
    <row r="23" spans="1:11" x14ac:dyDescent="0.25">
      <c r="A23" s="4">
        <v>22</v>
      </c>
      <c r="B23" s="11">
        <f>210+200+155+185+300+140</f>
        <v>1190</v>
      </c>
      <c r="C23" s="13">
        <f>210+155+200+185+160+140</f>
        <v>1050</v>
      </c>
      <c r="D23" s="1">
        <f>300+290</f>
        <v>590</v>
      </c>
      <c r="E23" s="1">
        <v>340</v>
      </c>
      <c r="F23" s="8" t="s">
        <v>15</v>
      </c>
      <c r="G23" s="8" t="s">
        <v>19</v>
      </c>
      <c r="H23" s="8" t="s">
        <v>16</v>
      </c>
      <c r="I23" s="9" t="s">
        <v>16</v>
      </c>
      <c r="J23" s="9" t="s">
        <v>24</v>
      </c>
      <c r="K23" s="9" t="s">
        <v>17</v>
      </c>
    </row>
    <row r="24" spans="1:11" x14ac:dyDescent="0.25">
      <c r="A24" s="4">
        <v>23</v>
      </c>
      <c r="B24" s="1">
        <f>145+215+185+220</f>
        <v>765</v>
      </c>
      <c r="C24" s="13">
        <f>220+215+185+140+145</f>
        <v>905</v>
      </c>
      <c r="D24" s="1">
        <f>265</f>
        <v>265</v>
      </c>
      <c r="E24" s="1">
        <f>340+300+350</f>
        <v>990</v>
      </c>
      <c r="F24" s="8" t="s">
        <v>17</v>
      </c>
      <c r="G24" s="8" t="s">
        <v>19</v>
      </c>
      <c r="H24" s="8" t="s">
        <v>16</v>
      </c>
      <c r="I24" s="9" t="s">
        <v>16</v>
      </c>
      <c r="J24" s="9" t="s">
        <v>19</v>
      </c>
      <c r="K24" s="9" t="s">
        <v>20</v>
      </c>
    </row>
    <row r="25" spans="1:11" x14ac:dyDescent="0.25">
      <c r="A25" s="4">
        <v>24</v>
      </c>
      <c r="B25" s="1">
        <f>105+130+180</f>
        <v>415</v>
      </c>
      <c r="C25" s="1">
        <f>200+180+130+105</f>
        <v>615</v>
      </c>
      <c r="D25" s="1">
        <f>485</f>
        <v>485</v>
      </c>
      <c r="E25" s="11">
        <f>340+340+365+300</f>
        <v>1345</v>
      </c>
      <c r="F25" s="8" t="s">
        <v>16</v>
      </c>
      <c r="G25" s="8" t="s">
        <v>19</v>
      </c>
      <c r="H25" s="8" t="s">
        <v>15</v>
      </c>
      <c r="I25" s="9" t="s">
        <v>18</v>
      </c>
      <c r="J25" s="9" t="s">
        <v>18</v>
      </c>
      <c r="K25" s="9" t="s">
        <v>24</v>
      </c>
    </row>
    <row r="26" spans="1:11" x14ac:dyDescent="0.25">
      <c r="A26" s="4">
        <v>25</v>
      </c>
      <c r="B26" s="11">
        <f>420+220+150+560+185</f>
        <v>1535</v>
      </c>
      <c r="C26" s="1">
        <f>185+220+150</f>
        <v>555</v>
      </c>
      <c r="D26" s="11">
        <f>370+560+420</f>
        <v>1350</v>
      </c>
      <c r="E26" s="11">
        <f>410+330+330</f>
        <v>1070</v>
      </c>
      <c r="F26" s="8" t="s">
        <v>18</v>
      </c>
      <c r="G26" s="8" t="s">
        <v>20</v>
      </c>
      <c r="H26" s="8" t="s">
        <v>15</v>
      </c>
      <c r="I26" s="9" t="s">
        <v>18</v>
      </c>
      <c r="J26" s="9" t="s">
        <v>17</v>
      </c>
      <c r="K26" s="9" t="s">
        <v>24</v>
      </c>
    </row>
    <row r="27" spans="1:11" x14ac:dyDescent="0.25">
      <c r="A27" s="4">
        <v>26</v>
      </c>
      <c r="B27" s="1">
        <f>210+145</f>
        <v>355</v>
      </c>
      <c r="C27" s="1">
        <f>210+175+145</f>
        <v>530</v>
      </c>
      <c r="D27" s="1">
        <f>310+580</f>
        <v>890</v>
      </c>
      <c r="E27" s="11">
        <f>410+330+420+340</f>
        <v>1500</v>
      </c>
      <c r="F27" s="8" t="s">
        <v>15</v>
      </c>
      <c r="G27" s="8" t="s">
        <v>17</v>
      </c>
      <c r="H27" s="8" t="s">
        <v>15</v>
      </c>
      <c r="I27" s="9" t="s">
        <v>15</v>
      </c>
      <c r="J27" s="9" t="s">
        <v>19</v>
      </c>
      <c r="K27" s="9" t="s">
        <v>20</v>
      </c>
    </row>
    <row r="28" spans="1:11" x14ac:dyDescent="0.25">
      <c r="A28" s="4">
        <v>27</v>
      </c>
      <c r="B28" s="1">
        <f>180+160+240+185</f>
        <v>765</v>
      </c>
      <c r="C28" s="13">
        <f>160+180+210+140+160+240+230+185</f>
        <v>1505</v>
      </c>
      <c r="D28" s="1">
        <v>0</v>
      </c>
      <c r="E28" s="1">
        <v>390</v>
      </c>
      <c r="F28" s="8" t="s">
        <v>18</v>
      </c>
      <c r="G28" s="8" t="s">
        <v>19</v>
      </c>
      <c r="H28" s="8" t="s">
        <v>16</v>
      </c>
      <c r="I28" s="9" t="s">
        <v>15</v>
      </c>
      <c r="J28" s="9" t="s">
        <v>19</v>
      </c>
      <c r="K28" s="9" t="s">
        <v>20</v>
      </c>
    </row>
    <row r="29" spans="1:11" x14ac:dyDescent="0.25">
      <c r="A29" s="4">
        <v>28</v>
      </c>
      <c r="B29" s="1">
        <f>220+115</f>
        <v>335</v>
      </c>
      <c r="C29" s="1">
        <f>115+220+255</f>
        <v>590</v>
      </c>
      <c r="D29" s="1">
        <v>0</v>
      </c>
      <c r="E29" s="11">
        <f>350+365+390+365+775+315</f>
        <v>2560</v>
      </c>
      <c r="F29" s="8" t="s">
        <v>15</v>
      </c>
      <c r="G29" s="8" t="s">
        <v>20</v>
      </c>
      <c r="H29" s="8" t="s">
        <v>15</v>
      </c>
      <c r="I29" s="9" t="s">
        <v>18</v>
      </c>
      <c r="J29" s="9" t="s">
        <v>15</v>
      </c>
      <c r="K29" s="9" t="s">
        <v>26</v>
      </c>
    </row>
    <row r="30" spans="1:11" x14ac:dyDescent="0.25">
      <c r="A30" s="4">
        <v>29</v>
      </c>
      <c r="B30" s="11">
        <f>150+175+245+580</f>
        <v>1150</v>
      </c>
      <c r="C30" s="1">
        <f>215+150+175+245</f>
        <v>785</v>
      </c>
      <c r="D30" s="11">
        <f>580+290+300</f>
        <v>1170</v>
      </c>
      <c r="E30" s="1">
        <v>350</v>
      </c>
      <c r="F30" s="8" t="s">
        <v>15</v>
      </c>
      <c r="G30" s="8" t="s">
        <v>17</v>
      </c>
      <c r="H30" s="8" t="s">
        <v>18</v>
      </c>
      <c r="I30" s="9" t="s">
        <v>18</v>
      </c>
      <c r="J30" s="9" t="s">
        <v>19</v>
      </c>
      <c r="K30" s="9" t="s">
        <v>20</v>
      </c>
    </row>
    <row r="31" spans="1:11" x14ac:dyDescent="0.25">
      <c r="A31" s="4">
        <v>30</v>
      </c>
      <c r="B31" s="1">
        <f>130+165+230+105+220</f>
        <v>850</v>
      </c>
      <c r="C31" s="1">
        <v>850</v>
      </c>
      <c r="D31" s="1">
        <v>280</v>
      </c>
      <c r="E31" s="11">
        <f>485+315+455</f>
        <v>1255</v>
      </c>
      <c r="F31" s="8" t="s">
        <v>17</v>
      </c>
      <c r="G31" s="8" t="s">
        <v>24</v>
      </c>
      <c r="H31" s="8" t="s">
        <v>16</v>
      </c>
      <c r="I31" s="9" t="s">
        <v>16</v>
      </c>
      <c r="J31" s="9" t="s">
        <v>20</v>
      </c>
      <c r="K31" s="9" t="s">
        <v>19</v>
      </c>
    </row>
    <row r="32" spans="1:11" x14ac:dyDescent="0.25">
      <c r="A32" s="4">
        <v>31</v>
      </c>
      <c r="B32" s="11">
        <f>205+300+280+235+180</f>
        <v>1200</v>
      </c>
      <c r="C32" s="1">
        <f>150+120+235+185+205</f>
        <v>895</v>
      </c>
      <c r="D32" s="11">
        <f>485+535+300+280</f>
        <v>1600</v>
      </c>
      <c r="E32" s="1">
        <v>0</v>
      </c>
      <c r="F32" s="8" t="s">
        <v>18</v>
      </c>
      <c r="G32" s="8" t="s">
        <v>17</v>
      </c>
      <c r="H32" s="8" t="s">
        <v>15</v>
      </c>
      <c r="I32" s="9" t="s">
        <v>18</v>
      </c>
      <c r="J32" s="9" t="s">
        <v>19</v>
      </c>
      <c r="K32" s="9" t="s">
        <v>20</v>
      </c>
    </row>
    <row r="33" spans="1:11" x14ac:dyDescent="0.25">
      <c r="A33" s="4">
        <v>32</v>
      </c>
      <c r="B33" s="11">
        <f>180+200+200+110+215+185+115+120</f>
        <v>1325</v>
      </c>
      <c r="C33" s="13">
        <v>1325</v>
      </c>
      <c r="D33" s="1">
        <v>0</v>
      </c>
      <c r="E33" s="1">
        <v>340</v>
      </c>
      <c r="F33" s="8" t="s">
        <v>16</v>
      </c>
      <c r="G33" s="8" t="s">
        <v>18</v>
      </c>
      <c r="H33" s="8" t="s">
        <v>19</v>
      </c>
      <c r="I33" s="9" t="s">
        <v>20</v>
      </c>
      <c r="J33" s="9" t="s">
        <v>18</v>
      </c>
      <c r="K33" s="9" t="s">
        <v>25</v>
      </c>
    </row>
    <row r="34" spans="1:11" x14ac:dyDescent="0.25">
      <c r="A34" s="4">
        <v>33</v>
      </c>
      <c r="B34" s="1">
        <f>210+220</f>
        <v>430</v>
      </c>
      <c r="C34" s="1">
        <f>210+220+240+130</f>
        <v>800</v>
      </c>
      <c r="D34" s="1">
        <v>510</v>
      </c>
      <c r="E34" s="11">
        <f>630+350+370+365</f>
        <v>1715</v>
      </c>
      <c r="F34" s="8" t="s">
        <v>16</v>
      </c>
      <c r="G34" s="8" t="s">
        <v>17</v>
      </c>
      <c r="H34" s="8" t="s">
        <v>15</v>
      </c>
      <c r="I34" s="9" t="s">
        <v>18</v>
      </c>
      <c r="J34" s="9" t="s">
        <v>18</v>
      </c>
      <c r="K34" s="9" t="s">
        <v>25</v>
      </c>
    </row>
    <row r="35" spans="1:11" x14ac:dyDescent="0.25">
      <c r="A35" s="4">
        <v>34</v>
      </c>
      <c r="B35" s="11">
        <f>145+190+195+145+410</f>
        <v>1085</v>
      </c>
      <c r="C35" s="1">
        <f>140+145+190+195+145</f>
        <v>815</v>
      </c>
      <c r="D35" s="11">
        <f>970+410</f>
        <v>1380</v>
      </c>
      <c r="E35" s="11">
        <f>730+460</f>
        <v>1190</v>
      </c>
      <c r="F35" s="8" t="s">
        <v>16</v>
      </c>
      <c r="G35" s="8" t="s">
        <v>17</v>
      </c>
      <c r="H35" s="8" t="s">
        <v>15</v>
      </c>
      <c r="I35" s="9" t="s">
        <v>15</v>
      </c>
      <c r="J35" s="9" t="s">
        <v>19</v>
      </c>
      <c r="K35" s="9" t="s">
        <v>20</v>
      </c>
    </row>
    <row r="36" spans="1:11" x14ac:dyDescent="0.25">
      <c r="A36" s="4">
        <v>35</v>
      </c>
    </row>
    <row r="37" spans="1:11" x14ac:dyDescent="0.25">
      <c r="A37" s="4">
        <v>36</v>
      </c>
    </row>
    <row r="38" spans="1:11" x14ac:dyDescent="0.25">
      <c r="A38" s="4">
        <v>37</v>
      </c>
      <c r="B38" s="1">
        <f>SUM(B2:B35)</f>
        <v>30574</v>
      </c>
      <c r="C38" s="1">
        <f>SUM(C2:C37)</f>
        <v>30005</v>
      </c>
      <c r="D38" s="12">
        <f>SUM(D2:D35)</f>
        <v>23846</v>
      </c>
      <c r="E38" s="12">
        <f>SUM(E2:E37)</f>
        <v>27475</v>
      </c>
    </row>
    <row r="39" spans="1:11" x14ac:dyDescent="0.25">
      <c r="A39" s="4">
        <v>38</v>
      </c>
    </row>
    <row r="41" spans="1:11" x14ac:dyDescent="0.25">
      <c r="A41" s="5" t="s">
        <v>5</v>
      </c>
      <c r="B41" s="6"/>
      <c r="C41" s="6"/>
      <c r="D41" s="6"/>
      <c r="E41" s="6"/>
    </row>
    <row r="44" spans="1:11" x14ac:dyDescent="0.25">
      <c r="C44" s="1" t="s">
        <v>27</v>
      </c>
      <c r="D44" s="1" t="s">
        <v>28</v>
      </c>
      <c r="E44" s="1" t="s">
        <v>29</v>
      </c>
      <c r="F44" s="8" t="s">
        <v>30</v>
      </c>
    </row>
    <row r="46" spans="1:11" x14ac:dyDescent="0.25">
      <c r="C46" s="1">
        <v>2</v>
      </c>
      <c r="D46" s="1" t="s">
        <v>33</v>
      </c>
      <c r="E46" s="1" t="s">
        <v>31</v>
      </c>
      <c r="F46" s="8" t="s">
        <v>32</v>
      </c>
    </row>
    <row r="49" spans="2:5" x14ac:dyDescent="0.25">
      <c r="B49" s="1" t="s">
        <v>34</v>
      </c>
      <c r="C49" s="1" t="s">
        <v>35</v>
      </c>
      <c r="D49" s="1" t="s">
        <v>36</v>
      </c>
      <c r="E49" s="1">
        <v>14</v>
      </c>
    </row>
    <row r="51" spans="2:5" x14ac:dyDescent="0.25">
      <c r="B51" s="1">
        <v>1</v>
      </c>
      <c r="C51" s="1" t="s">
        <v>37</v>
      </c>
    </row>
    <row r="52" spans="2:5" x14ac:dyDescent="0.25">
      <c r="D52" s="1" t="s">
        <v>38</v>
      </c>
      <c r="E52" s="1">
        <v>4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93EA-4998-4071-AA78-976D82956F21}">
  <dimension ref="A1:O26"/>
  <sheetViews>
    <sheetView workbookViewId="0">
      <selection activeCell="A19" sqref="A19:C19"/>
    </sheetView>
  </sheetViews>
  <sheetFormatPr defaultRowHeight="15" x14ac:dyDescent="0.25"/>
  <cols>
    <col min="4" max="4" width="12.7109375" customWidth="1"/>
    <col min="5" max="5" width="11.28515625" customWidth="1"/>
    <col min="6" max="6" width="16.140625" customWidth="1"/>
    <col min="7" max="7" width="16.28515625" customWidth="1"/>
    <col min="8" max="8" width="13.140625" customWidth="1"/>
    <col min="13" max="13" width="16.7109375" customWidth="1"/>
  </cols>
  <sheetData>
    <row r="1" spans="1:15" x14ac:dyDescent="0.25">
      <c r="A1" s="28" t="s">
        <v>45</v>
      </c>
      <c r="B1" s="28"/>
      <c r="C1" s="28"/>
      <c r="D1" s="15">
        <v>800</v>
      </c>
    </row>
    <row r="3" spans="1:15" ht="15.75" thickBot="1" x14ac:dyDescent="0.3">
      <c r="A3" s="27" t="s">
        <v>42</v>
      </c>
      <c r="B3" s="27"/>
      <c r="C3" s="27"/>
      <c r="D3" s="16" t="s">
        <v>39</v>
      </c>
      <c r="E3" s="16" t="s">
        <v>40</v>
      </c>
      <c r="F3" s="16" t="s">
        <v>41</v>
      </c>
      <c r="G3" s="16" t="s">
        <v>43</v>
      </c>
      <c r="H3" s="16" t="s">
        <v>44</v>
      </c>
    </row>
    <row r="4" spans="1:15" ht="15.75" thickTop="1" x14ac:dyDescent="0.25">
      <c r="A4" s="29" t="s">
        <v>70</v>
      </c>
      <c r="B4" s="29"/>
      <c r="C4" s="29"/>
      <c r="D4" s="1">
        <v>2.65</v>
      </c>
      <c r="E4" s="1">
        <v>40</v>
      </c>
      <c r="F4" s="14">
        <f>(E4*$D$1)/100</f>
        <v>320</v>
      </c>
      <c r="G4" s="14">
        <f>F4*D4</f>
        <v>848</v>
      </c>
      <c r="H4" s="14">
        <f t="shared" ref="H4:H14" si="0">IF(E4=0,0,G4-$F$26)</f>
        <v>-61.200000000000045</v>
      </c>
      <c r="J4" t="s">
        <v>69</v>
      </c>
      <c r="M4" t="s">
        <v>71</v>
      </c>
      <c r="O4" t="s">
        <v>73</v>
      </c>
    </row>
    <row r="5" spans="1:15" x14ac:dyDescent="0.25">
      <c r="A5" s="26" t="s">
        <v>72</v>
      </c>
      <c r="B5" s="26"/>
      <c r="C5" s="26"/>
      <c r="D5" s="1">
        <v>15</v>
      </c>
      <c r="E5" s="1">
        <v>7.2</v>
      </c>
      <c r="F5" s="14">
        <f>(E5*$D$1)/100</f>
        <v>57.6</v>
      </c>
      <c r="G5" s="14">
        <f t="shared" ref="G5" si="1">F5*D5</f>
        <v>864</v>
      </c>
      <c r="H5" s="14">
        <f t="shared" si="0"/>
        <v>-45.200000000000045</v>
      </c>
    </row>
    <row r="6" spans="1:15" x14ac:dyDescent="0.25">
      <c r="A6" s="25" t="s">
        <v>47</v>
      </c>
      <c r="B6" s="25"/>
      <c r="C6" s="25"/>
      <c r="D6" s="1">
        <v>15</v>
      </c>
      <c r="E6" s="1">
        <v>7.2</v>
      </c>
      <c r="F6" s="14">
        <f>(E6*$D$1)/100</f>
        <v>57.6</v>
      </c>
      <c r="G6" s="14">
        <f t="shared" ref="G6:G14" si="2">F6*D6</f>
        <v>864</v>
      </c>
      <c r="H6" s="14">
        <f t="shared" si="0"/>
        <v>-45.200000000000045</v>
      </c>
    </row>
    <row r="7" spans="1:15" x14ac:dyDescent="0.25">
      <c r="A7" s="25" t="s">
        <v>48</v>
      </c>
      <c r="B7" s="25"/>
      <c r="C7" s="25"/>
      <c r="D7" s="1">
        <v>7.4</v>
      </c>
      <c r="E7" s="1">
        <v>14.5</v>
      </c>
      <c r="F7" s="14">
        <f t="shared" ref="F7:F15" si="3">(E7*$D$1)/100</f>
        <v>116</v>
      </c>
      <c r="G7" s="14">
        <f t="shared" si="2"/>
        <v>858.40000000000009</v>
      </c>
      <c r="H7" s="14">
        <f t="shared" si="0"/>
        <v>-50.799999999999955</v>
      </c>
    </row>
    <row r="8" spans="1:15" x14ac:dyDescent="0.25">
      <c r="A8" s="25" t="s">
        <v>49</v>
      </c>
      <c r="B8" s="25"/>
      <c r="C8" s="25"/>
      <c r="D8" s="1">
        <v>14.5</v>
      </c>
      <c r="E8" s="1">
        <v>7.5</v>
      </c>
      <c r="F8" s="14">
        <f t="shared" si="3"/>
        <v>60</v>
      </c>
      <c r="G8" s="14">
        <f t="shared" si="2"/>
        <v>870</v>
      </c>
      <c r="H8" s="14">
        <f t="shared" si="0"/>
        <v>-39.200000000000045</v>
      </c>
    </row>
    <row r="9" spans="1:15" x14ac:dyDescent="0.25">
      <c r="A9" s="25" t="s">
        <v>50</v>
      </c>
      <c r="B9" s="25"/>
      <c r="C9" s="25"/>
      <c r="D9" s="1">
        <v>10</v>
      </c>
      <c r="E9" s="1">
        <v>11</v>
      </c>
      <c r="F9" s="14">
        <f t="shared" si="3"/>
        <v>88</v>
      </c>
      <c r="G9" s="14">
        <f t="shared" si="2"/>
        <v>880</v>
      </c>
      <c r="H9" s="14">
        <f t="shared" si="0"/>
        <v>-29.200000000000045</v>
      </c>
    </row>
    <row r="10" spans="1:15" x14ac:dyDescent="0.25">
      <c r="A10" s="25" t="s">
        <v>51</v>
      </c>
      <c r="B10" s="25"/>
      <c r="C10" s="25"/>
      <c r="D10" s="1">
        <v>6.4</v>
      </c>
      <c r="E10" s="1">
        <v>17</v>
      </c>
      <c r="F10" s="14">
        <f t="shared" si="3"/>
        <v>136</v>
      </c>
      <c r="G10" s="14">
        <f t="shared" si="2"/>
        <v>870.40000000000009</v>
      </c>
      <c r="H10" s="14">
        <f t="shared" si="0"/>
        <v>-38.799999999999955</v>
      </c>
    </row>
    <row r="11" spans="1:15" x14ac:dyDescent="0.25">
      <c r="A11" s="26" t="s">
        <v>52</v>
      </c>
      <c r="B11" s="26"/>
      <c r="C11" s="26"/>
      <c r="D11" s="1">
        <v>40</v>
      </c>
      <c r="E11" s="1">
        <v>3</v>
      </c>
      <c r="F11" s="14">
        <f t="shared" si="3"/>
        <v>24</v>
      </c>
      <c r="G11" s="14">
        <f t="shared" si="2"/>
        <v>960</v>
      </c>
      <c r="H11" s="14">
        <f t="shared" si="0"/>
        <v>50.799999999999955</v>
      </c>
    </row>
    <row r="12" spans="1:15" x14ac:dyDescent="0.25">
      <c r="A12" s="26" t="s">
        <v>53</v>
      </c>
      <c r="B12" s="26"/>
      <c r="C12" s="26"/>
      <c r="D12" s="1">
        <v>50</v>
      </c>
      <c r="E12" s="1">
        <v>2.5</v>
      </c>
      <c r="F12" s="14">
        <f t="shared" si="3"/>
        <v>20</v>
      </c>
      <c r="G12" s="14">
        <f t="shared" si="2"/>
        <v>1000</v>
      </c>
      <c r="H12" s="14">
        <f t="shared" si="0"/>
        <v>90.799999999999955</v>
      </c>
    </row>
    <row r="13" spans="1:15" x14ac:dyDescent="0.25">
      <c r="A13" s="26" t="s">
        <v>68</v>
      </c>
      <c r="B13" s="26"/>
      <c r="C13" s="26"/>
      <c r="D13" s="1">
        <v>100</v>
      </c>
      <c r="E13" s="18">
        <v>1.125</v>
      </c>
      <c r="F13" s="14">
        <f t="shared" si="3"/>
        <v>9</v>
      </c>
      <c r="G13" s="14">
        <f t="shared" ref="G13" si="4">F13*D13</f>
        <v>900</v>
      </c>
      <c r="H13" s="14">
        <f t="shared" si="0"/>
        <v>-9.2000000000000455</v>
      </c>
    </row>
    <row r="14" spans="1:15" x14ac:dyDescent="0.25">
      <c r="A14" s="26" t="s">
        <v>67</v>
      </c>
      <c r="B14" s="26"/>
      <c r="C14" s="26"/>
      <c r="D14" s="1">
        <v>55</v>
      </c>
      <c r="E14" s="18">
        <v>2</v>
      </c>
      <c r="F14" s="14">
        <f t="shared" si="3"/>
        <v>16</v>
      </c>
      <c r="G14" s="14">
        <f t="shared" si="2"/>
        <v>880</v>
      </c>
      <c r="H14" s="14">
        <f t="shared" si="0"/>
        <v>-29.200000000000045</v>
      </c>
    </row>
    <row r="15" spans="1:15" x14ac:dyDescent="0.25">
      <c r="A15" s="26" t="s">
        <v>54</v>
      </c>
      <c r="B15" s="26"/>
      <c r="C15" s="26"/>
      <c r="D15" s="1">
        <v>175</v>
      </c>
      <c r="E15" s="18">
        <v>0.625</v>
      </c>
      <c r="F15" s="14">
        <f t="shared" si="3"/>
        <v>5</v>
      </c>
      <c r="G15" s="14">
        <f t="shared" ref="G15" si="5">F15*D15</f>
        <v>875</v>
      </c>
      <c r="H15" s="14">
        <f>IF(E15=0,0,G15-$F$26)</f>
        <v>-34.200000000000045</v>
      </c>
    </row>
    <row r="16" spans="1:15" x14ac:dyDescent="0.25">
      <c r="A16" s="23"/>
      <c r="B16" s="23"/>
      <c r="C16" s="23"/>
      <c r="D16" s="1"/>
      <c r="E16" s="18"/>
      <c r="F16" s="14"/>
      <c r="G16" s="14"/>
      <c r="H16" s="14"/>
    </row>
    <row r="17" spans="1:8" x14ac:dyDescent="0.25">
      <c r="A17" s="23"/>
      <c r="B17" s="23"/>
      <c r="C17" s="23"/>
      <c r="D17" s="1"/>
      <c r="E17" s="18"/>
      <c r="F17" s="14"/>
      <c r="G17" s="14"/>
      <c r="H17" s="14"/>
    </row>
    <row r="18" spans="1:8" x14ac:dyDescent="0.25">
      <c r="A18" s="23"/>
      <c r="B18" s="23"/>
      <c r="C18" s="23"/>
      <c r="D18" s="1"/>
      <c r="E18" s="18"/>
      <c r="F18" s="14"/>
      <c r="G18" s="14"/>
      <c r="H18" s="14"/>
    </row>
    <row r="19" spans="1:8" x14ac:dyDescent="0.25">
      <c r="A19" s="23"/>
      <c r="B19" s="23"/>
      <c r="C19" s="23"/>
      <c r="D19" s="1"/>
      <c r="E19" s="18"/>
      <c r="F19" s="14"/>
      <c r="G19" s="14"/>
      <c r="H19" s="14"/>
    </row>
    <row r="20" spans="1:8" x14ac:dyDescent="0.25">
      <c r="A20" s="23"/>
      <c r="B20" s="23"/>
      <c r="C20" s="23"/>
      <c r="D20" s="1"/>
      <c r="E20" s="18"/>
      <c r="F20" s="14"/>
      <c r="G20" s="14"/>
      <c r="H20" s="14"/>
    </row>
    <row r="21" spans="1:8" x14ac:dyDescent="0.25">
      <c r="A21" s="23"/>
      <c r="B21" s="23"/>
      <c r="C21" s="23"/>
      <c r="D21" s="1"/>
      <c r="E21" s="18"/>
      <c r="F21" s="14"/>
      <c r="G21" s="14"/>
      <c r="H21" s="14"/>
    </row>
    <row r="22" spans="1:8" x14ac:dyDescent="0.25">
      <c r="A22" s="23"/>
      <c r="B22" s="23"/>
      <c r="C22" s="23"/>
      <c r="D22" s="1"/>
      <c r="E22" s="18"/>
      <c r="F22" s="14"/>
      <c r="G22" s="14"/>
      <c r="H22" s="14"/>
    </row>
    <row r="23" spans="1:8" x14ac:dyDescent="0.25">
      <c r="A23" s="23"/>
      <c r="B23" s="23"/>
      <c r="C23" s="23"/>
      <c r="D23" s="1"/>
      <c r="E23" s="18"/>
      <c r="F23" s="14"/>
      <c r="G23" s="14"/>
      <c r="H23" s="14"/>
    </row>
    <row r="24" spans="1:8" x14ac:dyDescent="0.25">
      <c r="A24" s="24"/>
      <c r="B24" s="24"/>
      <c r="C24" s="24"/>
      <c r="G24" s="14"/>
    </row>
    <row r="25" spans="1:8" x14ac:dyDescent="0.25">
      <c r="A25" s="24"/>
      <c r="B25" s="24"/>
      <c r="C25" s="24"/>
      <c r="E25" s="17" t="s">
        <v>61</v>
      </c>
      <c r="F25" s="17" t="s">
        <v>62</v>
      </c>
    </row>
    <row r="26" spans="1:8" x14ac:dyDescent="0.25">
      <c r="A26" s="24"/>
      <c r="B26" s="24"/>
      <c r="C26" s="24"/>
      <c r="E26" s="1">
        <f>SUM(E4:E23)</f>
        <v>113.65</v>
      </c>
      <c r="F26" s="14">
        <f>SUM(F4:F23)</f>
        <v>909.2</v>
      </c>
    </row>
  </sheetData>
  <mergeCells count="25">
    <mergeCell ref="A8:C8"/>
    <mergeCell ref="A3:C3"/>
    <mergeCell ref="A1:C1"/>
    <mergeCell ref="A4:C4"/>
    <mergeCell ref="A6:C6"/>
    <mergeCell ref="A7:C7"/>
    <mergeCell ref="A5:C5"/>
    <mergeCell ref="A21:C21"/>
    <mergeCell ref="A9:C9"/>
    <mergeCell ref="A10:C10"/>
    <mergeCell ref="A11:C11"/>
    <mergeCell ref="A12:C12"/>
    <mergeCell ref="A14:C14"/>
    <mergeCell ref="A16:C16"/>
    <mergeCell ref="A13:C13"/>
    <mergeCell ref="A15:C15"/>
    <mergeCell ref="A17:C17"/>
    <mergeCell ref="A18:C18"/>
    <mergeCell ref="A19:C19"/>
    <mergeCell ref="A20:C20"/>
    <mergeCell ref="A22:C22"/>
    <mergeCell ref="A23:C23"/>
    <mergeCell ref="A24:C24"/>
    <mergeCell ref="A25:C25"/>
    <mergeCell ref="A26:C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C925-1790-44E9-9359-7928D5D7A779}">
  <dimension ref="A1:H25"/>
  <sheetViews>
    <sheetView tabSelected="1" workbookViewId="0">
      <selection activeCell="K19" sqref="K19"/>
    </sheetView>
  </sheetViews>
  <sheetFormatPr defaultRowHeight="15" x14ac:dyDescent="0.25"/>
  <cols>
    <col min="4" max="4" width="12.7109375" customWidth="1"/>
    <col min="5" max="5" width="11.28515625" customWidth="1"/>
    <col min="6" max="6" width="16.140625" customWidth="1"/>
    <col min="7" max="7" width="16.28515625" customWidth="1"/>
    <col min="8" max="8" width="13.140625" customWidth="1"/>
  </cols>
  <sheetData>
    <row r="1" spans="1:8" x14ac:dyDescent="0.25">
      <c r="A1" s="28" t="s">
        <v>45</v>
      </c>
      <c r="B1" s="28"/>
      <c r="C1" s="28"/>
      <c r="D1" s="15">
        <v>800</v>
      </c>
    </row>
    <row r="3" spans="1:8" ht="15.75" thickBot="1" x14ac:dyDescent="0.3">
      <c r="A3" s="27" t="s">
        <v>42</v>
      </c>
      <c r="B3" s="27"/>
      <c r="C3" s="27"/>
      <c r="D3" s="16" t="s">
        <v>39</v>
      </c>
      <c r="E3" s="16" t="s">
        <v>40</v>
      </c>
      <c r="F3" s="16" t="s">
        <v>41</v>
      </c>
      <c r="G3" s="16" t="s">
        <v>43</v>
      </c>
      <c r="H3" s="16" t="s">
        <v>44</v>
      </c>
    </row>
    <row r="4" spans="1:8" ht="15.75" thickTop="1" x14ac:dyDescent="0.25">
      <c r="A4" s="29" t="s">
        <v>46</v>
      </c>
      <c r="B4" s="29"/>
      <c r="C4" s="29"/>
      <c r="D4" s="1">
        <v>10</v>
      </c>
      <c r="E4" s="1">
        <v>11</v>
      </c>
      <c r="F4" s="14">
        <f>(E4*$D$1)/100</f>
        <v>88</v>
      </c>
      <c r="G4" s="14">
        <f>F4*D4</f>
        <v>880</v>
      </c>
      <c r="H4" s="14">
        <f>G4-$F$25</f>
        <v>122.39999999999998</v>
      </c>
    </row>
    <row r="5" spans="1:8" x14ac:dyDescent="0.25">
      <c r="A5" s="25" t="s">
        <v>47</v>
      </c>
      <c r="B5" s="25"/>
      <c r="C5" s="25"/>
      <c r="D5" s="1">
        <v>13</v>
      </c>
      <c r="E5" s="1">
        <v>8</v>
      </c>
      <c r="F5" s="14">
        <f>(E5*$D$1)/100</f>
        <v>64</v>
      </c>
      <c r="G5" s="14">
        <f t="shared" ref="G5:G20" si="0">F5*D5</f>
        <v>832</v>
      </c>
      <c r="H5" s="14">
        <f>G5-$F$25</f>
        <v>74.399999999999977</v>
      </c>
    </row>
    <row r="6" spans="1:8" x14ac:dyDescent="0.25">
      <c r="A6" s="25" t="s">
        <v>48</v>
      </c>
      <c r="B6" s="25"/>
      <c r="C6" s="25"/>
      <c r="D6" s="1">
        <v>9.4</v>
      </c>
      <c r="E6" s="1">
        <v>11</v>
      </c>
      <c r="F6" s="14">
        <f t="shared" ref="F6:F20" si="1">(E6*$D$1)/100</f>
        <v>88</v>
      </c>
      <c r="G6" s="14">
        <f t="shared" si="0"/>
        <v>827.2</v>
      </c>
      <c r="H6" s="14">
        <f>G6-$F$25</f>
        <v>69.600000000000023</v>
      </c>
    </row>
    <row r="7" spans="1:8" x14ac:dyDescent="0.25">
      <c r="A7" s="25" t="s">
        <v>49</v>
      </c>
      <c r="B7" s="25"/>
      <c r="C7" s="25"/>
      <c r="D7" s="1">
        <v>24</v>
      </c>
      <c r="E7" s="1">
        <v>4.5</v>
      </c>
      <c r="F7" s="14">
        <f t="shared" si="1"/>
        <v>36</v>
      </c>
      <c r="G7" s="14">
        <f t="shared" si="0"/>
        <v>864</v>
      </c>
      <c r="H7" s="14">
        <f>G7-$F$25</f>
        <v>106.39999999999998</v>
      </c>
    </row>
    <row r="8" spans="1:8" x14ac:dyDescent="0.25">
      <c r="A8" s="25" t="s">
        <v>50</v>
      </c>
      <c r="B8" s="25"/>
      <c r="C8" s="25"/>
      <c r="D8" s="1">
        <v>17</v>
      </c>
      <c r="E8" s="1">
        <v>6</v>
      </c>
      <c r="F8" s="14">
        <f t="shared" si="1"/>
        <v>48</v>
      </c>
      <c r="G8" s="14">
        <f t="shared" si="0"/>
        <v>816</v>
      </c>
      <c r="H8" s="14">
        <f>G8-$F$25</f>
        <v>58.399999999999977</v>
      </c>
    </row>
    <row r="9" spans="1:8" x14ac:dyDescent="0.25">
      <c r="A9" s="25" t="s">
        <v>51</v>
      </c>
      <c r="B9" s="25"/>
      <c r="C9" s="25"/>
      <c r="D9" s="1">
        <v>24</v>
      </c>
      <c r="E9" s="1">
        <v>4.5</v>
      </c>
      <c r="F9" s="14">
        <f t="shared" si="1"/>
        <v>36</v>
      </c>
      <c r="G9" s="14">
        <f t="shared" si="0"/>
        <v>864</v>
      </c>
      <c r="H9" s="14">
        <f>G9-$F$25</f>
        <v>106.39999999999998</v>
      </c>
    </row>
    <row r="10" spans="1:8" x14ac:dyDescent="0.25">
      <c r="A10" s="26" t="s">
        <v>52</v>
      </c>
      <c r="B10" s="26"/>
      <c r="C10" s="26"/>
      <c r="D10" s="1">
        <v>55</v>
      </c>
      <c r="E10" s="1">
        <v>2</v>
      </c>
      <c r="F10" s="14">
        <f t="shared" si="1"/>
        <v>16</v>
      </c>
      <c r="G10" s="14">
        <f t="shared" si="0"/>
        <v>880</v>
      </c>
      <c r="H10" s="14">
        <f>G10-$F$25</f>
        <v>122.39999999999998</v>
      </c>
    </row>
    <row r="11" spans="1:8" x14ac:dyDescent="0.25">
      <c r="A11" s="26" t="s">
        <v>53</v>
      </c>
      <c r="B11" s="26"/>
      <c r="C11" s="26"/>
      <c r="D11" s="1">
        <v>40</v>
      </c>
      <c r="E11" s="1">
        <v>3</v>
      </c>
      <c r="F11" s="14">
        <f t="shared" si="1"/>
        <v>24</v>
      </c>
      <c r="G11" s="14">
        <f t="shared" si="0"/>
        <v>960</v>
      </c>
      <c r="H11" s="14">
        <f>G11-$F$25</f>
        <v>202.39999999999998</v>
      </c>
    </row>
    <row r="12" spans="1:8" x14ac:dyDescent="0.25">
      <c r="A12" s="26" t="s">
        <v>67</v>
      </c>
      <c r="B12" s="26"/>
      <c r="C12" s="26"/>
      <c r="D12" s="1">
        <v>50</v>
      </c>
      <c r="E12" s="18">
        <v>2.5</v>
      </c>
      <c r="F12" s="14">
        <f t="shared" si="1"/>
        <v>20</v>
      </c>
      <c r="G12" s="14">
        <f t="shared" si="0"/>
        <v>1000</v>
      </c>
      <c r="H12" s="14">
        <f>G12-$F$25</f>
        <v>242.39999999999998</v>
      </c>
    </row>
    <row r="13" spans="1:8" x14ac:dyDescent="0.25">
      <c r="A13" s="23" t="s">
        <v>60</v>
      </c>
      <c r="B13" s="23"/>
      <c r="C13" s="23"/>
      <c r="D13" s="1">
        <v>150</v>
      </c>
      <c r="E13" s="18">
        <v>1</v>
      </c>
      <c r="F13" s="14">
        <f t="shared" si="1"/>
        <v>8</v>
      </c>
      <c r="G13" s="14">
        <f t="shared" si="0"/>
        <v>1200</v>
      </c>
      <c r="H13" s="14">
        <f>G13-$F$25</f>
        <v>442.4</v>
      </c>
    </row>
    <row r="14" spans="1:8" x14ac:dyDescent="0.25">
      <c r="A14" s="26" t="s">
        <v>54</v>
      </c>
      <c r="B14" s="26"/>
      <c r="C14" s="26"/>
      <c r="D14" s="1">
        <v>100</v>
      </c>
      <c r="E14" s="18">
        <v>1</v>
      </c>
      <c r="F14" s="14">
        <f t="shared" si="1"/>
        <v>8</v>
      </c>
      <c r="G14" s="14">
        <f t="shared" si="0"/>
        <v>800</v>
      </c>
      <c r="H14" s="14">
        <f>G14-$F$25</f>
        <v>42.399999999999977</v>
      </c>
    </row>
    <row r="15" spans="1:8" x14ac:dyDescent="0.25">
      <c r="A15" s="23" t="s">
        <v>55</v>
      </c>
      <c r="B15" s="23"/>
      <c r="C15" s="23"/>
      <c r="D15" s="1">
        <v>150</v>
      </c>
      <c r="E15" s="18">
        <v>1</v>
      </c>
      <c r="F15" s="14">
        <f t="shared" si="1"/>
        <v>8</v>
      </c>
      <c r="G15" s="14">
        <f t="shared" si="0"/>
        <v>1200</v>
      </c>
      <c r="H15" s="14">
        <f>G15-$F$25</f>
        <v>442.4</v>
      </c>
    </row>
    <row r="16" spans="1:8" x14ac:dyDescent="0.25">
      <c r="A16" s="23" t="s">
        <v>56</v>
      </c>
      <c r="B16" s="23"/>
      <c r="C16" s="23"/>
      <c r="D16" s="1">
        <v>350</v>
      </c>
      <c r="E16" s="18">
        <v>0.5</v>
      </c>
      <c r="F16" s="14">
        <f t="shared" si="1"/>
        <v>4</v>
      </c>
      <c r="G16" s="14">
        <f t="shared" si="0"/>
        <v>1400</v>
      </c>
      <c r="H16" s="14">
        <f>G16-$F$25</f>
        <v>642.4</v>
      </c>
    </row>
    <row r="17" spans="1:8" x14ac:dyDescent="0.25">
      <c r="A17" s="23" t="s">
        <v>57</v>
      </c>
      <c r="B17" s="23"/>
      <c r="C17" s="23"/>
      <c r="D17" s="1">
        <v>300</v>
      </c>
      <c r="E17" s="18">
        <v>0.5</v>
      </c>
      <c r="F17" s="14">
        <f t="shared" si="1"/>
        <v>4</v>
      </c>
      <c r="G17" s="14">
        <f t="shared" si="0"/>
        <v>1200</v>
      </c>
      <c r="H17" s="14">
        <f>G17-$F$25</f>
        <v>442.4</v>
      </c>
    </row>
    <row r="18" spans="1:8" x14ac:dyDescent="0.25">
      <c r="A18" s="23" t="s">
        <v>58</v>
      </c>
      <c r="B18" s="23"/>
      <c r="C18" s="23"/>
      <c r="D18" s="1">
        <v>95</v>
      </c>
      <c r="E18" s="18">
        <v>1.2</v>
      </c>
      <c r="F18" s="14">
        <f t="shared" si="1"/>
        <v>9.6</v>
      </c>
      <c r="G18" s="14">
        <f t="shared" si="0"/>
        <v>912</v>
      </c>
      <c r="H18" s="14">
        <f>G18-$F$25</f>
        <v>154.39999999999998</v>
      </c>
    </row>
    <row r="19" spans="1:8" x14ac:dyDescent="0.25">
      <c r="A19" s="23" t="s">
        <v>59</v>
      </c>
      <c r="B19" s="23"/>
      <c r="C19" s="23"/>
      <c r="D19" s="1">
        <v>4.5999999999999996</v>
      </c>
      <c r="E19" s="18">
        <v>24</v>
      </c>
      <c r="F19" s="14">
        <f t="shared" si="1"/>
        <v>192</v>
      </c>
      <c r="G19" s="14">
        <f>F19*D19</f>
        <v>883.19999999999993</v>
      </c>
      <c r="H19" s="14">
        <f>G19-$F$25</f>
        <v>125.59999999999991</v>
      </c>
    </row>
    <row r="20" spans="1:8" x14ac:dyDescent="0.25">
      <c r="A20" s="23" t="s">
        <v>59</v>
      </c>
      <c r="B20" s="23"/>
      <c r="C20" s="23"/>
      <c r="D20" s="1">
        <v>8</v>
      </c>
      <c r="E20" s="18">
        <v>13</v>
      </c>
      <c r="F20" s="14">
        <f t="shared" si="1"/>
        <v>104</v>
      </c>
      <c r="G20" s="14">
        <f>F20*D20</f>
        <v>832</v>
      </c>
      <c r="H20" s="14">
        <f>G20-$F$25</f>
        <v>74.399999999999977</v>
      </c>
    </row>
    <row r="21" spans="1:8" x14ac:dyDescent="0.25">
      <c r="A21" s="23" t="s">
        <v>59</v>
      </c>
      <c r="B21" s="23"/>
      <c r="C21" s="23"/>
      <c r="D21" s="1"/>
      <c r="E21" s="18"/>
      <c r="F21" s="14"/>
      <c r="G21" s="14"/>
      <c r="H21" s="14"/>
    </row>
    <row r="22" spans="1:8" x14ac:dyDescent="0.25">
      <c r="A22" s="24"/>
      <c r="B22" s="24"/>
      <c r="C22" s="24"/>
      <c r="D22" s="1"/>
      <c r="E22" s="18"/>
      <c r="F22" s="14"/>
      <c r="G22" s="14"/>
      <c r="H22" s="14"/>
    </row>
    <row r="24" spans="1:8" x14ac:dyDescent="0.25">
      <c r="E24" s="17" t="s">
        <v>61</v>
      </c>
      <c r="F24" s="17" t="s">
        <v>62</v>
      </c>
    </row>
    <row r="25" spans="1:8" x14ac:dyDescent="0.25">
      <c r="E25" s="1">
        <f>SUM(E4:E24)</f>
        <v>94.7</v>
      </c>
      <c r="F25" s="14">
        <f>SUM(F4:F24)</f>
        <v>757.6</v>
      </c>
    </row>
  </sheetData>
  <mergeCells count="21">
    <mergeCell ref="A7:C7"/>
    <mergeCell ref="A12:C12"/>
    <mergeCell ref="A1:C1"/>
    <mergeCell ref="A3:C3"/>
    <mergeCell ref="A4:C4"/>
    <mergeCell ref="A5:C5"/>
    <mergeCell ref="A6:C6"/>
    <mergeCell ref="A17:C17"/>
    <mergeCell ref="A8:C8"/>
    <mergeCell ref="A9:C9"/>
    <mergeCell ref="A10:C10"/>
    <mergeCell ref="A11:C11"/>
    <mergeCell ref="A13:C13"/>
    <mergeCell ref="A14:C14"/>
    <mergeCell ref="A15:C15"/>
    <mergeCell ref="A16:C16"/>
    <mergeCell ref="A18:C18"/>
    <mergeCell ref="A19:C19"/>
    <mergeCell ref="A20:C20"/>
    <mergeCell ref="A21:C21"/>
    <mergeCell ref="A22:C2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E680-4557-48E1-B07B-C28811331493}">
  <dimension ref="A1:H30"/>
  <sheetViews>
    <sheetView workbookViewId="0">
      <selection activeCell="I12" sqref="I12"/>
    </sheetView>
  </sheetViews>
  <sheetFormatPr defaultRowHeight="15" x14ac:dyDescent="0.25"/>
  <cols>
    <col min="4" max="4" width="12.7109375" customWidth="1"/>
    <col min="5" max="5" width="11.28515625" customWidth="1"/>
    <col min="6" max="6" width="16.140625" customWidth="1"/>
    <col min="7" max="7" width="16.28515625" customWidth="1"/>
    <col min="8" max="8" width="13.140625" customWidth="1"/>
    <col min="13" max="13" width="16.7109375" customWidth="1"/>
  </cols>
  <sheetData>
    <row r="1" spans="1:8" x14ac:dyDescent="0.25">
      <c r="A1" s="28" t="s">
        <v>45</v>
      </c>
      <c r="B1" s="28"/>
      <c r="C1" s="28"/>
      <c r="D1" s="15">
        <v>800</v>
      </c>
    </row>
    <row r="3" spans="1:8" ht="15.75" thickBot="1" x14ac:dyDescent="0.3">
      <c r="A3" s="27" t="s">
        <v>42</v>
      </c>
      <c r="B3" s="27"/>
      <c r="C3" s="27"/>
      <c r="D3" s="16" t="s">
        <v>39</v>
      </c>
      <c r="E3" s="16" t="s">
        <v>40</v>
      </c>
      <c r="F3" s="16" t="s">
        <v>41</v>
      </c>
      <c r="G3" s="16" t="s">
        <v>43</v>
      </c>
      <c r="H3" s="16" t="s">
        <v>44</v>
      </c>
    </row>
    <row r="4" spans="1:8" ht="15.75" thickTop="1" x14ac:dyDescent="0.25">
      <c r="A4" s="29" t="s">
        <v>70</v>
      </c>
      <c r="B4" s="29"/>
      <c r="C4" s="29"/>
      <c r="D4" s="1">
        <v>12</v>
      </c>
      <c r="E4" s="1"/>
      <c r="F4" s="14">
        <f>(E4*$D$1)/100</f>
        <v>0</v>
      </c>
      <c r="G4" s="14">
        <f>F4*D4</f>
        <v>0</v>
      </c>
      <c r="H4" s="14">
        <f>IF(E4=0,0,G4-$F$30)</f>
        <v>0</v>
      </c>
    </row>
    <row r="5" spans="1:8" s="22" customFormat="1" x14ac:dyDescent="0.25">
      <c r="A5" s="30" t="s">
        <v>74</v>
      </c>
      <c r="B5" s="30"/>
      <c r="C5" s="30"/>
      <c r="D5" s="20"/>
      <c r="E5" s="20">
        <v>0</v>
      </c>
      <c r="F5" s="21">
        <f>(E5*$D$1)/100</f>
        <v>0</v>
      </c>
      <c r="G5" s="21">
        <f t="shared" ref="G5:G6" si="0">F5*D5</f>
        <v>0</v>
      </c>
      <c r="H5" s="21">
        <f t="shared" ref="H5:H20" si="1">IF(E5=0,0,G5-$F$30)</f>
        <v>0</v>
      </c>
    </row>
    <row r="6" spans="1:8" s="22" customFormat="1" x14ac:dyDescent="0.25">
      <c r="A6" s="30" t="s">
        <v>75</v>
      </c>
      <c r="B6" s="30"/>
      <c r="C6" s="30"/>
      <c r="D6" s="20">
        <v>5.2</v>
      </c>
      <c r="E6" s="20"/>
      <c r="F6" s="21">
        <f>(E6*$D$1)/100</f>
        <v>0</v>
      </c>
      <c r="G6" s="21">
        <f t="shared" si="0"/>
        <v>0</v>
      </c>
      <c r="H6" s="21">
        <f t="shared" ref="H6" si="2">IF(E6=0,0,G6-$F$30)</f>
        <v>0</v>
      </c>
    </row>
    <row r="7" spans="1:8" s="22" customFormat="1" x14ac:dyDescent="0.25">
      <c r="A7" s="30" t="s">
        <v>72</v>
      </c>
      <c r="B7" s="30"/>
      <c r="C7" s="30"/>
      <c r="D7" s="20"/>
      <c r="E7" s="20">
        <v>0</v>
      </c>
      <c r="F7" s="21">
        <f>(E7*$D$1)/100</f>
        <v>0</v>
      </c>
      <c r="G7" s="21">
        <f t="shared" ref="G7:G18" si="3">F7*D7</f>
        <v>0</v>
      </c>
      <c r="H7" s="21">
        <f t="shared" si="1"/>
        <v>0</v>
      </c>
    </row>
    <row r="8" spans="1:8" s="22" customFormat="1" x14ac:dyDescent="0.25">
      <c r="A8" s="31" t="s">
        <v>47</v>
      </c>
      <c r="B8" s="31"/>
      <c r="C8" s="31"/>
      <c r="D8" s="20"/>
      <c r="E8" s="20">
        <v>0</v>
      </c>
      <c r="F8" s="21">
        <f>(E8*$D$1)/100</f>
        <v>0</v>
      </c>
      <c r="G8" s="21">
        <f t="shared" si="3"/>
        <v>0</v>
      </c>
      <c r="H8" s="21">
        <f t="shared" si="1"/>
        <v>0</v>
      </c>
    </row>
    <row r="9" spans="1:8" x14ac:dyDescent="0.25">
      <c r="A9" s="25" t="s">
        <v>48</v>
      </c>
      <c r="B9" s="25"/>
      <c r="C9" s="25"/>
      <c r="D9" s="1">
        <v>3.5</v>
      </c>
      <c r="E9" s="1">
        <v>29</v>
      </c>
      <c r="F9" s="14">
        <f t="shared" ref="F9:F18" si="4">(E9*$D$1)/100</f>
        <v>232</v>
      </c>
      <c r="G9" s="14">
        <f t="shared" si="3"/>
        <v>812</v>
      </c>
      <c r="H9" s="14">
        <f t="shared" si="1"/>
        <v>188</v>
      </c>
    </row>
    <row r="10" spans="1:8" x14ac:dyDescent="0.25">
      <c r="A10" s="25" t="s">
        <v>49</v>
      </c>
      <c r="B10" s="25"/>
      <c r="C10" s="25"/>
      <c r="D10" s="1">
        <v>3.75</v>
      </c>
      <c r="E10" s="1">
        <v>27</v>
      </c>
      <c r="F10" s="14">
        <f t="shared" si="4"/>
        <v>216</v>
      </c>
      <c r="G10" s="14">
        <f t="shared" si="3"/>
        <v>810</v>
      </c>
      <c r="H10" s="14">
        <f t="shared" si="1"/>
        <v>186</v>
      </c>
    </row>
    <row r="11" spans="1:8" x14ac:dyDescent="0.25">
      <c r="A11" s="25" t="s">
        <v>50</v>
      </c>
      <c r="B11" s="25"/>
      <c r="C11" s="25"/>
      <c r="D11" s="1">
        <v>4.7</v>
      </c>
      <c r="E11" s="1">
        <v>22</v>
      </c>
      <c r="F11" s="14">
        <f t="shared" si="4"/>
        <v>176</v>
      </c>
      <c r="G11" s="14">
        <f t="shared" si="3"/>
        <v>827.2</v>
      </c>
      <c r="H11" s="14">
        <f t="shared" si="1"/>
        <v>203.20000000000005</v>
      </c>
    </row>
    <row r="12" spans="1:8" x14ac:dyDescent="0.25">
      <c r="A12" s="25" t="s">
        <v>51</v>
      </c>
      <c r="B12" s="25"/>
      <c r="C12" s="25"/>
      <c r="D12" s="1">
        <v>0</v>
      </c>
      <c r="E12" s="1">
        <v>0</v>
      </c>
      <c r="F12" s="14">
        <f t="shared" si="4"/>
        <v>0</v>
      </c>
      <c r="G12" s="14">
        <f t="shared" si="3"/>
        <v>0</v>
      </c>
      <c r="H12" s="14">
        <f t="shared" si="1"/>
        <v>0</v>
      </c>
    </row>
    <row r="13" spans="1:8" x14ac:dyDescent="0.25">
      <c r="A13" s="26" t="s">
        <v>52</v>
      </c>
      <c r="B13" s="26"/>
      <c r="C13" s="26"/>
      <c r="D13" s="1">
        <v>0</v>
      </c>
      <c r="E13" s="1">
        <v>0</v>
      </c>
      <c r="F13" s="14">
        <f t="shared" si="4"/>
        <v>0</v>
      </c>
      <c r="G13" s="14">
        <f t="shared" si="3"/>
        <v>0</v>
      </c>
      <c r="H13" s="14">
        <f t="shared" si="1"/>
        <v>0</v>
      </c>
    </row>
    <row r="14" spans="1:8" x14ac:dyDescent="0.25">
      <c r="A14" s="26" t="s">
        <v>53</v>
      </c>
      <c r="B14" s="26"/>
      <c r="C14" s="26"/>
      <c r="D14" s="1"/>
      <c r="E14" s="1">
        <v>0</v>
      </c>
      <c r="F14" s="14">
        <f t="shared" si="4"/>
        <v>0</v>
      </c>
      <c r="G14" s="14">
        <f t="shared" si="3"/>
        <v>0</v>
      </c>
      <c r="H14" s="14">
        <f t="shared" si="1"/>
        <v>0</v>
      </c>
    </row>
    <row r="15" spans="1:8" x14ac:dyDescent="0.25">
      <c r="A15" s="26" t="s">
        <v>68</v>
      </c>
      <c r="B15" s="26"/>
      <c r="C15" s="26"/>
      <c r="D15" s="1"/>
      <c r="E15" s="18">
        <v>0</v>
      </c>
      <c r="F15" s="14">
        <f t="shared" si="4"/>
        <v>0</v>
      </c>
      <c r="G15" s="14">
        <f t="shared" si="3"/>
        <v>0</v>
      </c>
      <c r="H15" s="14">
        <f t="shared" si="1"/>
        <v>0</v>
      </c>
    </row>
    <row r="16" spans="1:8" x14ac:dyDescent="0.25">
      <c r="A16" s="26" t="s">
        <v>67</v>
      </c>
      <c r="B16" s="26"/>
      <c r="C16" s="26"/>
      <c r="D16" s="1">
        <v>0</v>
      </c>
      <c r="E16" s="18">
        <v>0</v>
      </c>
      <c r="F16" s="14">
        <f t="shared" si="4"/>
        <v>0</v>
      </c>
      <c r="G16" s="14">
        <f t="shared" si="3"/>
        <v>0</v>
      </c>
      <c r="H16" s="14">
        <f t="shared" si="1"/>
        <v>0</v>
      </c>
    </row>
    <row r="17" spans="1:8" x14ac:dyDescent="0.25">
      <c r="A17" s="26" t="s">
        <v>54</v>
      </c>
      <c r="B17" s="26"/>
      <c r="C17" s="26"/>
      <c r="D17" s="1">
        <v>0</v>
      </c>
      <c r="E17" s="18">
        <v>0</v>
      </c>
      <c r="F17" s="14">
        <f t="shared" si="4"/>
        <v>0</v>
      </c>
      <c r="G17" s="14">
        <f t="shared" si="3"/>
        <v>0</v>
      </c>
      <c r="H17" s="14">
        <f t="shared" si="1"/>
        <v>0</v>
      </c>
    </row>
    <row r="18" spans="1:8" s="34" customFormat="1" x14ac:dyDescent="0.25">
      <c r="A18" s="30" t="s">
        <v>76</v>
      </c>
      <c r="B18" s="30"/>
      <c r="C18" s="30"/>
      <c r="D18" s="35">
        <v>0</v>
      </c>
      <c r="E18" s="32">
        <v>0</v>
      </c>
      <c r="F18" s="33">
        <f t="shared" si="4"/>
        <v>0</v>
      </c>
      <c r="G18" s="33">
        <f t="shared" si="3"/>
        <v>0</v>
      </c>
      <c r="H18" s="21">
        <f t="shared" si="1"/>
        <v>0</v>
      </c>
    </row>
    <row r="19" spans="1:8" x14ac:dyDescent="0.25">
      <c r="A19" s="23" t="s">
        <v>57</v>
      </c>
      <c r="B19" s="23"/>
      <c r="C19" s="23"/>
      <c r="D19" s="1">
        <v>0</v>
      </c>
      <c r="E19" s="18">
        <v>0</v>
      </c>
      <c r="F19" s="14">
        <f>(E19*$D$1)/100</f>
        <v>0</v>
      </c>
      <c r="G19" s="14">
        <f t="shared" ref="G19:G20" si="5">F19*D19</f>
        <v>0</v>
      </c>
      <c r="H19" s="14">
        <f>IF(E19=0,0,G19-$F$30)</f>
        <v>0</v>
      </c>
    </row>
    <row r="20" spans="1:8" x14ac:dyDescent="0.25">
      <c r="A20" s="23" t="s">
        <v>58</v>
      </c>
      <c r="B20" s="23"/>
      <c r="C20" s="23"/>
      <c r="D20" s="1">
        <v>0</v>
      </c>
      <c r="E20" s="18">
        <v>0</v>
      </c>
      <c r="F20" s="14">
        <f t="shared" ref="F19:F20" si="6">(E20*$D$1)/100</f>
        <v>0</v>
      </c>
      <c r="G20" s="14">
        <f t="shared" si="5"/>
        <v>0</v>
      </c>
      <c r="H20" s="14">
        <f t="shared" si="1"/>
        <v>0</v>
      </c>
    </row>
    <row r="21" spans="1:8" x14ac:dyDescent="0.25">
      <c r="A21" s="23"/>
      <c r="B21" s="23"/>
      <c r="C21" s="23"/>
      <c r="D21" s="1"/>
      <c r="E21" s="18"/>
      <c r="F21" s="14"/>
      <c r="G21" s="14"/>
      <c r="H21" s="14"/>
    </row>
    <row r="22" spans="1:8" x14ac:dyDescent="0.25">
      <c r="A22" s="23"/>
      <c r="B22" s="23"/>
      <c r="C22" s="23"/>
      <c r="D22" s="1"/>
      <c r="E22" s="18"/>
      <c r="F22" s="14"/>
      <c r="G22" s="14"/>
      <c r="H22" s="14"/>
    </row>
    <row r="23" spans="1:8" x14ac:dyDescent="0.25">
      <c r="A23" s="23"/>
      <c r="B23" s="23"/>
      <c r="C23" s="23"/>
      <c r="D23" s="1"/>
      <c r="E23" s="18"/>
      <c r="F23" s="14"/>
      <c r="G23" s="14"/>
      <c r="H23" s="14"/>
    </row>
    <row r="24" spans="1:8" x14ac:dyDescent="0.25">
      <c r="A24" s="23"/>
      <c r="B24" s="23"/>
      <c r="C24" s="23"/>
      <c r="D24" s="1"/>
      <c r="E24" s="18"/>
      <c r="F24" s="14"/>
      <c r="G24" s="14"/>
      <c r="H24" s="14"/>
    </row>
    <row r="25" spans="1:8" x14ac:dyDescent="0.25">
      <c r="A25" s="23"/>
      <c r="B25" s="23"/>
      <c r="C25" s="23"/>
      <c r="D25" s="1"/>
      <c r="E25" s="18"/>
      <c r="F25" s="14"/>
      <c r="G25" s="14"/>
      <c r="H25" s="14"/>
    </row>
    <row r="26" spans="1:8" x14ac:dyDescent="0.25">
      <c r="A26" s="23"/>
      <c r="B26" s="23"/>
      <c r="C26" s="23"/>
      <c r="D26" s="1"/>
      <c r="E26" s="18"/>
      <c r="F26" s="14"/>
      <c r="G26" s="14"/>
      <c r="H26" s="14"/>
    </row>
    <row r="27" spans="1:8" x14ac:dyDescent="0.25">
      <c r="A27" s="23"/>
      <c r="B27" s="23"/>
      <c r="C27" s="23"/>
      <c r="D27" s="1"/>
      <c r="E27" s="18"/>
      <c r="F27" s="14"/>
      <c r="G27" s="14"/>
      <c r="H27" s="14"/>
    </row>
    <row r="28" spans="1:8" x14ac:dyDescent="0.25">
      <c r="A28" s="24"/>
      <c r="B28" s="24"/>
      <c r="C28" s="24"/>
      <c r="G28" s="14"/>
    </row>
    <row r="29" spans="1:8" x14ac:dyDescent="0.25">
      <c r="A29" s="24"/>
      <c r="B29" s="24"/>
      <c r="C29" s="24"/>
      <c r="E29" s="17" t="s">
        <v>61</v>
      </c>
      <c r="F29" s="17" t="s">
        <v>62</v>
      </c>
    </row>
    <row r="30" spans="1:8" x14ac:dyDescent="0.25">
      <c r="A30" s="24"/>
      <c r="B30" s="24"/>
      <c r="C30" s="24"/>
      <c r="E30" s="1">
        <f>SUM(E4:E27)</f>
        <v>78</v>
      </c>
      <c r="F30" s="14">
        <f>SUM(F4:F27)</f>
        <v>624</v>
      </c>
    </row>
  </sheetData>
  <mergeCells count="29">
    <mergeCell ref="A19:C19"/>
    <mergeCell ref="A20:C20"/>
    <mergeCell ref="A12:C12"/>
    <mergeCell ref="A13:C13"/>
    <mergeCell ref="A14:C14"/>
    <mergeCell ref="A15:C15"/>
    <mergeCell ref="A1:C1"/>
    <mergeCell ref="A3:C3"/>
    <mergeCell ref="A4:C4"/>
    <mergeCell ref="A7:C7"/>
    <mergeCell ref="A8:C8"/>
    <mergeCell ref="A9:C9"/>
    <mergeCell ref="A6:C6"/>
    <mergeCell ref="A30:C30"/>
    <mergeCell ref="A5:C5"/>
    <mergeCell ref="A24:C24"/>
    <mergeCell ref="A25:C25"/>
    <mergeCell ref="A26:C26"/>
    <mergeCell ref="A27:C27"/>
    <mergeCell ref="A28:C28"/>
    <mergeCell ref="A29:C29"/>
    <mergeCell ref="A16:C16"/>
    <mergeCell ref="A17:C17"/>
    <mergeCell ref="A18:C18"/>
    <mergeCell ref="A21:C21"/>
    <mergeCell ref="A22:C22"/>
    <mergeCell ref="A23:C23"/>
    <mergeCell ref="A10:C10"/>
    <mergeCell ref="A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Premier League 22-23</vt:lpstr>
      <vt:lpstr>Serie A 22-23</vt:lpstr>
      <vt:lpstr>Bundesliga 22-23</vt:lpstr>
      <vt:lpstr>Scommesse Gol rischiosa</vt:lpstr>
      <vt:lpstr>Scommesse Gol non rischiosa</vt:lpstr>
      <vt:lpstr>modulo di calcolo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Fabio Rapicano</cp:lastModifiedBy>
  <dcterms:created xsi:type="dcterms:W3CDTF">2023-07-22T22:18:54Z</dcterms:created>
  <dcterms:modified xsi:type="dcterms:W3CDTF">2023-08-10T23:37:34Z</dcterms:modified>
</cp:coreProperties>
</file>