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Gabilondo\Documents\USD\Semester 2\FINA409\"/>
    </mc:Choice>
  </mc:AlternateContent>
  <xr:revisionPtr revIDLastSave="0" documentId="13_ncr:1_{A66398B5-970A-45F0-8E4A-3E32FBFACD61}" xr6:coauthVersionLast="45" xr6:coauthVersionMax="45" xr10:uidLastSave="{00000000-0000-0000-0000-000000000000}"/>
  <bookViews>
    <workbookView xWindow="-98" yWindow="-98" windowWidth="20715" windowHeight="13276" firstSheet="1" activeTab="3" xr2:uid="{9D32F69D-4663-48F6-A0E9-03F0F40EA74B}"/>
  </bookViews>
  <sheets>
    <sheet name="Consolidated Statements Of Inco" sheetId="1" r:id="rId1"/>
    <sheet name="Consolidated Balance Sheets" sheetId="2" r:id="rId2"/>
    <sheet name="#1" sheetId="5" r:id="rId3"/>
    <sheet name="#2" sheetId="7" r:id="rId4"/>
    <sheet name="Consolidated Statements Of Cash" sheetId="3" r:id="rId5"/>
    <sheet name="PP&amp;E Note 4" sheetId="4" r:id="rId6"/>
    <sheet name="Page 67" sheetId="6" r:id="rId7"/>
  </sheets>
  <definedNames>
    <definedName name="solver_adj" localSheetId="3" hidden="1">'#2'!$B$3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'#2'!$B$16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81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7" l="1"/>
  <c r="B13" i="7"/>
  <c r="C8" i="7"/>
  <c r="D8" i="7" s="1"/>
  <c r="E8" i="7" s="1"/>
  <c r="F8" i="7" s="1"/>
  <c r="G8" i="7" s="1"/>
  <c r="B2" i="7"/>
  <c r="C2" i="7"/>
  <c r="C42" i="5"/>
  <c r="D48" i="5" s="1"/>
  <c r="D56" i="5"/>
  <c r="D55" i="5"/>
  <c r="D52" i="5"/>
  <c r="I50" i="5"/>
  <c r="I49" i="5"/>
  <c r="I48" i="5"/>
  <c r="D42" i="5"/>
  <c r="C2" i="6"/>
  <c r="H8" i="7"/>
  <c r="C12" i="7"/>
  <c r="H9" i="7"/>
  <c r="H10" i="7"/>
  <c r="C10" i="7" l="1"/>
  <c r="D50" i="5"/>
  <c r="E48" i="5"/>
  <c r="E50" i="5" s="1"/>
  <c r="C8" i="6"/>
  <c r="D8" i="6" s="1"/>
  <c r="E8" i="6" s="1"/>
  <c r="F8" i="6" s="1"/>
  <c r="G8" i="6" s="1"/>
  <c r="H8" i="6"/>
  <c r="E10" i="7" l="1"/>
  <c r="D10" i="7"/>
  <c r="F10" i="7"/>
  <c r="C52" i="5"/>
  <c r="C55" i="5" s="1"/>
  <c r="C56" i="5" s="1"/>
  <c r="F48" i="5"/>
  <c r="G48" i="5" s="1"/>
  <c r="G9" i="6"/>
  <c r="H9" i="6"/>
  <c r="F50" i="5" l="1"/>
  <c r="H48" i="5"/>
  <c r="G50" i="5"/>
  <c r="C10" i="6"/>
  <c r="D10" i="6"/>
  <c r="E10" i="6"/>
  <c r="F10" i="6"/>
  <c r="G10" i="6"/>
  <c r="H10" i="6"/>
  <c r="G9" i="7" l="1"/>
  <c r="G10" i="7" s="1"/>
  <c r="H49" i="5"/>
  <c r="H50" i="5" s="1"/>
  <c r="B12" i="6"/>
  <c r="C12" i="6"/>
  <c r="B12" i="7" l="1"/>
  <c r="B15" i="7" s="1"/>
  <c r="B16" i="7" s="1"/>
  <c r="B15" i="6"/>
  <c r="C15" i="6"/>
  <c r="B16" i="6"/>
  <c r="C16" i="6"/>
  <c r="A19" i="6"/>
  <c r="B20" i="6"/>
  <c r="C38" i="5" l="1"/>
  <c r="C36" i="5"/>
  <c r="C35" i="5"/>
  <c r="C34" i="5"/>
  <c r="C33" i="5"/>
  <c r="C32" i="5"/>
  <c r="C31" i="5"/>
  <c r="C28" i="5"/>
  <c r="C26" i="5"/>
  <c r="C25" i="5"/>
  <c r="C24" i="5"/>
  <c r="F26" i="5"/>
  <c r="F25" i="5"/>
  <c r="F24" i="5"/>
  <c r="F23" i="5"/>
  <c r="F22" i="5"/>
  <c r="E23" i="5"/>
  <c r="C15" i="5"/>
  <c r="C18" i="5"/>
  <c r="F18" i="5"/>
  <c r="F9" i="5"/>
  <c r="F7" i="5"/>
  <c r="C9" i="5"/>
  <c r="F5" i="5"/>
  <c r="F4" i="5"/>
  <c r="F3" i="5"/>
  <c r="C6" i="5"/>
  <c r="C3" i="5"/>
  <c r="G8" i="2" l="1"/>
  <c r="G5" i="2"/>
  <c r="G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Gabilondo</author>
  </authors>
  <commentList>
    <comment ref="B3" authorId="0" shapeId="0" xr:uid="{B96C8125-AE79-4267-BC8C-ACF5AE001CAE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Everything except for cash (for assets) and everything except current debt for liabilities
</t>
        </r>
      </text>
    </comment>
    <comment ref="E3" authorId="0" shapeId="0" xr:uid="{687837D1-786F-4BFA-8AB7-8B640190CE4B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Current debt+longterm debt-cash
</t>
        </r>
      </text>
    </comment>
    <comment ref="B6" authorId="0" shapeId="0" xr:uid="{0EB2A40E-42EF-415A-A4BB-682F67FFD7FD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All the rest of the Assets
</t>
        </r>
      </text>
    </comment>
    <comment ref="E7" authorId="0" shapeId="0" xr:uid="{74E2B5EF-33A1-4E9C-B18E-B46F0C5FDAA7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Total shareholders equity + noncontrolling interests
</t>
        </r>
      </text>
    </comment>
    <comment ref="B15" authorId="0" shapeId="0" xr:uid="{F360BEA9-D7BB-46A2-AAA6-9D402802C008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Para sacarlo en este caso queremos que nos de lo mismo que EV por net debt, asi que calculamos cuanto deberia ser LT Assets
</t>
        </r>
      </text>
    </comment>
    <comment ref="F16" authorId="0" shapeId="0" xr:uid="{26CB07F6-4F95-402D-9DD8-0FE8DF884D6B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Lo cogemos de yahoo finance
</t>
        </r>
      </text>
    </comment>
    <comment ref="B18" authorId="0" shapeId="0" xr:uid="{193F58A9-BCDB-4F57-866B-DDD6AA0CD78F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Copiamos el EV de net debt</t>
        </r>
      </text>
    </comment>
    <comment ref="B35" authorId="0" shapeId="0" xr:uid="{B4B95FBE-3E94-473C-8EF7-B4B06105F720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En PP&amp;E nos dan el gross Property and equipment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Gabilondo</author>
  </authors>
  <commentList>
    <comment ref="B16" authorId="0" shapeId="0" xr:uid="{24B2386F-7F97-4E05-B99C-86E3A5F3FCFF}">
      <text>
        <r>
          <rPr>
            <b/>
            <sz val="9"/>
            <color indexed="81"/>
            <rFont val="Tahoma"/>
            <family val="2"/>
          </rPr>
          <t>Pablo Gabilondo:</t>
        </r>
        <r>
          <rPr>
            <sz val="9"/>
            <color indexed="81"/>
            <rFont val="Tahoma"/>
            <family val="2"/>
          </rPr>
          <t xml:space="preserve">
sacas shares outstanding de yahoo finance (en statistics)
</t>
        </r>
      </text>
    </comment>
  </commentList>
</comments>
</file>

<file path=xl/sharedStrings.xml><?xml version="1.0" encoding="utf-8"?>
<sst xmlns="http://schemas.openxmlformats.org/spreadsheetml/2006/main" count="237" uniqueCount="162">
  <si>
    <t>Consolidated Statements Of Income - USD ($) shares in Millions, $ in Millions</t>
  </si>
  <si>
    <t>12 Months Ended</t>
  </si>
  <si>
    <t>Sep. 28, 2019</t>
  </si>
  <si>
    <t>Sep. 29, 2018</t>
  </si>
  <si>
    <t>Sep. 30, 2017</t>
  </si>
  <si>
    <t>Sales</t>
  </si>
  <si>
    <t>Cost of Sales</t>
  </si>
  <si>
    <t>Gross Profit</t>
  </si>
  <si>
    <t>Operating Expenses:</t>
  </si>
  <si>
    <t>Selling, General and Administrative</t>
  </si>
  <si>
    <t>Operating Income</t>
  </si>
  <si>
    <t>Other (Income) Expense:</t>
  </si>
  <si>
    <t>Interest income</t>
  </si>
  <si>
    <t>Interest expense</t>
  </si>
  <si>
    <t>Other, net</t>
  </si>
  <si>
    <t>Total Other (Income) Expense</t>
  </si>
  <si>
    <t>Income before Income Taxes</t>
  </si>
  <si>
    <t>Income Tax Expense (Benefit)</t>
  </si>
  <si>
    <t>Net Income</t>
  </si>
  <si>
    <t>Less: Net Income Attributable to Noncontrolling Interests</t>
  </si>
  <si>
    <t>Net Income Attributable to Tyson</t>
  </si>
  <si>
    <t>Weighted Average Shares Outstanding:</t>
  </si>
  <si>
    <t>Diluted, Shares</t>
  </si>
  <si>
    <t>Net Income Per Share Attributable to Tyson:</t>
  </si>
  <si>
    <t>Diluted (USD per share)</t>
  </si>
  <si>
    <t>Class A [Member]</t>
  </si>
  <si>
    <t>Basic, Shares</t>
  </si>
  <si>
    <t>Basic (USD per share)</t>
  </si>
  <si>
    <t>Class B [Member]</t>
  </si>
  <si>
    <t>Consolidated Balance Sheets - USD ($) $ in Millions</t>
  </si>
  <si>
    <t>Assets</t>
  </si>
  <si>
    <t>Cash and cash equivalents</t>
  </si>
  <si>
    <t>Accounts receivable, net</t>
  </si>
  <si>
    <t>Inventories</t>
  </si>
  <si>
    <t>Other current assets</t>
  </si>
  <si>
    <t>Total Current Assets</t>
  </si>
  <si>
    <t>Net Property, Plant and Equipment</t>
  </si>
  <si>
    <t>Goodwill</t>
  </si>
  <si>
    <t>Intangible Assets, net</t>
  </si>
  <si>
    <t>Other Assets</t>
  </si>
  <si>
    <t>Total Assets</t>
  </si>
  <si>
    <t>Liabilities and Shareholders’ Equity</t>
  </si>
  <si>
    <t>Current debt</t>
  </si>
  <si>
    <t>Accounts payable</t>
  </si>
  <si>
    <t>Other current liabilities</t>
  </si>
  <si>
    <t>Total Current Liabilities</t>
  </si>
  <si>
    <t>Long-Term Debt</t>
  </si>
  <si>
    <t>Deferred Income Taxes</t>
  </si>
  <si>
    <t>Other Liabilities</t>
  </si>
  <si>
    <t>Commitments and Contingencies (Note 20)</t>
  </si>
  <si>
    <t xml:space="preserve"> </t>
  </si>
  <si>
    <t>Shareholders' Equity:</t>
  </si>
  <si>
    <t>Capital in excess of par value</t>
  </si>
  <si>
    <t>Retained earnings</t>
  </si>
  <si>
    <t>Accumulated other comprehensive gain (loss)</t>
  </si>
  <si>
    <t>[1]</t>
  </si>
  <si>
    <t>Treasury stock, at cost – 82 million shares at September 28, 2019 and September 29, 2018</t>
  </si>
  <si>
    <t>Total Tyson Shareholders’ Equity</t>
  </si>
  <si>
    <t>Noncontrolling Interests</t>
  </si>
  <si>
    <t>Total Shareholders’ Equity</t>
  </si>
  <si>
    <t>Total Liabilities and Shareholders’ Equity</t>
  </si>
  <si>
    <t>Common stock ($0.10 par value):</t>
  </si>
  <si>
    <t>Convertible Class B [Member]</t>
  </si>
  <si>
    <t>(1) Includes reclass from accumulated other comprehensive income to retained earnings for stranded tax effects resulting from the Tax Act, following adoption of the applicable new accounting standard in fiscal 2018.</t>
  </si>
  <si>
    <t>Consolidated Statements Of Cash Flows - USD ($) $ in Millions</t>
  </si>
  <si>
    <t>Cash Flows From Operating Activities:</t>
  </si>
  <si>
    <t>Adjustments to reconcile net income to cash provided by operating activities:</t>
  </si>
  <si>
    <t>Depreciation</t>
  </si>
  <si>
    <t>Amortization</t>
  </si>
  <si>
    <t>Deferred income taxes</t>
  </si>
  <si>
    <t>Gain on dispositions of businesses</t>
  </si>
  <si>
    <t>Impairment of assets</t>
  </si>
  <si>
    <t>Stock-based compensation expense</t>
  </si>
  <si>
    <t>(Increase) decrease in accounts receivable</t>
  </si>
  <si>
    <t>(Increase) decrease in inventories</t>
  </si>
  <si>
    <t>Increase (decrease) in accounts payable</t>
  </si>
  <si>
    <t>Increase (decrease) in income taxes payable/receivable</t>
  </si>
  <si>
    <t>Increase (decrease) in interest payable</t>
  </si>
  <si>
    <t>Net changes in other operating assets and liabilities</t>
  </si>
  <si>
    <t>Cash Provided by Operating Activities</t>
  </si>
  <si>
    <t>Cash Flows from Investing Activities:</t>
  </si>
  <si>
    <t>Additions to property, plant and equipment</t>
  </si>
  <si>
    <t>Purchases of marketable securities</t>
  </si>
  <si>
    <t>Proceeds from sale of marketable securities</t>
  </si>
  <si>
    <t>Acquisitions, net of cash acquired</t>
  </si>
  <si>
    <t>Proceeds from sale of businesses</t>
  </si>
  <si>
    <t>Cash Used for Investing Activities</t>
  </si>
  <si>
    <t>Cash Flows from Financing Activities:</t>
  </si>
  <si>
    <t>Proceeds from issuance of debt</t>
  </si>
  <si>
    <t>Payments on debt</t>
  </si>
  <si>
    <t>Borrowings on revolving credit facility</t>
  </si>
  <si>
    <t>Payments on revolving credit facility</t>
  </si>
  <si>
    <t>Proceeds from issuance of commercial paper</t>
  </si>
  <si>
    <t>Repayments of commercial paper</t>
  </si>
  <si>
    <t>Payment of AdvancePierre TRA liability</t>
  </si>
  <si>
    <t>Purchases of Tyson Class A common stock</t>
  </si>
  <si>
    <t>Dividends</t>
  </si>
  <si>
    <t>Stock options exercised</t>
  </si>
  <si>
    <t>Cash (Used for) Provided by Financing Activities</t>
  </si>
  <si>
    <t>Effect of Exchange Rate Change on Cash</t>
  </si>
  <si>
    <t>Increase (decrease) in Cash and Cash Equivalents</t>
  </si>
  <si>
    <t>Cash and Cash Equivalents at Beginning of Year</t>
  </si>
  <si>
    <t>Cash and Cash Equivalents at End of Year</t>
  </si>
  <si>
    <t>in millions</t>
  </si>
  <si>
    <t>Land</t>
  </si>
  <si>
    <t>$</t>
  </si>
  <si>
    <t>Building and leasehold improvements</t>
  </si>
  <si>
    <t>Machinery and equipment</t>
  </si>
  <si>
    <t>Land improvements and other</t>
  </si>
  <si>
    <t>Buildings and equipment under construction</t>
  </si>
  <si>
    <t>Less accumulated depreciation</t>
  </si>
  <si>
    <t>Net property, plant and equipment</t>
  </si>
  <si>
    <t>LT Assets</t>
  </si>
  <si>
    <t>Enterprise value</t>
  </si>
  <si>
    <t>Net debt</t>
  </si>
  <si>
    <t>Equity</t>
  </si>
  <si>
    <t>nwc</t>
  </si>
  <si>
    <t>fixed asstes</t>
  </si>
  <si>
    <t>ev</t>
  </si>
  <si>
    <t>BooK EV</t>
  </si>
  <si>
    <t>Net Working capital</t>
  </si>
  <si>
    <t>Other liabilities</t>
  </si>
  <si>
    <t>Accounting EV</t>
  </si>
  <si>
    <t>1.a)</t>
  </si>
  <si>
    <t>1. b)</t>
  </si>
  <si>
    <t>Net income</t>
  </si>
  <si>
    <t xml:space="preserve"> Operational current assets</t>
  </si>
  <si>
    <t>Operational current liabilities</t>
  </si>
  <si>
    <t>Capex</t>
  </si>
  <si>
    <t>(1-tax)*Net interest</t>
  </si>
  <si>
    <t>FCF from CF investments</t>
  </si>
  <si>
    <t>CF from Operations</t>
  </si>
  <si>
    <t>CFI (operations)</t>
  </si>
  <si>
    <t>Net interest after tax</t>
  </si>
  <si>
    <t>FCFº</t>
  </si>
  <si>
    <t>2. b)</t>
  </si>
  <si>
    <t>FCF</t>
  </si>
  <si>
    <t>ADD "Depreciation&amp;Amortization"</t>
  </si>
  <si>
    <t xml:space="preserve"> SUBTRACT Operational current assets</t>
  </si>
  <si>
    <t>ADD Operational current liabilities</t>
  </si>
  <si>
    <t>SUBTRACT Capex</t>
  </si>
  <si>
    <t>ADD (1-tax)*Net interest</t>
  </si>
  <si>
    <t>2. a)</t>
  </si>
  <si>
    <t>3. a)</t>
  </si>
  <si>
    <t>Free cash flow (FCF)
year ending 31 Dec. 2012</t>
  </si>
  <si>
    <t>Growth rate of FCF, years 1-5</t>
  </si>
  <si>
    <t>&lt;-- Optimistic about short-term growth</t>
  </si>
  <si>
    <t>Long-term FCF growth rate</t>
  </si>
  <si>
    <t>&lt;-- More pessimistic about long-term growth</t>
  </si>
  <si>
    <t>Weighted average cost of capital, WACC</t>
  </si>
  <si>
    <t>Year</t>
  </si>
  <si>
    <t>Terminal value</t>
  </si>
  <si>
    <t>Total</t>
  </si>
  <si>
    <t>WACC →</t>
  </si>
  <si>
    <t>Long-term growth ↓</t>
  </si>
  <si>
    <t>Data table:  Share value vs LT growth and WACC</t>
  </si>
  <si>
    <t>Per share (1 million shares outstanding)</t>
  </si>
  <si>
    <t>Equity value</t>
  </si>
  <si>
    <t>&lt;-- From current balance sheet</t>
  </si>
  <si>
    <t>Subtract out 2012 financial liabilities</t>
  </si>
  <si>
    <t>Add back initial cash and marketable securities</t>
  </si>
  <si>
    <t>ABC CORP.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</si>
</sst>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1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Inherit"/>
    </font>
    <font>
      <sz val="8"/>
      <color rgb="FF212529"/>
      <name val="Times New Roman"/>
      <family val="1"/>
    </font>
    <font>
      <sz val="10"/>
      <color rgb="FF212529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9" fontId="1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0" fontId="0" fillId="0" borderId="0" xfId="0"/>
    <xf numFmtId="37" fontId="0" fillId="0" borderId="0" xfId="0" applyNumberFormat="1"/>
    <xf numFmtId="0" fontId="0" fillId="5" borderId="0" xfId="0" applyFill="1"/>
    <xf numFmtId="0" fontId="3" fillId="4" borderId="0" xfId="0" applyFont="1" applyFill="1"/>
    <xf numFmtId="37" fontId="3" fillId="4" borderId="0" xfId="0" applyNumberFormat="1" applyFont="1" applyFill="1"/>
    <xf numFmtId="0" fontId="0" fillId="0" borderId="3" xfId="0" applyBorder="1"/>
    <xf numFmtId="0" fontId="11" fillId="0" borderId="0" xfId="1"/>
    <xf numFmtId="4" fontId="11" fillId="0" borderId="0" xfId="1" applyNumberFormat="1" applyAlignment="1">
      <alignment horizontal="center"/>
    </xf>
    <xf numFmtId="9" fontId="11" fillId="6" borderId="0" xfId="1" applyNumberFormat="1" applyFill="1"/>
    <xf numFmtId="0" fontId="11" fillId="0" borderId="0" xfId="1" applyAlignment="1">
      <alignment horizontal="right"/>
    </xf>
    <xf numFmtId="2" fontId="11" fillId="0" borderId="0" xfId="1" applyNumberFormat="1"/>
    <xf numFmtId="0" fontId="13" fillId="0" borderId="0" xfId="1" applyFont="1"/>
    <xf numFmtId="0" fontId="10" fillId="0" borderId="0" xfId="1" applyFont="1"/>
    <xf numFmtId="2" fontId="11" fillId="5" borderId="0" xfId="1" applyNumberFormat="1" applyFill="1"/>
    <xf numFmtId="0" fontId="10" fillId="5" borderId="0" xfId="1" applyFont="1" applyFill="1"/>
    <xf numFmtId="3" fontId="11" fillId="0" borderId="0" xfId="1" applyNumberFormat="1"/>
    <xf numFmtId="3" fontId="10" fillId="0" borderId="0" xfId="1" applyNumberFormat="1" applyFont="1"/>
    <xf numFmtId="0" fontId="10" fillId="0" borderId="0" xfId="1" applyFont="1" applyAlignment="1">
      <alignment wrapText="1"/>
    </xf>
    <xf numFmtId="0" fontId="12" fillId="0" borderId="0" xfId="1" applyFont="1" applyAlignment="1">
      <alignment horizontal="center"/>
    </xf>
    <xf numFmtId="10" fontId="0" fillId="0" borderId="0" xfId="2" applyNumberFormat="1" applyFont="1"/>
    <xf numFmtId="0" fontId="14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3" fontId="7" fillId="3" borderId="2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0" fontId="6" fillId="0" borderId="2" xfId="0" applyFont="1" applyBorder="1"/>
    <xf numFmtId="0" fontId="6" fillId="0" borderId="1" xfId="0" applyFont="1" applyBorder="1"/>
    <xf numFmtId="0" fontId="7" fillId="3" borderId="2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3" fontId="5" fillId="2" borderId="0" xfId="0" applyNumberFormat="1" applyFont="1" applyFill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3" fontId="5" fillId="0" borderId="0" xfId="0" applyNumberFormat="1" applyFont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 indent="7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wrapText="1"/>
    </xf>
    <xf numFmtId="0" fontId="14" fillId="0" borderId="0" xfId="1" applyFont="1" applyAlignment="1">
      <alignment horizontal="center" vertical="center" wrapText="1"/>
    </xf>
    <xf numFmtId="0" fontId="11" fillId="0" borderId="0" xfId="1" applyAlignment="1">
      <alignment horizontal="center" wrapText="1"/>
    </xf>
    <xf numFmtId="0" fontId="11" fillId="0" borderId="0" xfId="1" applyAlignment="1">
      <alignment horizontal="center"/>
    </xf>
  </cellXfs>
  <cellStyles count="3">
    <cellStyle name="Normal" xfId="0" builtinId="0"/>
    <cellStyle name="Normal 2" xfId="1" xr:uid="{CA0A0769-4013-41FA-B23A-0C8327D88263}"/>
    <cellStyle name="Percent 2" xfId="2" xr:uid="{5D93CD55-CD5A-4625-9133-149EFA576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5BF9-15D2-4960-A12A-0243B418A075}">
  <dimension ref="A1:D32"/>
  <sheetViews>
    <sheetView workbookViewId="0">
      <selection activeCell="B11" sqref="B11"/>
    </sheetView>
  </sheetViews>
  <sheetFormatPr defaultRowHeight="14.25"/>
  <cols>
    <col min="1" max="1" width="78" customWidth="1"/>
    <col min="2" max="2" width="16" customWidth="1"/>
    <col min="3" max="4" width="14" customWidth="1"/>
  </cols>
  <sheetData>
    <row r="1" spans="1:4">
      <c r="A1" s="34" t="s">
        <v>0</v>
      </c>
      <c r="B1" s="36" t="s">
        <v>1</v>
      </c>
      <c r="C1" s="35"/>
      <c r="D1" s="35"/>
    </row>
    <row r="2" spans="1:4">
      <c r="A2" s="35"/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3">
        <v>42405</v>
      </c>
      <c r="C3" s="3">
        <v>40052</v>
      </c>
      <c r="D3" s="3">
        <v>38260</v>
      </c>
    </row>
    <row r="4" spans="1:4">
      <c r="A4" s="2" t="s">
        <v>6</v>
      </c>
      <c r="B4" s="4">
        <v>37383</v>
      </c>
      <c r="C4" s="4">
        <v>34956</v>
      </c>
      <c r="D4" s="4">
        <v>33198</v>
      </c>
    </row>
    <row r="5" spans="1:4">
      <c r="A5" s="2" t="s">
        <v>7</v>
      </c>
      <c r="B5" s="4">
        <v>5022</v>
      </c>
      <c r="C5" s="4">
        <v>5096</v>
      </c>
      <c r="D5" s="4">
        <v>5062</v>
      </c>
    </row>
    <row r="6" spans="1:4">
      <c r="A6" s="5" t="s">
        <v>8</v>
      </c>
    </row>
    <row r="7" spans="1:4">
      <c r="A7" s="2" t="s">
        <v>9</v>
      </c>
      <c r="B7" s="4">
        <v>2195</v>
      </c>
      <c r="C7" s="4">
        <v>2064</v>
      </c>
      <c r="D7" s="4">
        <v>2141</v>
      </c>
    </row>
    <row r="8" spans="1:4">
      <c r="A8" s="2" t="s">
        <v>10</v>
      </c>
      <c r="B8" s="4">
        <v>2827</v>
      </c>
      <c r="C8" s="4">
        <v>3032</v>
      </c>
      <c r="D8" s="4">
        <v>2921</v>
      </c>
    </row>
    <row r="9" spans="1:4">
      <c r="A9" s="5" t="s">
        <v>11</v>
      </c>
    </row>
    <row r="10" spans="1:4">
      <c r="A10" s="2" t="s">
        <v>12</v>
      </c>
      <c r="B10" s="4">
        <v>-11</v>
      </c>
      <c r="C10" s="4">
        <v>-7</v>
      </c>
      <c r="D10" s="4">
        <v>-7</v>
      </c>
    </row>
    <row r="11" spans="1:4">
      <c r="A11" s="2" t="s">
        <v>13</v>
      </c>
      <c r="B11" s="4">
        <v>462</v>
      </c>
      <c r="C11" s="4">
        <v>350</v>
      </c>
      <c r="D11" s="4">
        <v>279</v>
      </c>
    </row>
    <row r="12" spans="1:4">
      <c r="A12" s="2" t="s">
        <v>14</v>
      </c>
      <c r="B12" s="4">
        <v>-55</v>
      </c>
      <c r="C12" s="4">
        <v>-56</v>
      </c>
      <c r="D12" s="4">
        <v>21</v>
      </c>
    </row>
    <row r="13" spans="1:4">
      <c r="A13" s="2" t="s">
        <v>15</v>
      </c>
      <c r="B13" s="4">
        <v>396</v>
      </c>
      <c r="C13" s="4">
        <v>287</v>
      </c>
      <c r="D13" s="4">
        <v>293</v>
      </c>
    </row>
    <row r="14" spans="1:4">
      <c r="A14" s="2" t="s">
        <v>16</v>
      </c>
      <c r="B14" s="4">
        <v>2431</v>
      </c>
      <c r="C14" s="4">
        <v>2745</v>
      </c>
      <c r="D14" s="4">
        <v>2628</v>
      </c>
    </row>
    <row r="15" spans="1:4">
      <c r="A15" s="2" t="s">
        <v>17</v>
      </c>
      <c r="B15" s="4">
        <v>396</v>
      </c>
      <c r="C15" s="4">
        <v>-282</v>
      </c>
      <c r="D15" s="4">
        <v>850</v>
      </c>
    </row>
    <row r="16" spans="1:4">
      <c r="A16" s="2" t="s">
        <v>18</v>
      </c>
      <c r="B16" s="4">
        <v>2035</v>
      </c>
      <c r="C16" s="4">
        <v>3027</v>
      </c>
      <c r="D16" s="4">
        <v>1778</v>
      </c>
    </row>
    <row r="17" spans="1:4">
      <c r="A17" s="2" t="s">
        <v>19</v>
      </c>
      <c r="B17" s="4">
        <v>13</v>
      </c>
      <c r="C17" s="4">
        <v>3</v>
      </c>
      <c r="D17" s="4">
        <v>4</v>
      </c>
    </row>
    <row r="18" spans="1:4">
      <c r="A18" s="2" t="s">
        <v>20</v>
      </c>
      <c r="B18" s="3">
        <v>2022</v>
      </c>
      <c r="C18" s="3">
        <v>3024</v>
      </c>
      <c r="D18" s="3">
        <v>1774</v>
      </c>
    </row>
    <row r="19" spans="1:4">
      <c r="A19" s="5" t="s">
        <v>21</v>
      </c>
    </row>
    <row r="20" spans="1:4">
      <c r="A20" s="2" t="s">
        <v>22</v>
      </c>
      <c r="B20" s="4">
        <v>366</v>
      </c>
      <c r="C20" s="4">
        <v>369</v>
      </c>
      <c r="D20" s="4">
        <v>370</v>
      </c>
    </row>
    <row r="21" spans="1:4">
      <c r="A21" s="5" t="s">
        <v>23</v>
      </c>
    </row>
    <row r="22" spans="1:4">
      <c r="A22" s="2" t="s">
        <v>24</v>
      </c>
      <c r="B22" s="6">
        <v>5.52</v>
      </c>
      <c r="C22" s="6">
        <v>8.19</v>
      </c>
      <c r="D22" s="6">
        <v>4.79</v>
      </c>
    </row>
    <row r="23" spans="1:4">
      <c r="A23" s="2" t="s">
        <v>25</v>
      </c>
    </row>
    <row r="24" spans="1:4">
      <c r="A24" s="5" t="s">
        <v>21</v>
      </c>
    </row>
    <row r="25" spans="1:4">
      <c r="A25" s="2" t="s">
        <v>26</v>
      </c>
      <c r="B25" s="4">
        <v>293</v>
      </c>
      <c r="C25" s="4">
        <v>295</v>
      </c>
      <c r="D25" s="4">
        <v>296</v>
      </c>
    </row>
    <row r="26" spans="1:4">
      <c r="A26" s="5" t="s">
        <v>23</v>
      </c>
    </row>
    <row r="27" spans="1:4">
      <c r="A27" s="2" t="s">
        <v>27</v>
      </c>
      <c r="B27" s="6">
        <v>5.67</v>
      </c>
      <c r="C27" s="6">
        <v>8.44</v>
      </c>
      <c r="D27" s="6">
        <v>4.9400000000000004</v>
      </c>
    </row>
    <row r="28" spans="1:4">
      <c r="A28" s="2" t="s">
        <v>28</v>
      </c>
    </row>
    <row r="29" spans="1:4">
      <c r="A29" s="5" t="s">
        <v>21</v>
      </c>
    </row>
    <row r="30" spans="1:4">
      <c r="A30" s="2" t="s">
        <v>26</v>
      </c>
      <c r="B30" s="4">
        <v>70</v>
      </c>
      <c r="C30" s="4">
        <v>70</v>
      </c>
      <c r="D30" s="4">
        <v>70</v>
      </c>
    </row>
    <row r="31" spans="1:4">
      <c r="A31" s="5" t="s">
        <v>23</v>
      </c>
    </row>
    <row r="32" spans="1:4">
      <c r="A32" s="2" t="s">
        <v>27</v>
      </c>
      <c r="B32" s="6">
        <v>5.0999999999999996</v>
      </c>
      <c r="C32" s="6">
        <v>7.59</v>
      </c>
      <c r="D32" s="6">
        <v>4.45</v>
      </c>
    </row>
  </sheetData>
  <mergeCells count="2">
    <mergeCell ref="A1:A2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971C-BC8F-4E18-A24A-C0AEC6357AA5}">
  <dimension ref="A1:G40"/>
  <sheetViews>
    <sheetView zoomScale="81" workbookViewId="0">
      <selection activeCell="B28" sqref="B28"/>
    </sheetView>
  </sheetViews>
  <sheetFormatPr defaultRowHeight="14.25"/>
  <cols>
    <col min="1" max="2" width="80" customWidth="1"/>
    <col min="3" max="3" width="4" customWidth="1"/>
    <col min="4" max="4" width="14" customWidth="1"/>
  </cols>
  <sheetData>
    <row r="1" spans="1:7">
      <c r="A1" s="7" t="s">
        <v>29</v>
      </c>
      <c r="B1" s="36" t="s">
        <v>2</v>
      </c>
      <c r="C1" s="35"/>
      <c r="D1" s="1" t="s">
        <v>3</v>
      </c>
    </row>
    <row r="2" spans="1:7">
      <c r="A2" s="5" t="s">
        <v>30</v>
      </c>
    </row>
    <row r="3" spans="1:7">
      <c r="A3" s="2" t="s">
        <v>31</v>
      </c>
      <c r="B3" s="3">
        <v>484</v>
      </c>
      <c r="D3" s="3">
        <v>270</v>
      </c>
    </row>
    <row r="4" spans="1:7">
      <c r="A4" s="2" t="s">
        <v>32</v>
      </c>
      <c r="B4" s="4">
        <v>2173</v>
      </c>
      <c r="D4" s="4">
        <v>1723</v>
      </c>
      <c r="F4" t="s">
        <v>116</v>
      </c>
      <c r="G4" s="14">
        <f>B7-B17</f>
        <v>1656</v>
      </c>
    </row>
    <row r="5" spans="1:7">
      <c r="A5" s="2" t="s">
        <v>33</v>
      </c>
      <c r="B5" s="4">
        <v>4108</v>
      </c>
      <c r="D5" s="4">
        <v>3513</v>
      </c>
      <c r="F5" t="s">
        <v>117</v>
      </c>
      <c r="G5" s="14">
        <f>SUM(B8:B11)</f>
        <v>25928</v>
      </c>
    </row>
    <row r="6" spans="1:7">
      <c r="A6" s="2" t="s">
        <v>34</v>
      </c>
      <c r="B6" s="4">
        <v>404</v>
      </c>
      <c r="D6" s="4">
        <v>182</v>
      </c>
    </row>
    <row r="7" spans="1:7">
      <c r="A7" s="2" t="s">
        <v>35</v>
      </c>
      <c r="B7" s="4">
        <v>7169</v>
      </c>
      <c r="D7" s="4">
        <v>5688</v>
      </c>
    </row>
    <row r="8" spans="1:7">
      <c r="A8" s="2" t="s">
        <v>36</v>
      </c>
      <c r="B8" s="4">
        <v>7282</v>
      </c>
      <c r="D8" s="4">
        <v>6169</v>
      </c>
      <c r="F8" t="s">
        <v>118</v>
      </c>
      <c r="G8" s="14">
        <f>SUM(G4:G5)</f>
        <v>27584</v>
      </c>
    </row>
    <row r="9" spans="1:7">
      <c r="A9" s="2" t="s">
        <v>37</v>
      </c>
      <c r="B9" s="4">
        <v>10844</v>
      </c>
      <c r="D9" s="4">
        <v>9739</v>
      </c>
    </row>
    <row r="10" spans="1:7">
      <c r="A10" s="2" t="s">
        <v>38</v>
      </c>
      <c r="B10" s="4">
        <v>7037</v>
      </c>
      <c r="D10" s="4">
        <v>6759</v>
      </c>
    </row>
    <row r="11" spans="1:7">
      <c r="A11" s="2" t="s">
        <v>39</v>
      </c>
      <c r="B11" s="4">
        <v>765</v>
      </c>
      <c r="D11" s="4">
        <v>754</v>
      </c>
    </row>
    <row r="12" spans="1:7">
      <c r="A12" s="2" t="s">
        <v>40</v>
      </c>
      <c r="B12" s="4">
        <v>33097</v>
      </c>
      <c r="D12" s="4">
        <v>29109</v>
      </c>
    </row>
    <row r="13" spans="1:7">
      <c r="A13" s="5" t="s">
        <v>41</v>
      </c>
    </row>
    <row r="14" spans="1:7">
      <c r="A14" s="2" t="s">
        <v>42</v>
      </c>
      <c r="B14" s="4">
        <v>2102</v>
      </c>
      <c r="D14" s="4">
        <v>1911</v>
      </c>
    </row>
    <row r="15" spans="1:7">
      <c r="A15" s="2" t="s">
        <v>43</v>
      </c>
      <c r="B15" s="4">
        <v>1926</v>
      </c>
      <c r="D15" s="4">
        <v>1694</v>
      </c>
    </row>
    <row r="16" spans="1:7">
      <c r="A16" s="2" t="s">
        <v>44</v>
      </c>
      <c r="B16" s="4">
        <v>1485</v>
      </c>
      <c r="D16" s="4">
        <v>1426</v>
      </c>
    </row>
    <row r="17" spans="1:4">
      <c r="A17" s="2" t="s">
        <v>45</v>
      </c>
      <c r="B17" s="4">
        <v>5513</v>
      </c>
      <c r="D17" s="4">
        <v>5031</v>
      </c>
    </row>
    <row r="18" spans="1:4">
      <c r="A18" s="2" t="s">
        <v>46</v>
      </c>
      <c r="B18" s="4">
        <v>9830</v>
      </c>
      <c r="D18" s="4">
        <v>7962</v>
      </c>
    </row>
    <row r="19" spans="1:4">
      <c r="A19" s="2" t="s">
        <v>47</v>
      </c>
      <c r="B19" s="4">
        <v>2356</v>
      </c>
      <c r="D19" s="4">
        <v>2107</v>
      </c>
    </row>
    <row r="20" spans="1:4">
      <c r="A20" s="2" t="s">
        <v>48</v>
      </c>
      <c r="B20" s="4">
        <v>1172</v>
      </c>
      <c r="D20" s="4">
        <v>1198</v>
      </c>
    </row>
    <row r="21" spans="1:4">
      <c r="A21" s="2" t="s">
        <v>49</v>
      </c>
      <c r="B21" s="2" t="s">
        <v>50</v>
      </c>
      <c r="D21" s="2" t="s">
        <v>50</v>
      </c>
    </row>
    <row r="22" spans="1:4">
      <c r="A22" s="5" t="s">
        <v>51</v>
      </c>
    </row>
    <row r="23" spans="1:4">
      <c r="A23" s="2" t="s">
        <v>52</v>
      </c>
      <c r="B23" s="4">
        <v>4378</v>
      </c>
      <c r="D23" s="4">
        <v>4387</v>
      </c>
    </row>
    <row r="24" spans="1:4">
      <c r="A24" s="2" t="s">
        <v>53</v>
      </c>
      <c r="B24" s="4">
        <v>13787</v>
      </c>
      <c r="D24" s="4">
        <v>12329</v>
      </c>
    </row>
    <row r="25" spans="1:4">
      <c r="A25" s="2" t="s">
        <v>54</v>
      </c>
      <c r="B25" s="4">
        <v>-117</v>
      </c>
      <c r="C25" s="2" t="s">
        <v>55</v>
      </c>
      <c r="D25" s="4">
        <v>-15</v>
      </c>
    </row>
    <row r="26" spans="1:4">
      <c r="A26" s="2" t="s">
        <v>56</v>
      </c>
      <c r="B26" s="4">
        <v>-4011</v>
      </c>
      <c r="D26" s="4">
        <v>-3943</v>
      </c>
    </row>
    <row r="27" spans="1:4">
      <c r="A27" s="2" t="s">
        <v>57</v>
      </c>
      <c r="B27" s="4">
        <v>14082</v>
      </c>
      <c r="D27" s="4">
        <v>12803</v>
      </c>
    </row>
    <row r="28" spans="1:4">
      <c r="A28" s="2" t="s">
        <v>58</v>
      </c>
      <c r="B28" s="4">
        <v>144</v>
      </c>
      <c r="D28" s="4">
        <v>8</v>
      </c>
    </row>
    <row r="29" spans="1:4">
      <c r="A29" s="2" t="s">
        <v>59</v>
      </c>
      <c r="B29" s="4">
        <v>14226</v>
      </c>
      <c r="D29" s="4">
        <v>12811</v>
      </c>
    </row>
    <row r="30" spans="1:4">
      <c r="A30" s="2" t="s">
        <v>60</v>
      </c>
      <c r="B30" s="4">
        <v>33097</v>
      </c>
      <c r="D30" s="4">
        <v>29109</v>
      </c>
    </row>
    <row r="31" spans="1:4">
      <c r="A31" s="2" t="s">
        <v>25</v>
      </c>
    </row>
    <row r="32" spans="1:4">
      <c r="A32" s="5" t="s">
        <v>51</v>
      </c>
    </row>
    <row r="33" spans="1:4">
      <c r="A33" s="2" t="s">
        <v>61</v>
      </c>
      <c r="B33" s="4">
        <v>38</v>
      </c>
      <c r="D33" s="4">
        <v>38</v>
      </c>
    </row>
    <row r="34" spans="1:4">
      <c r="A34" s="2" t="s">
        <v>57</v>
      </c>
      <c r="B34" s="4">
        <v>38</v>
      </c>
      <c r="D34" s="4">
        <v>38</v>
      </c>
    </row>
    <row r="35" spans="1:4">
      <c r="A35" s="2" t="s">
        <v>62</v>
      </c>
    </row>
    <row r="36" spans="1:4">
      <c r="A36" s="5" t="s">
        <v>51</v>
      </c>
    </row>
    <row r="37" spans="1:4">
      <c r="A37" s="2" t="s">
        <v>61</v>
      </c>
      <c r="B37" s="4">
        <v>7</v>
      </c>
      <c r="D37" s="4">
        <v>7</v>
      </c>
    </row>
    <row r="38" spans="1:4">
      <c r="A38" s="2" t="s">
        <v>57</v>
      </c>
      <c r="B38" s="3">
        <v>7</v>
      </c>
      <c r="D38" s="3">
        <v>7</v>
      </c>
    </row>
    <row r="39" spans="1:4">
      <c r="A39" s="35"/>
      <c r="B39" s="35"/>
      <c r="C39" s="35"/>
      <c r="D39" s="35"/>
    </row>
    <row r="40" spans="1:4">
      <c r="A40" s="2" t="s">
        <v>55</v>
      </c>
      <c r="B40" s="37" t="s">
        <v>63</v>
      </c>
      <c r="C40" s="35"/>
      <c r="D40" s="35"/>
    </row>
  </sheetData>
  <mergeCells count="3">
    <mergeCell ref="B1:C1"/>
    <mergeCell ref="A39:D39"/>
    <mergeCell ref="B40:D4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0615-C916-4CEA-B10F-A539888A91DF}">
  <dimension ref="A1:M56"/>
  <sheetViews>
    <sheetView topLeftCell="A21" workbookViewId="0">
      <selection activeCell="E48" sqref="E48"/>
    </sheetView>
  </sheetViews>
  <sheetFormatPr defaultRowHeight="14.25"/>
  <cols>
    <col min="2" max="2" width="25.53125" customWidth="1"/>
    <col min="5" max="5" width="18.59765625" bestFit="1" customWidth="1"/>
    <col min="11" max="11" width="16.53125" bestFit="1" customWidth="1"/>
    <col min="12" max="12" width="9.33203125" customWidth="1"/>
    <col min="14" max="14" width="18.59765625" bestFit="1" customWidth="1"/>
  </cols>
  <sheetData>
    <row r="1" spans="1:6">
      <c r="A1" t="s">
        <v>123</v>
      </c>
      <c r="B1" t="s">
        <v>119</v>
      </c>
    </row>
    <row r="3" spans="1:6">
      <c r="B3" t="s">
        <v>120</v>
      </c>
      <c r="C3" s="14">
        <f>SUM('Consolidated Balance Sheets'!B4:B6)-SUM('Consolidated Balance Sheets'!B15:B16)</f>
        <v>3274</v>
      </c>
      <c r="E3" t="s">
        <v>114</v>
      </c>
      <c r="F3" s="14">
        <f>'Consolidated Balance Sheets'!B14+'Consolidated Balance Sheets'!B18-'Consolidated Balance Sheets'!B3</f>
        <v>11448</v>
      </c>
    </row>
    <row r="4" spans="1:6">
      <c r="E4" t="s">
        <v>69</v>
      </c>
      <c r="F4" s="14">
        <f>'Consolidated Balance Sheets'!B19</f>
        <v>2356</v>
      </c>
    </row>
    <row r="5" spans="1:6">
      <c r="E5" t="s">
        <v>121</v>
      </c>
      <c r="F5" s="14">
        <f>'Consolidated Balance Sheets'!B20</f>
        <v>1172</v>
      </c>
    </row>
    <row r="6" spans="1:6">
      <c r="B6" t="s">
        <v>112</v>
      </c>
      <c r="C6" s="14">
        <f>SUM('Consolidated Balance Sheets'!B8:B11)</f>
        <v>25928</v>
      </c>
    </row>
    <row r="7" spans="1:6">
      <c r="E7" t="s">
        <v>115</v>
      </c>
      <c r="F7" s="14">
        <f>'Consolidated Balance Sheets'!B27+'Consolidated Balance Sheets'!B28</f>
        <v>14226</v>
      </c>
    </row>
    <row r="9" spans="1:6">
      <c r="B9" s="16" t="s">
        <v>122</v>
      </c>
      <c r="C9" s="17">
        <f>C3+C6</f>
        <v>29202</v>
      </c>
      <c r="E9" s="16" t="s">
        <v>122</v>
      </c>
      <c r="F9" s="17">
        <f>SUM(F3:F7)</f>
        <v>29202</v>
      </c>
    </row>
    <row r="11" spans="1:6">
      <c r="A11" s="18"/>
      <c r="B11" s="18"/>
      <c r="C11" s="18"/>
      <c r="D11" s="18"/>
      <c r="E11" s="18"/>
      <c r="F11" s="18"/>
    </row>
    <row r="12" spans="1:6">
      <c r="A12" t="s">
        <v>124</v>
      </c>
      <c r="B12" t="s">
        <v>120</v>
      </c>
      <c r="C12">
        <v>3274</v>
      </c>
      <c r="E12" t="s">
        <v>114</v>
      </c>
      <c r="F12">
        <v>11448</v>
      </c>
    </row>
    <row r="13" spans="1:6">
      <c r="E13" t="s">
        <v>69</v>
      </c>
      <c r="F13">
        <v>2356</v>
      </c>
    </row>
    <row r="14" spans="1:6">
      <c r="E14" t="s">
        <v>121</v>
      </c>
      <c r="F14">
        <v>1172</v>
      </c>
    </row>
    <row r="15" spans="1:6">
      <c r="B15" t="s">
        <v>112</v>
      </c>
      <c r="C15" s="14">
        <f>C18-C12</f>
        <v>41482</v>
      </c>
    </row>
    <row r="16" spans="1:6">
      <c r="E16" s="15" t="s">
        <v>115</v>
      </c>
      <c r="F16" s="15">
        <v>29780</v>
      </c>
    </row>
    <row r="17" spans="1:13">
      <c r="M17" s="14"/>
    </row>
    <row r="18" spans="1:13">
      <c r="B18" s="16" t="s">
        <v>122</v>
      </c>
      <c r="C18" s="17">
        <f>F18</f>
        <v>44756</v>
      </c>
      <c r="E18" s="16" t="s">
        <v>122</v>
      </c>
      <c r="F18" s="17">
        <f>SUM(F12:F16)</f>
        <v>44756</v>
      </c>
    </row>
    <row r="22" spans="1:13">
      <c r="A22" t="s">
        <v>142</v>
      </c>
      <c r="B22" t="s">
        <v>130</v>
      </c>
      <c r="E22" t="s">
        <v>125</v>
      </c>
      <c r="F22">
        <f>'Consolidated Statements Of Cash'!B4</f>
        <v>2035</v>
      </c>
    </row>
    <row r="23" spans="1:13">
      <c r="E23" t="str">
        <f>+ "Depreciation&amp;Amortization"</f>
        <v>Depreciation&amp;Amortization</v>
      </c>
      <c r="F23" s="14">
        <f>'Consolidated Statements Of Cash'!B6+'Consolidated Statements Of Cash'!B7</f>
        <v>1098</v>
      </c>
    </row>
    <row r="24" spans="1:13">
      <c r="B24" t="s">
        <v>131</v>
      </c>
      <c r="C24" s="14">
        <f>'Consolidated Statements Of Cash'!B19</f>
        <v>2513</v>
      </c>
      <c r="E24" t="s">
        <v>126</v>
      </c>
      <c r="F24" s="14">
        <f>'Consolidated Balance Sheets'!B4-'Consolidated Balance Sheets'!D4+'Consolidated Balance Sheets'!B5-'Consolidated Balance Sheets'!D5</f>
        <v>1045</v>
      </c>
    </row>
    <row r="25" spans="1:13">
      <c r="B25" t="s">
        <v>132</v>
      </c>
      <c r="C25" s="14">
        <f>'Consolidated Statements Of Cash'!B21</f>
        <v>-1259</v>
      </c>
      <c r="E25" t="s">
        <v>127</v>
      </c>
      <c r="F25" s="14">
        <f>'Consolidated Balance Sheets'!B15-'Consolidated Balance Sheets'!D15+'Consolidated Balance Sheets'!B16-'Consolidated Balance Sheets'!D16</f>
        <v>291</v>
      </c>
    </row>
    <row r="26" spans="1:13">
      <c r="B26" t="s">
        <v>133</v>
      </c>
      <c r="C26" s="14">
        <f>('Consolidated Statements Of Inco'!B10+'Consolidated Statements Of Inco'!B11)*(1-0.21)</f>
        <v>356.29</v>
      </c>
      <c r="E26" t="s">
        <v>128</v>
      </c>
      <c r="F26" s="14">
        <f>'Consolidated Statements Of Cash'!B21</f>
        <v>-1259</v>
      </c>
    </row>
    <row r="27" spans="1:13">
      <c r="E27" t="s">
        <v>129</v>
      </c>
    </row>
    <row r="28" spans="1:13">
      <c r="B28" t="s">
        <v>134</v>
      </c>
      <c r="C28" s="14">
        <f>SUM(C24:C26)</f>
        <v>1610.29</v>
      </c>
    </row>
    <row r="31" spans="1:13">
      <c r="A31" t="s">
        <v>135</v>
      </c>
      <c r="B31" s="13" t="s">
        <v>125</v>
      </c>
      <c r="C31" s="13">
        <f>'Consolidated Statements Of Cash'!B4</f>
        <v>2035</v>
      </c>
    </row>
    <row r="32" spans="1:13">
      <c r="B32" s="13" t="s">
        <v>137</v>
      </c>
      <c r="C32" s="14">
        <f>'Consolidated Statements Of Cash'!B6+'Consolidated Statements Of Cash'!B7</f>
        <v>1098</v>
      </c>
    </row>
    <row r="33" spans="1:9">
      <c r="B33" s="13" t="s">
        <v>138</v>
      </c>
      <c r="C33" s="14">
        <f>SUM('Consolidated Balance Sheets'!B4:B6)-SUM('Consolidated Balance Sheets'!D4:D6)</f>
        <v>1267</v>
      </c>
    </row>
    <row r="34" spans="1:9">
      <c r="B34" s="13" t="s">
        <v>139</v>
      </c>
      <c r="C34" s="14">
        <f>SUM('Consolidated Balance Sheets'!B15:B16)-SUM('Consolidated Balance Sheets'!D15:D16)</f>
        <v>291</v>
      </c>
    </row>
    <row r="35" spans="1:9">
      <c r="B35" s="13" t="s">
        <v>140</v>
      </c>
      <c r="C35" s="14">
        <f>'PP&amp;E Note 4'!D18-'PP&amp;E Note 4'!H18</f>
        <v>1615</v>
      </c>
    </row>
    <row r="36" spans="1:9">
      <c r="B36" s="13" t="s">
        <v>141</v>
      </c>
      <c r="C36" s="14">
        <f>C26</f>
        <v>356.29</v>
      </c>
    </row>
    <row r="38" spans="1:9">
      <c r="B38" t="s">
        <v>136</v>
      </c>
      <c r="C38" s="14">
        <f>C31+C32-C33+C34-C35+C36</f>
        <v>898.29</v>
      </c>
    </row>
    <row r="41" spans="1:9" ht="17.649999999999999">
      <c r="A41" t="s">
        <v>143</v>
      </c>
      <c r="B41" s="33"/>
      <c r="C41" s="33"/>
      <c r="D41" s="33"/>
      <c r="E41" s="33"/>
      <c r="F41" s="33"/>
      <c r="G41" s="33"/>
      <c r="H41" s="33"/>
      <c r="I41" s="33"/>
    </row>
    <row r="42" spans="1:9" ht="27.75">
      <c r="B42" s="30" t="s">
        <v>144</v>
      </c>
      <c r="C42" s="28">
        <f>C28</f>
        <v>1610.29</v>
      </c>
      <c r="D42" s="19" t="e">
        <f ca="1">getformula(C42)</f>
        <v>#NAME?</v>
      </c>
      <c r="E42" s="19"/>
      <c r="F42" s="19"/>
      <c r="G42" s="19"/>
      <c r="H42" s="19"/>
      <c r="I42" s="19"/>
    </row>
    <row r="43" spans="1:9">
      <c r="B43" s="25" t="s">
        <v>145</v>
      </c>
      <c r="C43" s="32">
        <v>0.08</v>
      </c>
      <c r="D43" s="25" t="s">
        <v>146</v>
      </c>
      <c r="E43" s="19"/>
      <c r="F43" s="19"/>
      <c r="G43" s="19"/>
      <c r="H43" s="19"/>
      <c r="I43" s="19"/>
    </row>
    <row r="44" spans="1:9">
      <c r="B44" s="25" t="s">
        <v>147</v>
      </c>
      <c r="C44" s="32">
        <v>0.05</v>
      </c>
      <c r="D44" s="25" t="s">
        <v>148</v>
      </c>
      <c r="E44" s="19"/>
      <c r="F44" s="19"/>
      <c r="G44" s="19"/>
      <c r="H44" s="19"/>
      <c r="I44" s="19"/>
    </row>
    <row r="45" spans="1:9">
      <c r="B45" s="25" t="s">
        <v>149</v>
      </c>
      <c r="C45" s="32">
        <v>0.107</v>
      </c>
      <c r="D45" s="25"/>
      <c r="E45" s="19"/>
      <c r="F45" s="19"/>
      <c r="G45" s="19"/>
      <c r="H45" s="19"/>
      <c r="I45" s="19"/>
    </row>
    <row r="46" spans="1:9">
      <c r="B46" s="25"/>
      <c r="C46" s="32"/>
      <c r="D46" s="19"/>
      <c r="E46" s="19"/>
      <c r="F46" s="19"/>
      <c r="G46" s="19"/>
      <c r="H46" s="19"/>
      <c r="I46" s="19"/>
    </row>
    <row r="47" spans="1:9">
      <c r="B47" s="31" t="s">
        <v>150</v>
      </c>
      <c r="C47" s="31">
        <v>2012</v>
      </c>
      <c r="D47" s="31">
        <v>2019</v>
      </c>
      <c r="E47" s="31">
        <v>2020</v>
      </c>
      <c r="F47" s="31">
        <v>2021</v>
      </c>
      <c r="G47" s="31">
        <v>2022</v>
      </c>
      <c r="H47" s="31">
        <v>2023</v>
      </c>
      <c r="I47" s="19"/>
    </row>
    <row r="48" spans="1:9">
      <c r="B48" s="25" t="s">
        <v>136</v>
      </c>
      <c r="C48" s="28"/>
      <c r="D48" s="28">
        <f>C42*(1+C43)</f>
        <v>1739.1132</v>
      </c>
      <c r="E48" s="28" t="e">
        <f>D48*(1+$B$3)</f>
        <v>#VALUE!</v>
      </c>
      <c r="F48" s="28" t="e">
        <f>E48*(1+$B$3)</f>
        <v>#VALUE!</v>
      </c>
      <c r="G48" s="28" t="e">
        <f>F48*(1+$B$3)</f>
        <v>#VALUE!</v>
      </c>
      <c r="H48" s="28" t="e">
        <f>G48*(1+$B$3)</f>
        <v>#VALUE!</v>
      </c>
      <c r="I48" s="19" t="e">
        <f ca="1">getformula(H48)</f>
        <v>#NAME?</v>
      </c>
    </row>
    <row r="49" spans="2:9">
      <c r="B49" s="25" t="s">
        <v>151</v>
      </c>
      <c r="C49" s="28"/>
      <c r="D49" s="28"/>
      <c r="E49" s="28"/>
      <c r="F49" s="28"/>
      <c r="G49" s="28"/>
      <c r="H49" s="28" t="e">
        <f>H48*(1+C44)/(C45-C44)</f>
        <v>#VALUE!</v>
      </c>
      <c r="I49" s="19" t="e">
        <f ca="1">getformula(H49)</f>
        <v>#NAME?</v>
      </c>
    </row>
    <row r="50" spans="2:9">
      <c r="B50" s="25" t="s">
        <v>152</v>
      </c>
      <c r="C50" s="28"/>
      <c r="D50" s="28">
        <f>D48+D49</f>
        <v>1739.1132</v>
      </c>
      <c r="E50" s="28" t="e">
        <f>E48+E49</f>
        <v>#VALUE!</v>
      </c>
      <c r="F50" s="28" t="e">
        <f>F48+F49</f>
        <v>#VALUE!</v>
      </c>
      <c r="G50" s="28" t="e">
        <f>G48+G49</f>
        <v>#VALUE!</v>
      </c>
      <c r="H50" s="28" t="e">
        <f>H48+H49</f>
        <v>#VALUE!</v>
      </c>
      <c r="I50" s="19" t="e">
        <f ca="1">getformula(H50)</f>
        <v>#NAME?</v>
      </c>
    </row>
    <row r="51" spans="2:9">
      <c r="B51" s="19"/>
      <c r="C51" s="28"/>
      <c r="D51" s="28"/>
      <c r="E51" s="28"/>
      <c r="F51" s="28"/>
      <c r="G51" s="28"/>
      <c r="H51" s="19"/>
      <c r="I51" s="19"/>
    </row>
    <row r="52" spans="2:9">
      <c r="B52" s="25" t="s">
        <v>113</v>
      </c>
      <c r="C52" s="28" t="e">
        <f>NPV(C45,D50:H50)*(1+C45)^0.5</f>
        <v>#VALUE!</v>
      </c>
      <c r="D52" s="28" t="e">
        <f ca="1">getformula(C52)</f>
        <v>#NAME?</v>
      </c>
      <c r="E52" s="28"/>
      <c r="F52" s="28"/>
      <c r="G52" s="28"/>
      <c r="H52" s="19"/>
      <c r="I52" s="19"/>
    </row>
    <row r="53" spans="2:9" ht="27.75">
      <c r="B53" s="30" t="s">
        <v>160</v>
      </c>
      <c r="C53" s="28">
        <v>73697</v>
      </c>
      <c r="D53" s="29" t="s">
        <v>158</v>
      </c>
      <c r="E53" s="28"/>
      <c r="F53" s="28"/>
      <c r="G53" s="28"/>
      <c r="H53" s="19"/>
      <c r="I53" s="19"/>
    </row>
    <row r="54" spans="2:9">
      <c r="B54" s="25" t="s">
        <v>159</v>
      </c>
      <c r="C54" s="28">
        <v>1379106</v>
      </c>
      <c r="D54" s="29" t="s">
        <v>158</v>
      </c>
      <c r="E54" s="28"/>
      <c r="F54" s="28"/>
      <c r="G54" s="28"/>
      <c r="H54" s="19"/>
      <c r="I54" s="19"/>
    </row>
    <row r="55" spans="2:9">
      <c r="B55" s="25" t="s">
        <v>157</v>
      </c>
      <c r="C55" s="28" t="e">
        <f>C52+C53-C54</f>
        <v>#VALUE!</v>
      </c>
      <c r="D55" s="19" t="e">
        <f ca="1">getformula(C55)</f>
        <v>#NAME?</v>
      </c>
      <c r="E55" s="25"/>
      <c r="F55" s="25"/>
      <c r="G55" s="25"/>
      <c r="H55" s="19"/>
      <c r="I55" s="19"/>
    </row>
    <row r="56" spans="2:9">
      <c r="B56" s="27" t="s">
        <v>156</v>
      </c>
      <c r="C56" s="26" t="e">
        <f>C55/1000000</f>
        <v>#VALUE!</v>
      </c>
      <c r="D56" s="19" t="e">
        <f ca="1">getformula(C56)</f>
        <v>#NAME?</v>
      </c>
      <c r="E56" s="25"/>
      <c r="F56" s="25"/>
      <c r="G56" s="25"/>
      <c r="H56" s="19"/>
      <c r="I56" s="1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52FC-F6C5-44E0-A15F-89C5D9657AC3}">
  <dimension ref="A1:H16"/>
  <sheetViews>
    <sheetView tabSelected="1" zoomScale="77" workbookViewId="0">
      <selection activeCell="B16" sqref="B16"/>
    </sheetView>
  </sheetViews>
  <sheetFormatPr defaultRowHeight="14.25"/>
  <cols>
    <col min="1" max="1" width="36.46484375" bestFit="1" customWidth="1"/>
    <col min="2" max="2" width="10.53125" bestFit="1" customWidth="1"/>
    <col min="4" max="4" width="7.6640625" bestFit="1" customWidth="1"/>
    <col min="6" max="6" width="7.6640625" bestFit="1" customWidth="1"/>
    <col min="8" max="8" width="8.33203125" bestFit="1" customWidth="1"/>
  </cols>
  <sheetData>
    <row r="1" spans="1:8" ht="22.15" customHeight="1">
      <c r="A1" t="s">
        <v>142</v>
      </c>
      <c r="H1" s="19"/>
    </row>
    <row r="2" spans="1:8" ht="27.75">
      <c r="A2" s="30" t="s">
        <v>144</v>
      </c>
      <c r="B2" s="28">
        <f>'#1'!C28</f>
        <v>1610.29</v>
      </c>
      <c r="C2" s="19" t="e">
        <f ca="1">getformula(B2)</f>
        <v>#NAME?</v>
      </c>
      <c r="D2" s="19"/>
      <c r="E2" s="19"/>
      <c r="F2" s="19"/>
      <c r="G2" s="19"/>
      <c r="H2" s="19"/>
    </row>
    <row r="3" spans="1:8">
      <c r="A3" s="25" t="s">
        <v>145</v>
      </c>
      <c r="B3" s="32">
        <v>0.11470098171115238</v>
      </c>
      <c r="C3" s="25" t="s">
        <v>146</v>
      </c>
      <c r="D3" s="19"/>
      <c r="E3" s="19"/>
      <c r="F3" s="19"/>
      <c r="G3" s="19"/>
      <c r="H3" s="19"/>
    </row>
    <row r="4" spans="1:8">
      <c r="A4" s="25" t="s">
        <v>147</v>
      </c>
      <c r="B4" s="32">
        <v>0.03</v>
      </c>
      <c r="C4" s="25" t="s">
        <v>148</v>
      </c>
      <c r="D4" s="19"/>
      <c r="E4" s="19"/>
      <c r="F4" s="19"/>
      <c r="G4" s="19"/>
      <c r="H4" s="19"/>
    </row>
    <row r="5" spans="1:8">
      <c r="A5" s="25" t="s">
        <v>149</v>
      </c>
      <c r="B5" s="32">
        <v>0.1</v>
      </c>
      <c r="C5" s="25"/>
      <c r="D5" s="19"/>
      <c r="E5" s="19"/>
      <c r="F5" s="19"/>
      <c r="G5" s="19"/>
      <c r="H5" s="19"/>
    </row>
    <row r="6" spans="1:8">
      <c r="A6" s="25"/>
      <c r="B6" s="32"/>
      <c r="C6" s="19"/>
      <c r="D6" s="19"/>
      <c r="E6" s="19"/>
      <c r="F6" s="19"/>
      <c r="G6" s="19"/>
      <c r="H6" s="19"/>
    </row>
    <row r="7" spans="1:8">
      <c r="A7" s="31" t="s">
        <v>150</v>
      </c>
      <c r="B7" s="31">
        <v>2019</v>
      </c>
      <c r="C7" s="31">
        <v>2020</v>
      </c>
      <c r="D7" s="31">
        <v>2021</v>
      </c>
      <c r="E7" s="31">
        <v>2022</v>
      </c>
      <c r="F7" s="31">
        <v>2023</v>
      </c>
      <c r="G7" s="31">
        <v>2024</v>
      </c>
      <c r="H7" s="19"/>
    </row>
    <row r="8" spans="1:8">
      <c r="A8" s="25" t="s">
        <v>136</v>
      </c>
      <c r="B8" s="28"/>
      <c r="C8" s="28">
        <f>B2*(1+B3)</f>
        <v>1794.9918438396514</v>
      </c>
      <c r="D8" s="28">
        <f>C8*(1+$B$3)</f>
        <v>2000.8791704915709</v>
      </c>
      <c r="E8" s="28">
        <f t="shared" ref="E8:G8" si="0">D8*(1+$B$3)</f>
        <v>2230.3819756323505</v>
      </c>
      <c r="F8" s="28">
        <f t="shared" si="0"/>
        <v>2486.2089778282407</v>
      </c>
      <c r="G8" s="28">
        <f t="shared" si="0"/>
        <v>2771.3795883242205</v>
      </c>
      <c r="H8" s="19" t="str">
        <f ca="1">_xlfn.FORMULATEXT(G8)</f>
        <v>=F8*(1+$B$3)</v>
      </c>
    </row>
    <row r="9" spans="1:8">
      <c r="A9" s="25" t="s">
        <v>151</v>
      </c>
      <c r="B9" s="28"/>
      <c r="C9" s="28"/>
      <c r="D9" s="28"/>
      <c r="E9" s="28"/>
      <c r="F9" s="28"/>
      <c r="G9" s="28">
        <f>G8*(1+B4)/(B5-B4)</f>
        <v>40778.8710853421</v>
      </c>
      <c r="H9" s="19" t="str">
        <f t="shared" ref="H9:H10" ca="1" si="1">_xlfn.FORMULATEXT(G9)</f>
        <v>=G8*(1+B4)/(B5-B4)</v>
      </c>
    </row>
    <row r="10" spans="1:8">
      <c r="A10" s="25" t="s">
        <v>152</v>
      </c>
      <c r="B10" s="28"/>
      <c r="C10" s="28">
        <f>C8+C9</f>
        <v>1794.9918438396514</v>
      </c>
      <c r="D10" s="28">
        <f>D8+D9</f>
        <v>2000.8791704915709</v>
      </c>
      <c r="E10" s="28">
        <f>E8+E9</f>
        <v>2230.3819756323505</v>
      </c>
      <c r="F10" s="28">
        <f>F8+F9</f>
        <v>2486.2089778282407</v>
      </c>
      <c r="G10" s="28">
        <f>G8+G9</f>
        <v>43550.25067366632</v>
      </c>
      <c r="H10" s="19" t="str">
        <f t="shared" ca="1" si="1"/>
        <v>=G8+G9</v>
      </c>
    </row>
    <row r="11" spans="1:8">
      <c r="A11" s="19"/>
      <c r="B11" s="28"/>
      <c r="C11" s="28"/>
      <c r="D11" s="28"/>
      <c r="E11" s="28"/>
      <c r="F11" s="28"/>
      <c r="G11" s="19"/>
      <c r="H11" s="19"/>
    </row>
    <row r="12" spans="1:8">
      <c r="A12" s="25" t="s">
        <v>113</v>
      </c>
      <c r="B12" s="28">
        <f>NPV(B5,C10:G10)*(1+B5)^0.5</f>
        <v>35345.427014049877</v>
      </c>
      <c r="C12" s="28" t="str">
        <f ca="1">_xlfn.FORMULATEXT(B12)</f>
        <v>=NPV(B5,C10:G10)*(1+B5)^0.5</v>
      </c>
      <c r="D12" s="28"/>
      <c r="E12" s="28"/>
      <c r="F12" s="28"/>
      <c r="G12" s="19"/>
      <c r="H12" s="19"/>
    </row>
    <row r="13" spans="1:8" ht="27.75">
      <c r="A13" s="30" t="s">
        <v>160</v>
      </c>
      <c r="B13" s="28">
        <f>'Consolidated Balance Sheets'!B3</f>
        <v>484</v>
      </c>
      <c r="C13" s="29" t="s">
        <v>158</v>
      </c>
      <c r="D13" s="28"/>
      <c r="E13" s="28"/>
      <c r="F13" s="28"/>
      <c r="G13" s="19"/>
      <c r="H13" s="19"/>
    </row>
    <row r="14" spans="1:8">
      <c r="A14" s="25" t="s">
        <v>159</v>
      </c>
      <c r="B14" s="28">
        <f>'Consolidated Balance Sheets'!B18+'Consolidated Balance Sheets'!B14</f>
        <v>11932</v>
      </c>
      <c r="C14" s="29" t="s">
        <v>158</v>
      </c>
      <c r="D14" s="28"/>
      <c r="E14" s="28"/>
      <c r="F14" s="28"/>
      <c r="G14" s="19"/>
      <c r="H14" s="19"/>
    </row>
    <row r="15" spans="1:8">
      <c r="A15" s="25" t="s">
        <v>157</v>
      </c>
      <c r="B15" s="28">
        <f>B12+B13-B14</f>
        <v>23897.427014049877</v>
      </c>
      <c r="C15" s="19"/>
      <c r="D15" s="25"/>
      <c r="E15" s="25"/>
      <c r="F15" s="25"/>
      <c r="G15" s="19"/>
      <c r="H15" s="19"/>
    </row>
    <row r="16" spans="1:8">
      <c r="A16" s="27" t="s">
        <v>156</v>
      </c>
      <c r="B16" s="26">
        <f>B15/295.03</f>
        <v>80.999989879164417</v>
      </c>
      <c r="C16" s="19"/>
      <c r="D16" s="25"/>
      <c r="E16" s="25"/>
      <c r="F16" s="25"/>
      <c r="G16" s="1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C0EE-3215-4571-8D1F-85F3FF45142B}">
  <dimension ref="A1:D44"/>
  <sheetViews>
    <sheetView workbookViewId="0">
      <selection activeCell="B23" sqref="B23"/>
    </sheetView>
  </sheetViews>
  <sheetFormatPr defaultRowHeight="14.25"/>
  <cols>
    <col min="1" max="1" width="78" customWidth="1"/>
    <col min="2" max="2" width="16" customWidth="1"/>
    <col min="3" max="4" width="14" customWidth="1"/>
  </cols>
  <sheetData>
    <row r="1" spans="1:4">
      <c r="A1" s="34" t="s">
        <v>64</v>
      </c>
      <c r="B1" s="36" t="s">
        <v>1</v>
      </c>
      <c r="C1" s="35"/>
      <c r="D1" s="35"/>
    </row>
    <row r="2" spans="1:4">
      <c r="A2" s="35"/>
      <c r="B2" s="1" t="s">
        <v>2</v>
      </c>
      <c r="C2" s="1" t="s">
        <v>3</v>
      </c>
      <c r="D2" s="1" t="s">
        <v>4</v>
      </c>
    </row>
    <row r="3" spans="1:4">
      <c r="A3" s="5" t="s">
        <v>65</v>
      </c>
    </row>
    <row r="4" spans="1:4">
      <c r="A4" s="2" t="s">
        <v>18</v>
      </c>
      <c r="B4" s="3">
        <v>2035</v>
      </c>
      <c r="C4" s="3">
        <v>3027</v>
      </c>
      <c r="D4" s="3">
        <v>1778</v>
      </c>
    </row>
    <row r="5" spans="1:4">
      <c r="A5" s="5" t="s">
        <v>66</v>
      </c>
    </row>
    <row r="6" spans="1:4">
      <c r="A6" s="2" t="s">
        <v>67</v>
      </c>
      <c r="B6" s="4">
        <v>819</v>
      </c>
      <c r="C6" s="4">
        <v>723</v>
      </c>
      <c r="D6" s="4">
        <v>642</v>
      </c>
    </row>
    <row r="7" spans="1:4">
      <c r="A7" s="2" t="s">
        <v>68</v>
      </c>
      <c r="B7" s="4">
        <v>279</v>
      </c>
      <c r="C7" s="4">
        <v>220</v>
      </c>
      <c r="D7" s="4">
        <v>119</v>
      </c>
    </row>
    <row r="8" spans="1:4">
      <c r="A8" s="2" t="s">
        <v>69</v>
      </c>
      <c r="B8" s="4">
        <v>92</v>
      </c>
      <c r="C8" s="4">
        <v>-865</v>
      </c>
      <c r="D8" s="4">
        <v>-39</v>
      </c>
    </row>
    <row r="9" spans="1:4">
      <c r="A9" s="2" t="s">
        <v>70</v>
      </c>
      <c r="B9" s="4">
        <v>17</v>
      </c>
      <c r="C9" s="4">
        <v>42</v>
      </c>
      <c r="D9" s="4">
        <v>0</v>
      </c>
    </row>
    <row r="10" spans="1:4">
      <c r="A10" s="2" t="s">
        <v>71</v>
      </c>
      <c r="B10" s="4">
        <v>94</v>
      </c>
      <c r="C10" s="4">
        <v>175</v>
      </c>
      <c r="D10" s="4">
        <v>214</v>
      </c>
    </row>
    <row r="11" spans="1:4">
      <c r="A11" s="2" t="s">
        <v>72</v>
      </c>
      <c r="B11" s="4">
        <v>77</v>
      </c>
      <c r="C11" s="4">
        <v>69</v>
      </c>
      <c r="D11" s="4">
        <v>92</v>
      </c>
    </row>
    <row r="12" spans="1:4">
      <c r="A12" s="2" t="s">
        <v>14</v>
      </c>
      <c r="B12" s="4">
        <v>-20</v>
      </c>
      <c r="C12" s="4">
        <v>-58</v>
      </c>
      <c r="D12" s="4">
        <v>-57</v>
      </c>
    </row>
    <row r="13" spans="1:4">
      <c r="A13" s="2" t="s">
        <v>73</v>
      </c>
      <c r="B13" s="4">
        <v>-226</v>
      </c>
      <c r="C13" s="4">
        <v>-2</v>
      </c>
      <c r="D13" s="4">
        <v>-55</v>
      </c>
    </row>
    <row r="14" spans="1:4">
      <c r="A14" s="2" t="s">
        <v>74</v>
      </c>
      <c r="B14" s="4">
        <v>-214</v>
      </c>
      <c r="C14" s="4">
        <v>-207</v>
      </c>
      <c r="D14" s="4">
        <v>-246</v>
      </c>
    </row>
    <row r="15" spans="1:4">
      <c r="A15" s="2" t="s">
        <v>75</v>
      </c>
      <c r="B15" s="4">
        <v>-55</v>
      </c>
      <c r="C15" s="4">
        <v>-44</v>
      </c>
      <c r="D15" s="4">
        <v>61</v>
      </c>
    </row>
    <row r="16" spans="1:4">
      <c r="A16" s="2" t="s">
        <v>76</v>
      </c>
      <c r="B16" s="4">
        <v>-254</v>
      </c>
      <c r="C16" s="4">
        <v>111</v>
      </c>
      <c r="D16" s="4">
        <v>55</v>
      </c>
    </row>
    <row r="17" spans="1:4">
      <c r="A17" s="2" t="s">
        <v>77</v>
      </c>
      <c r="B17" s="4">
        <v>47</v>
      </c>
      <c r="C17" s="4">
        <v>-3</v>
      </c>
      <c r="D17" s="4">
        <v>16</v>
      </c>
    </row>
    <row r="18" spans="1:4">
      <c r="A18" s="2" t="s">
        <v>78</v>
      </c>
      <c r="B18" s="4">
        <v>-144</v>
      </c>
      <c r="C18" s="4">
        <v>-141</v>
      </c>
      <c r="D18" s="4">
        <v>19</v>
      </c>
    </row>
    <row r="19" spans="1:4">
      <c r="A19" s="2" t="s">
        <v>79</v>
      </c>
      <c r="B19" s="4">
        <v>2513</v>
      </c>
      <c r="C19" s="4">
        <v>2963</v>
      </c>
      <c r="D19" s="4">
        <v>2599</v>
      </c>
    </row>
    <row r="20" spans="1:4">
      <c r="A20" s="5" t="s">
        <v>80</v>
      </c>
    </row>
    <row r="21" spans="1:4">
      <c r="A21" s="2" t="s">
        <v>81</v>
      </c>
      <c r="B21" s="4">
        <v>-1259</v>
      </c>
      <c r="C21" s="4">
        <v>-1200</v>
      </c>
      <c r="D21" s="4">
        <v>-1069</v>
      </c>
    </row>
    <row r="22" spans="1:4">
      <c r="A22" s="2" t="s">
        <v>82</v>
      </c>
      <c r="B22" s="4">
        <v>-64</v>
      </c>
      <c r="C22" s="4">
        <v>-42</v>
      </c>
      <c r="D22" s="4">
        <v>-79</v>
      </c>
    </row>
    <row r="23" spans="1:4">
      <c r="A23" s="2" t="s">
        <v>83</v>
      </c>
      <c r="B23" s="4">
        <v>63</v>
      </c>
      <c r="C23" s="4">
        <v>37</v>
      </c>
      <c r="D23" s="4">
        <v>61</v>
      </c>
    </row>
    <row r="24" spans="1:4">
      <c r="A24" s="2" t="s">
        <v>84</v>
      </c>
      <c r="B24" s="4">
        <v>-2462</v>
      </c>
      <c r="C24" s="4">
        <v>-1474</v>
      </c>
      <c r="D24" s="4">
        <v>-3081</v>
      </c>
    </row>
    <row r="25" spans="1:4">
      <c r="A25" s="2" t="s">
        <v>85</v>
      </c>
      <c r="B25" s="4">
        <v>170</v>
      </c>
      <c r="C25" s="4">
        <v>797</v>
      </c>
      <c r="D25" s="4">
        <v>0</v>
      </c>
    </row>
    <row r="26" spans="1:4">
      <c r="A26" s="2" t="s">
        <v>14</v>
      </c>
      <c r="B26" s="4">
        <v>88</v>
      </c>
      <c r="C26" s="4">
        <v>-24</v>
      </c>
      <c r="D26" s="4">
        <v>4</v>
      </c>
    </row>
    <row r="27" spans="1:4">
      <c r="A27" s="2" t="s">
        <v>86</v>
      </c>
      <c r="B27" s="4">
        <v>-3464</v>
      </c>
      <c r="C27" s="4">
        <v>-1906</v>
      </c>
      <c r="D27" s="4">
        <v>-4164</v>
      </c>
    </row>
    <row r="28" spans="1:4">
      <c r="A28" s="5" t="s">
        <v>87</v>
      </c>
    </row>
    <row r="29" spans="1:4">
      <c r="A29" s="2" t="s">
        <v>88</v>
      </c>
      <c r="B29" s="4">
        <v>4634</v>
      </c>
      <c r="C29" s="4">
        <v>1148</v>
      </c>
      <c r="D29" s="4">
        <v>5444</v>
      </c>
    </row>
    <row r="30" spans="1:4">
      <c r="A30" s="2" t="s">
        <v>89</v>
      </c>
      <c r="B30" s="4">
        <v>3208</v>
      </c>
      <c r="C30" s="4">
        <v>1307</v>
      </c>
      <c r="D30" s="4">
        <v>3159</v>
      </c>
    </row>
    <row r="31" spans="1:4">
      <c r="A31" s="2" t="s">
        <v>90</v>
      </c>
      <c r="B31" s="4">
        <v>1135</v>
      </c>
      <c r="C31" s="4">
        <v>1755</v>
      </c>
      <c r="D31" s="4">
        <v>1810</v>
      </c>
    </row>
    <row r="32" spans="1:4">
      <c r="A32" s="2" t="s">
        <v>91</v>
      </c>
      <c r="B32" s="4">
        <v>-1065</v>
      </c>
      <c r="C32" s="4">
        <v>-1755</v>
      </c>
      <c r="D32" s="4">
        <v>-2110</v>
      </c>
    </row>
    <row r="33" spans="1:4">
      <c r="A33" s="2" t="s">
        <v>92</v>
      </c>
      <c r="B33" s="4">
        <v>17722</v>
      </c>
      <c r="C33" s="4">
        <v>21024</v>
      </c>
      <c r="D33" s="4">
        <v>8138</v>
      </c>
    </row>
    <row r="34" spans="1:4">
      <c r="A34" s="2" t="s">
        <v>93</v>
      </c>
      <c r="B34" s="4">
        <v>-17327</v>
      </c>
      <c r="C34" s="4">
        <v>-21197</v>
      </c>
      <c r="D34" s="4">
        <v>-7360</v>
      </c>
    </row>
    <row r="35" spans="1:4">
      <c r="A35" s="2" t="s">
        <v>94</v>
      </c>
      <c r="B35" s="4">
        <v>0</v>
      </c>
      <c r="C35" s="4">
        <v>0</v>
      </c>
      <c r="D35" s="4">
        <v>-223</v>
      </c>
    </row>
    <row r="36" spans="1:4">
      <c r="A36" s="2" t="s">
        <v>95</v>
      </c>
      <c r="B36" s="4">
        <v>-252</v>
      </c>
      <c r="C36" s="4">
        <v>-427</v>
      </c>
      <c r="D36" s="4">
        <v>-860</v>
      </c>
    </row>
    <row r="37" spans="1:4">
      <c r="A37" s="2" t="s">
        <v>96</v>
      </c>
      <c r="B37" s="4">
        <v>-537</v>
      </c>
      <c r="C37" s="4">
        <v>-431</v>
      </c>
      <c r="D37" s="4">
        <v>-319</v>
      </c>
    </row>
    <row r="38" spans="1:4">
      <c r="A38" s="2" t="s">
        <v>97</v>
      </c>
      <c r="B38" s="4">
        <v>99</v>
      </c>
      <c r="C38" s="4">
        <v>102</v>
      </c>
      <c r="D38" s="4">
        <v>154</v>
      </c>
    </row>
    <row r="39" spans="1:4">
      <c r="A39" s="2" t="s">
        <v>14</v>
      </c>
      <c r="B39" s="4">
        <v>-30</v>
      </c>
      <c r="C39" s="4">
        <v>-14</v>
      </c>
      <c r="D39" s="4">
        <v>15</v>
      </c>
    </row>
    <row r="40" spans="1:4">
      <c r="A40" s="2" t="s">
        <v>98</v>
      </c>
      <c r="B40" s="4">
        <v>1171</v>
      </c>
      <c r="C40" s="4">
        <v>-1102</v>
      </c>
      <c r="D40" s="4">
        <v>1530</v>
      </c>
    </row>
    <row r="41" spans="1:4">
      <c r="A41" s="2" t="s">
        <v>99</v>
      </c>
      <c r="B41" s="4">
        <v>-6</v>
      </c>
      <c r="C41" s="4">
        <v>-3</v>
      </c>
      <c r="D41" s="4">
        <v>4</v>
      </c>
    </row>
    <row r="42" spans="1:4">
      <c r="A42" s="2" t="s">
        <v>100</v>
      </c>
      <c r="B42" s="4">
        <v>214</v>
      </c>
      <c r="C42" s="4">
        <v>-48</v>
      </c>
      <c r="D42" s="4">
        <v>-31</v>
      </c>
    </row>
    <row r="43" spans="1:4">
      <c r="A43" s="2" t="s">
        <v>101</v>
      </c>
      <c r="B43" s="4">
        <v>270</v>
      </c>
      <c r="C43" s="4">
        <v>318</v>
      </c>
      <c r="D43" s="4">
        <v>349</v>
      </c>
    </row>
    <row r="44" spans="1:4">
      <c r="A44" s="2" t="s">
        <v>102</v>
      </c>
      <c r="B44" s="3">
        <v>484</v>
      </c>
      <c r="C44" s="3">
        <v>270</v>
      </c>
      <c r="D44" s="3">
        <v>318</v>
      </c>
    </row>
  </sheetData>
  <mergeCells count="2">
    <mergeCell ref="A1:A2"/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70A4-4BEF-4B22-92F5-64B89B20F2F1}">
  <dimension ref="B2:I23"/>
  <sheetViews>
    <sheetView topLeftCell="A14" workbookViewId="0">
      <selection activeCell="G18" sqref="G18"/>
    </sheetView>
  </sheetViews>
  <sheetFormatPr defaultRowHeight="14.25"/>
  <cols>
    <col min="2" max="2" width="18.46484375" bestFit="1" customWidth="1"/>
    <col min="4" max="4" width="11.796875" customWidth="1"/>
  </cols>
  <sheetData>
    <row r="2" spans="2:9">
      <c r="B2" s="8"/>
    </row>
    <row r="3" spans="2:9">
      <c r="B3" s="76"/>
      <c r="C3" s="76"/>
      <c r="D3" s="76"/>
      <c r="E3" s="76"/>
      <c r="F3" s="76"/>
      <c r="G3" s="76"/>
      <c r="H3" s="76"/>
      <c r="I3" s="76"/>
    </row>
    <row r="4" spans="2:9">
      <c r="B4" s="9"/>
      <c r="C4" s="9"/>
      <c r="D4" s="9"/>
      <c r="E4" s="9"/>
      <c r="F4" s="9"/>
      <c r="G4" s="9"/>
      <c r="H4" s="9"/>
      <c r="I4" s="9"/>
    </row>
    <row r="5" spans="2:9" ht="14.65" thickBot="1">
      <c r="B5" s="10"/>
      <c r="C5" s="77" t="s">
        <v>103</v>
      </c>
      <c r="D5" s="77"/>
      <c r="E5" s="77"/>
      <c r="F5" s="77"/>
      <c r="G5" s="77"/>
      <c r="H5" s="77"/>
      <c r="I5" s="10"/>
    </row>
    <row r="6" spans="2:9">
      <c r="B6" s="50"/>
      <c r="C6" s="79">
        <v>2019</v>
      </c>
      <c r="D6" s="79"/>
      <c r="E6" s="52"/>
      <c r="F6" s="50"/>
      <c r="G6" s="79">
        <v>2018</v>
      </c>
      <c r="H6" s="79"/>
      <c r="I6" s="52"/>
    </row>
    <row r="7" spans="2:9" ht="14.65" thickBot="1">
      <c r="B7" s="78"/>
      <c r="C7" s="80"/>
      <c r="D7" s="80"/>
      <c r="E7" s="81"/>
      <c r="F7" s="78"/>
      <c r="G7" s="80"/>
      <c r="H7" s="80"/>
      <c r="I7" s="81"/>
    </row>
    <row r="8" spans="2:9">
      <c r="B8" s="71" t="s">
        <v>104</v>
      </c>
      <c r="C8" s="72" t="s">
        <v>105</v>
      </c>
      <c r="D8" s="66">
        <v>198</v>
      </c>
      <c r="E8" s="68"/>
      <c r="F8" s="74"/>
      <c r="G8" s="72" t="s">
        <v>105</v>
      </c>
      <c r="H8" s="66">
        <v>154</v>
      </c>
      <c r="I8" s="68"/>
    </row>
    <row r="9" spans="2:9">
      <c r="B9" s="55"/>
      <c r="C9" s="73"/>
      <c r="D9" s="67"/>
      <c r="E9" s="69"/>
      <c r="F9" s="75"/>
      <c r="G9" s="73"/>
      <c r="H9" s="67"/>
      <c r="I9" s="69"/>
    </row>
    <row r="10" spans="2:9" ht="45.6" customHeight="1">
      <c r="B10" s="63" t="s">
        <v>106</v>
      </c>
      <c r="C10" s="70">
        <v>4747</v>
      </c>
      <c r="D10" s="70"/>
      <c r="E10" s="65"/>
      <c r="F10" s="51"/>
      <c r="G10" s="70">
        <v>4115</v>
      </c>
      <c r="H10" s="70"/>
      <c r="I10" s="65"/>
    </row>
    <row r="11" spans="2:9">
      <c r="B11" s="63"/>
      <c r="C11" s="70"/>
      <c r="D11" s="70"/>
      <c r="E11" s="65"/>
      <c r="F11" s="51"/>
      <c r="G11" s="70"/>
      <c r="H11" s="70"/>
      <c r="I11" s="65"/>
    </row>
    <row r="12" spans="2:9" ht="34.799999999999997" customHeight="1">
      <c r="B12" s="55" t="s">
        <v>107</v>
      </c>
      <c r="C12" s="57">
        <v>8607</v>
      </c>
      <c r="D12" s="57"/>
      <c r="E12" s="48"/>
      <c r="F12" s="59"/>
      <c r="G12" s="57">
        <v>7720</v>
      </c>
      <c r="H12" s="57"/>
      <c r="I12" s="48"/>
    </row>
    <row r="13" spans="2:9">
      <c r="B13" s="55"/>
      <c r="C13" s="57"/>
      <c r="D13" s="57"/>
      <c r="E13" s="48"/>
      <c r="F13" s="59"/>
      <c r="G13" s="57"/>
      <c r="H13" s="57"/>
      <c r="I13" s="48"/>
    </row>
    <row r="14" spans="2:9" ht="34.799999999999997" customHeight="1">
      <c r="B14" s="63" t="s">
        <v>108</v>
      </c>
      <c r="C14" s="64">
        <v>385</v>
      </c>
      <c r="D14" s="64"/>
      <c r="E14" s="65"/>
      <c r="F14" s="51"/>
      <c r="G14" s="64">
        <v>357</v>
      </c>
      <c r="H14" s="64"/>
      <c r="I14" s="65"/>
    </row>
    <row r="15" spans="2:9">
      <c r="B15" s="63"/>
      <c r="C15" s="64"/>
      <c r="D15" s="64"/>
      <c r="E15" s="65"/>
      <c r="F15" s="51"/>
      <c r="G15" s="64"/>
      <c r="H15" s="64"/>
      <c r="I15" s="65"/>
    </row>
    <row r="16" spans="2:9" ht="55.8" customHeight="1">
      <c r="B16" s="55" t="s">
        <v>109</v>
      </c>
      <c r="C16" s="61">
        <v>713</v>
      </c>
      <c r="D16" s="61"/>
      <c r="E16" s="48"/>
      <c r="F16" s="59"/>
      <c r="G16" s="61">
        <v>689</v>
      </c>
      <c r="H16" s="61"/>
      <c r="I16" s="48"/>
    </row>
    <row r="17" spans="2:9" ht="14.65" thickBot="1">
      <c r="B17" s="56"/>
      <c r="C17" s="62"/>
      <c r="D17" s="62"/>
      <c r="E17" s="49"/>
      <c r="F17" s="60"/>
      <c r="G17" s="62"/>
      <c r="H17" s="62"/>
      <c r="I17" s="49"/>
    </row>
    <row r="18" spans="2:9">
      <c r="B18" s="50"/>
      <c r="C18" s="11"/>
      <c r="D18" s="11">
        <v>14650</v>
      </c>
      <c r="E18" s="52"/>
      <c r="F18" s="50"/>
      <c r="G18" s="11"/>
      <c r="H18" s="11">
        <v>13035</v>
      </c>
      <c r="I18" s="52"/>
    </row>
    <row r="19" spans="2:9">
      <c r="B19" s="51"/>
      <c r="C19" s="12"/>
      <c r="D19" s="12"/>
      <c r="E19" s="53"/>
      <c r="F19" s="54"/>
      <c r="G19" s="12"/>
      <c r="H19" s="12"/>
      <c r="I19" s="53"/>
    </row>
    <row r="20" spans="2:9" ht="45" customHeight="1">
      <c r="B20" s="55" t="s">
        <v>110</v>
      </c>
      <c r="C20" s="57">
        <v>7368</v>
      </c>
      <c r="D20" s="57"/>
      <c r="E20" s="48"/>
      <c r="F20" s="59"/>
      <c r="G20" s="57">
        <v>6866</v>
      </c>
      <c r="H20" s="57"/>
      <c r="I20" s="48"/>
    </row>
    <row r="21" spans="2:9" ht="14.65" thickBot="1">
      <c r="B21" s="56"/>
      <c r="C21" s="58"/>
      <c r="D21" s="58"/>
      <c r="E21" s="49"/>
      <c r="F21" s="60"/>
      <c r="G21" s="58"/>
      <c r="H21" s="58"/>
      <c r="I21" s="49"/>
    </row>
    <row r="22" spans="2:9" ht="45" customHeight="1">
      <c r="B22" s="42" t="s">
        <v>111</v>
      </c>
      <c r="C22" s="44" t="s">
        <v>105</v>
      </c>
      <c r="D22" s="38">
        <v>7282</v>
      </c>
      <c r="E22" s="46"/>
      <c r="F22" s="44"/>
      <c r="G22" s="44" t="s">
        <v>105</v>
      </c>
      <c r="H22" s="38">
        <v>6169</v>
      </c>
      <c r="I22" s="40"/>
    </row>
    <row r="23" spans="2:9" ht="14.65" thickBot="1">
      <c r="B23" s="43"/>
      <c r="C23" s="45"/>
      <c r="D23" s="39"/>
      <c r="E23" s="47"/>
      <c r="F23" s="45"/>
      <c r="G23" s="45"/>
      <c r="H23" s="39"/>
      <c r="I23" s="41"/>
    </row>
  </sheetData>
  <mergeCells count="58">
    <mergeCell ref="B12:B13"/>
    <mergeCell ref="B3:I3"/>
    <mergeCell ref="C5:H5"/>
    <mergeCell ref="B6:B7"/>
    <mergeCell ref="C6:D7"/>
    <mergeCell ref="E6:E7"/>
    <mergeCell ref="F6:F7"/>
    <mergeCell ref="G6:H7"/>
    <mergeCell ref="I6:I7"/>
    <mergeCell ref="H8:H9"/>
    <mergeCell ref="I8:I9"/>
    <mergeCell ref="B10:B11"/>
    <mergeCell ref="C10:D11"/>
    <mergeCell ref="E10:E11"/>
    <mergeCell ref="F10:F11"/>
    <mergeCell ref="G10:H11"/>
    <mergeCell ref="I10:I11"/>
    <mergeCell ref="B8:B9"/>
    <mergeCell ref="C8:C9"/>
    <mergeCell ref="D8:D9"/>
    <mergeCell ref="E8:E9"/>
    <mergeCell ref="F8:F9"/>
    <mergeCell ref="G8:G9"/>
    <mergeCell ref="C12:D13"/>
    <mergeCell ref="E12:E13"/>
    <mergeCell ref="F12:F13"/>
    <mergeCell ref="G12:H13"/>
    <mergeCell ref="I16:I17"/>
    <mergeCell ref="I14:I15"/>
    <mergeCell ref="I12:I13"/>
    <mergeCell ref="B14:B15"/>
    <mergeCell ref="C14:D15"/>
    <mergeCell ref="E14:E15"/>
    <mergeCell ref="F14:F15"/>
    <mergeCell ref="G14:H15"/>
    <mergeCell ref="B16:B17"/>
    <mergeCell ref="C16:D17"/>
    <mergeCell ref="E16:E17"/>
    <mergeCell ref="F16:F17"/>
    <mergeCell ref="G16:H17"/>
    <mergeCell ref="I20:I21"/>
    <mergeCell ref="B18:B19"/>
    <mergeCell ref="E18:E19"/>
    <mergeCell ref="F18:F19"/>
    <mergeCell ref="I18:I19"/>
    <mergeCell ref="B20:B21"/>
    <mergeCell ref="C20:D21"/>
    <mergeCell ref="E20:E21"/>
    <mergeCell ref="F20:F21"/>
    <mergeCell ref="G20:H21"/>
    <mergeCell ref="H22:H23"/>
    <mergeCell ref="I22:I23"/>
    <mergeCell ref="B22:B23"/>
    <mergeCell ref="C22:C23"/>
    <mergeCell ref="D22:D23"/>
    <mergeCell ref="E22:E23"/>
    <mergeCell ref="F22:F23"/>
    <mergeCell ref="G22:G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4253-CEF6-4072-9406-702B6B43C0C0}">
  <sheetPr codeName="Sheet18"/>
  <dimension ref="A1:H27"/>
  <sheetViews>
    <sheetView workbookViewId="0">
      <selection activeCell="A2" sqref="A2:H16"/>
    </sheetView>
  </sheetViews>
  <sheetFormatPr defaultRowHeight="13.5"/>
  <cols>
    <col min="1" max="1" width="36.265625" style="19" bestFit="1" customWidth="1"/>
    <col min="2" max="2" width="10.53125" style="19" bestFit="1" customWidth="1"/>
    <col min="3" max="6" width="9.06640625" style="19"/>
    <col min="7" max="7" width="10.53125" style="19" bestFit="1" customWidth="1"/>
    <col min="8" max="8" width="22.19921875" style="19" bestFit="1" customWidth="1"/>
    <col min="9" max="16384" width="9.06640625" style="19"/>
  </cols>
  <sheetData>
    <row r="1" spans="1:8" ht="17.45" customHeight="1">
      <c r="A1" s="82" t="s">
        <v>161</v>
      </c>
      <c r="B1" s="82"/>
      <c r="C1" s="82"/>
      <c r="D1" s="82"/>
      <c r="E1" s="82"/>
      <c r="F1" s="82"/>
      <c r="G1" s="82"/>
      <c r="H1" s="82"/>
    </row>
    <row r="2" spans="1:8" ht="27">
      <c r="A2" s="30" t="s">
        <v>144</v>
      </c>
      <c r="B2" s="28">
        <v>593275.77278228954</v>
      </c>
      <c r="C2" s="19" t="e">
        <f ca="1">getformula(B2)</f>
        <v>#NAME?</v>
      </c>
    </row>
    <row r="3" spans="1:8" ht="14.25">
      <c r="A3" s="25" t="s">
        <v>145</v>
      </c>
      <c r="B3" s="32">
        <v>0.08</v>
      </c>
      <c r="C3" s="25" t="s">
        <v>146</v>
      </c>
    </row>
    <row r="4" spans="1:8" ht="14.25">
      <c r="A4" s="25" t="s">
        <v>147</v>
      </c>
      <c r="B4" s="32">
        <v>0.05</v>
      </c>
      <c r="C4" s="25" t="s">
        <v>148</v>
      </c>
    </row>
    <row r="5" spans="1:8" ht="14.25">
      <c r="A5" s="25" t="s">
        <v>149</v>
      </c>
      <c r="B5" s="32">
        <v>0.107</v>
      </c>
      <c r="C5" s="25"/>
    </row>
    <row r="6" spans="1:8" ht="14.25">
      <c r="A6" s="25"/>
      <c r="B6" s="32"/>
    </row>
    <row r="7" spans="1:8" ht="13.9">
      <c r="A7" s="31" t="s">
        <v>150</v>
      </c>
      <c r="B7" s="31">
        <v>2012</v>
      </c>
      <c r="C7" s="31">
        <v>2013</v>
      </c>
      <c r="D7" s="31">
        <v>2014</v>
      </c>
      <c r="E7" s="31">
        <v>2015</v>
      </c>
      <c r="F7" s="31">
        <v>2016</v>
      </c>
      <c r="G7" s="31">
        <v>2017</v>
      </c>
    </row>
    <row r="8" spans="1:8">
      <c r="A8" s="25" t="s">
        <v>136</v>
      </c>
      <c r="B8" s="28"/>
      <c r="C8" s="28">
        <f>B2*(1+B3)</f>
        <v>640737.83460487274</v>
      </c>
      <c r="D8" s="28">
        <f>C8*(1+$B$3)</f>
        <v>691996.8613732626</v>
      </c>
      <c r="E8" s="28">
        <f>D8*(1+$B$3)</f>
        <v>747356.61028312368</v>
      </c>
      <c r="F8" s="28">
        <f>E8*(1+$B$3)</f>
        <v>807145.13910577365</v>
      </c>
      <c r="G8" s="28">
        <f>F8*(1+$B$3)</f>
        <v>871716.75023423554</v>
      </c>
      <c r="H8" s="19" t="e">
        <f ca="1">getformula(G8)</f>
        <v>#NAME?</v>
      </c>
    </row>
    <row r="9" spans="1:8">
      <c r="A9" s="25" t="s">
        <v>151</v>
      </c>
      <c r="B9" s="28"/>
      <c r="C9" s="28"/>
      <c r="D9" s="28"/>
      <c r="E9" s="28"/>
      <c r="F9" s="28"/>
      <c r="G9" s="28">
        <f>G8*(1+B4)/(B5-B4)</f>
        <v>16057940.135893816</v>
      </c>
      <c r="H9" s="19" t="e">
        <f ca="1">getformula(G9)</f>
        <v>#NAME?</v>
      </c>
    </row>
    <row r="10" spans="1:8">
      <c r="A10" s="25" t="s">
        <v>152</v>
      </c>
      <c r="B10" s="28"/>
      <c r="C10" s="28">
        <f>C8+C9</f>
        <v>640737.83460487274</v>
      </c>
      <c r="D10" s="28">
        <f>D8+D9</f>
        <v>691996.8613732626</v>
      </c>
      <c r="E10" s="28">
        <f>E8+E9</f>
        <v>747356.61028312368</v>
      </c>
      <c r="F10" s="28">
        <f>F8+F9</f>
        <v>807145.13910577365</v>
      </c>
      <c r="G10" s="28">
        <f>G8+G9</f>
        <v>16929656.886128053</v>
      </c>
      <c r="H10" s="19" t="e">
        <f ca="1">getformula(G10)</f>
        <v>#NAME?</v>
      </c>
    </row>
    <row r="11" spans="1:8">
      <c r="B11" s="28"/>
      <c r="C11" s="28"/>
      <c r="D11" s="28"/>
      <c r="E11" s="28"/>
      <c r="F11" s="28"/>
    </row>
    <row r="12" spans="1:8">
      <c r="A12" s="25" t="s">
        <v>113</v>
      </c>
      <c r="B12" s="28">
        <f>NPV(B5,C10:G10)*(1+B5)^0.5</f>
        <v>13063055.212536111</v>
      </c>
      <c r="C12" s="28" t="e">
        <f ca="1">getformula(B12)</f>
        <v>#NAME?</v>
      </c>
      <c r="D12" s="28"/>
      <c r="E12" s="28"/>
      <c r="F12" s="28"/>
    </row>
    <row r="13" spans="1:8" ht="27">
      <c r="A13" s="30" t="s">
        <v>160</v>
      </c>
      <c r="B13" s="28">
        <v>73697</v>
      </c>
      <c r="C13" s="29" t="s">
        <v>158</v>
      </c>
      <c r="D13" s="28"/>
      <c r="E13" s="28"/>
      <c r="F13" s="28"/>
    </row>
    <row r="14" spans="1:8">
      <c r="A14" s="25" t="s">
        <v>159</v>
      </c>
      <c r="B14" s="28">
        <v>1379106</v>
      </c>
      <c r="C14" s="29" t="s">
        <v>158</v>
      </c>
      <c r="D14" s="28"/>
      <c r="E14" s="28"/>
      <c r="F14" s="28"/>
    </row>
    <row r="15" spans="1:8">
      <c r="A15" s="25" t="s">
        <v>157</v>
      </c>
      <c r="B15" s="28">
        <f>B12+B13-B14</f>
        <v>11757646.212536111</v>
      </c>
      <c r="C15" s="19" t="e">
        <f ca="1">getformula(B15)</f>
        <v>#NAME?</v>
      </c>
      <c r="D15" s="25"/>
      <c r="E15" s="25"/>
      <c r="F15" s="25"/>
    </row>
    <row r="16" spans="1:8">
      <c r="A16" s="27" t="s">
        <v>156</v>
      </c>
      <c r="B16" s="26">
        <f>B15/1000000</f>
        <v>11.757646212536111</v>
      </c>
      <c r="C16" s="19" t="e">
        <f ca="1">getformula(B16)</f>
        <v>#NAME?</v>
      </c>
      <c r="D16" s="25"/>
      <c r="E16" s="25"/>
      <c r="F16" s="25"/>
    </row>
    <row r="18" spans="1:7" ht="13.9">
      <c r="A18" s="24" t="s">
        <v>155</v>
      </c>
    </row>
    <row r="19" spans="1:7">
      <c r="A19" s="83" t="e">
        <f ca="1">"data table header, "&amp;CHAR(10)&amp;gggetformula(B20)</f>
        <v>#NAME?</v>
      </c>
      <c r="C19" s="84" t="s">
        <v>154</v>
      </c>
      <c r="D19" s="84"/>
      <c r="E19" s="84"/>
      <c r="F19" s="84"/>
      <c r="G19" s="84"/>
    </row>
    <row r="20" spans="1:7">
      <c r="A20" s="83"/>
      <c r="B20" s="23">
        <f>IF(B5&gt;B4,B16,"nmf")</f>
        <v>11.757646212536111</v>
      </c>
      <c r="C20" s="21">
        <v>0</v>
      </c>
      <c r="D20" s="21">
        <v>0.03</v>
      </c>
      <c r="E20" s="21">
        <v>0.06</v>
      </c>
      <c r="F20" s="21">
        <v>0.09</v>
      </c>
      <c r="G20" s="21">
        <v>0.12</v>
      </c>
    </row>
    <row r="21" spans="1:7">
      <c r="B21" s="21">
        <v>0.06</v>
      </c>
      <c r="C21" s="20">
        <f t="dataTable" ref="C21:G27" dt2D="1" dtr="1" r1="B4" r2="B5"/>
        <v>13.103527042497896</v>
      </c>
      <c r="D21" s="20">
        <v>24.951760756158212</v>
      </c>
      <c r="E21" s="20" t="str">
        <v>nmf</v>
      </c>
      <c r="F21" s="20" t="str">
        <v>nmf</v>
      </c>
      <c r="G21" s="20" t="str">
        <v>nmf</v>
      </c>
    </row>
    <row r="22" spans="1:7">
      <c r="A22" s="22" t="s">
        <v>153</v>
      </c>
      <c r="B22" s="21">
        <v>0.08</v>
      </c>
      <c r="C22" s="20">
        <v>9.4842207042654536</v>
      </c>
      <c r="D22" s="20">
        <v>14.478277881668323</v>
      </c>
      <c r="E22" s="20">
        <v>34.454506591279781</v>
      </c>
      <c r="F22" s="20" t="str">
        <v>nmf</v>
      </c>
      <c r="G22" s="20" t="str">
        <v>nmf</v>
      </c>
    </row>
    <row r="23" spans="1:7">
      <c r="B23" s="21">
        <v>0.1</v>
      </c>
      <c r="C23" s="20">
        <v>7.3169753870629615</v>
      </c>
      <c r="D23" s="20">
        <v>9.9932101507221436</v>
      </c>
      <c r="E23" s="20">
        <v>16.683797059870102</v>
      </c>
      <c r="F23" s="20">
        <v>63.517905423905759</v>
      </c>
      <c r="G23" s="20" t="str">
        <v>nmf</v>
      </c>
    </row>
    <row r="24" spans="1:7">
      <c r="B24" s="21">
        <v>0.12</v>
      </c>
      <c r="C24" s="20">
        <v>5.8754245960578437</v>
      </c>
      <c r="D24" s="20">
        <v>7.504007273305751</v>
      </c>
      <c r="E24" s="20">
        <v>10.761172627801567</v>
      </c>
      <c r="F24" s="20">
        <v>20.532668691289008</v>
      </c>
      <c r="G24" s="20" t="str">
        <v>nmf</v>
      </c>
    </row>
    <row r="25" spans="1:7">
      <c r="B25" s="21">
        <v>0.14000000000000001</v>
      </c>
      <c r="C25" s="20">
        <v>4.8482987675736391</v>
      </c>
      <c r="D25" s="20">
        <v>5.9218158148131161</v>
      </c>
      <c r="E25" s="20">
        <v>7.8004706474822036</v>
      </c>
      <c r="F25" s="20">
        <v>11.933511279354194</v>
      </c>
      <c r="G25" s="20">
        <v>28.465673806842151</v>
      </c>
    </row>
    <row r="26" spans="1:7">
      <c r="B26" s="21">
        <v>0.16</v>
      </c>
      <c r="C26" s="20">
        <v>4.0799864818946832</v>
      </c>
      <c r="D26" s="20">
        <v>4.8278637769461392</v>
      </c>
      <c r="E26" s="20">
        <v>6.0244674490284691</v>
      </c>
      <c r="F26" s="20">
        <v>8.2467314114670796</v>
      </c>
      <c r="G26" s="20">
        <v>13.802391317563611</v>
      </c>
    </row>
    <row r="27" spans="1:7">
      <c r="B27" s="21">
        <v>0.18</v>
      </c>
      <c r="C27" s="20">
        <v>3.4840552542641023</v>
      </c>
      <c r="D27" s="20">
        <v>4.0267378031279977</v>
      </c>
      <c r="E27" s="20">
        <v>4.8407616264238413</v>
      </c>
      <c r="F27" s="20">
        <v>6.197467998583579</v>
      </c>
      <c r="G27" s="20">
        <v>8.9108807429030588</v>
      </c>
    </row>
  </sheetData>
  <mergeCells count="3">
    <mergeCell ref="A1:H1"/>
    <mergeCell ref="A19:A20"/>
    <mergeCell ref="C19:G19"/>
  </mergeCells>
  <printOptions headings="1" gridLines="1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Consolidated Statements Of Inco</vt:lpstr>
      <vt:lpstr>Consolidated Balance Sheets</vt:lpstr>
      <vt:lpstr>#1</vt:lpstr>
      <vt:lpstr>#2</vt:lpstr>
      <vt:lpstr>Consolidated Statements Of Cash</vt:lpstr>
      <vt:lpstr>PP&amp;E Note 4</vt:lpstr>
      <vt:lpstr>Page 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Beggs</dc:creator>
  <cp:lastModifiedBy>Pablo Gabilondo</cp:lastModifiedBy>
  <dcterms:created xsi:type="dcterms:W3CDTF">2020-02-03T17:38:10Z</dcterms:created>
  <dcterms:modified xsi:type="dcterms:W3CDTF">2020-02-12T22:21:59Z</dcterms:modified>
</cp:coreProperties>
</file>