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E5CACEBB-74EF-4F5C-828A-B36015E4EEA7}" xr6:coauthVersionLast="47" xr6:coauthVersionMax="47" xr10:uidLastSave="{00000000-0000-0000-0000-000000000000}"/>
  <bookViews>
    <workbookView xWindow="-120" yWindow="-120" windowWidth="29040" windowHeight="15840" xr2:uid="{E6B1E85B-4248-CF47-ADC4-6B87613F0D97}"/>
  </bookViews>
  <sheets>
    <sheet name="Ceres exhibits" sheetId="6" r:id="rId1"/>
    <sheet name="Inversion" sheetId="13" r:id="rId2"/>
    <sheet name="Financiacion" sheetId="12" r:id="rId3"/>
    <sheet name="AV y AH" sheetId="10" r:id="rId4"/>
    <sheet name="Indicadores" sheetId="11" r:id="rId5"/>
    <sheet name="Obligaciones Financieras" sheetId="9" r:id="rId6"/>
    <sheet name="ER" sheetId="8" r:id="rId7"/>
    <sheet name="Supuestos" sheetId="7" r:id="rId8"/>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 l="1"/>
  <c r="J31" i="6"/>
  <c r="H31" i="6"/>
  <c r="Q31" i="6"/>
  <c r="M31" i="6"/>
  <c r="N31" i="6"/>
  <c r="O31" i="6"/>
  <c r="P31" i="6"/>
  <c r="L31" i="6"/>
  <c r="M21" i="11"/>
  <c r="N21" i="11"/>
  <c r="O21" i="11"/>
  <c r="P21" i="11"/>
  <c r="L21" i="11"/>
  <c r="G13" i="11"/>
  <c r="L20" i="11"/>
  <c r="L19" i="11"/>
  <c r="L18" i="11"/>
  <c r="L17" i="11"/>
  <c r="L7" i="11"/>
  <c r="M7" i="11"/>
  <c r="M8" i="11"/>
  <c r="M9" i="11"/>
  <c r="M10" i="11"/>
  <c r="M13" i="11"/>
  <c r="N14" i="11"/>
  <c r="M14" i="11"/>
  <c r="L6" i="11"/>
  <c r="M29" i="11"/>
  <c r="N29" i="11"/>
  <c r="O29" i="11"/>
  <c r="P29" i="11"/>
  <c r="L5" i="11"/>
  <c r="L31" i="11"/>
  <c r="M31" i="11"/>
  <c r="N31" i="11"/>
  <c r="O31" i="11"/>
  <c r="P31" i="11"/>
  <c r="M25" i="11"/>
  <c r="N25" i="11"/>
  <c r="O25" i="11"/>
  <c r="P25" i="11"/>
  <c r="L25" i="11"/>
  <c r="L26" i="11"/>
  <c r="C64" i="11"/>
  <c r="D64" i="11"/>
  <c r="E64" i="11"/>
  <c r="F64" i="11"/>
  <c r="B64" i="11"/>
  <c r="M30" i="11"/>
  <c r="N30" i="11"/>
  <c r="O30" i="11"/>
  <c r="P30" i="11"/>
  <c r="L30" i="11"/>
  <c r="L29" i="11"/>
  <c r="M28" i="11"/>
  <c r="N28" i="11"/>
  <c r="O28" i="11"/>
  <c r="P28" i="11"/>
  <c r="L28" i="11"/>
  <c r="M27" i="11"/>
  <c r="N27" i="11"/>
  <c r="O27" i="11"/>
  <c r="P27" i="11"/>
  <c r="L27" i="11"/>
  <c r="B6" i="13"/>
  <c r="M26" i="11"/>
  <c r="N26" i="11"/>
  <c r="O26" i="11"/>
  <c r="P26" i="11"/>
  <c r="M24" i="11"/>
  <c r="N24" i="11"/>
  <c r="O24" i="11"/>
  <c r="P24" i="11"/>
  <c r="L24" i="11"/>
  <c r="M20" i="11"/>
  <c r="N20" i="11"/>
  <c r="O20" i="11"/>
  <c r="P20" i="11"/>
  <c r="M19" i="11"/>
  <c r="N19" i="11"/>
  <c r="O19" i="11"/>
  <c r="P19" i="11"/>
  <c r="M18" i="11"/>
  <c r="N18" i="11"/>
  <c r="O18" i="11"/>
  <c r="P18" i="11"/>
  <c r="M17" i="11"/>
  <c r="N17" i="11"/>
  <c r="O17" i="11"/>
  <c r="P17" i="11"/>
  <c r="O14" i="11"/>
  <c r="P14" i="11"/>
  <c r="L14" i="11"/>
  <c r="N13" i="11"/>
  <c r="O13" i="11"/>
  <c r="P13" i="11"/>
  <c r="L13" i="11"/>
  <c r="N12" i="11"/>
  <c r="O12" i="11"/>
  <c r="P12" i="11"/>
  <c r="M11" i="11"/>
  <c r="M12" i="11"/>
  <c r="N11" i="11"/>
  <c r="O11" i="11"/>
  <c r="P11" i="11"/>
  <c r="L11" i="11"/>
  <c r="L12" i="11"/>
  <c r="N10" i="11"/>
  <c r="O10" i="11"/>
  <c r="P10" i="11"/>
  <c r="L10" i="11"/>
  <c r="N9" i="11"/>
  <c r="O9" i="11"/>
  <c r="P9" i="11"/>
  <c r="L9" i="11"/>
  <c r="N8" i="11"/>
  <c r="O8" i="11"/>
  <c r="P8" i="11"/>
  <c r="L8" i="11"/>
  <c r="N7" i="11"/>
  <c r="O7" i="11"/>
  <c r="P7" i="11"/>
  <c r="M6" i="11"/>
  <c r="N6" i="11"/>
  <c r="O6" i="11"/>
  <c r="P6" i="11"/>
  <c r="M5" i="11"/>
  <c r="N5" i="11"/>
  <c r="O5" i="11"/>
  <c r="P5" i="11"/>
  <c r="I60" i="11"/>
  <c r="H60" i="11"/>
  <c r="G60" i="11"/>
  <c r="F58" i="11"/>
  <c r="E58" i="11"/>
  <c r="D58" i="11"/>
  <c r="C58" i="11"/>
  <c r="F57" i="11"/>
  <c r="F60" i="11"/>
  <c r="E57" i="11"/>
  <c r="E60" i="11"/>
  <c r="D57" i="11"/>
  <c r="D60" i="11"/>
  <c r="C57" i="11"/>
  <c r="C60" i="11"/>
  <c r="I55" i="11"/>
  <c r="H55" i="11"/>
  <c r="G55" i="11"/>
  <c r="F54" i="11"/>
  <c r="E54" i="11"/>
  <c r="D54" i="11"/>
  <c r="C54" i="11"/>
  <c r="F53" i="11"/>
  <c r="E53" i="11"/>
  <c r="D53" i="11"/>
  <c r="C53" i="11"/>
  <c r="I50" i="11"/>
  <c r="I62" i="11"/>
  <c r="H50" i="11"/>
  <c r="H62" i="11"/>
  <c r="G50" i="11"/>
  <c r="G62" i="11"/>
  <c r="F49" i="11"/>
  <c r="E49" i="11"/>
  <c r="D49" i="11"/>
  <c r="C49" i="11"/>
  <c r="F48" i="11"/>
  <c r="E48" i="11"/>
  <c r="D48" i="11"/>
  <c r="C48" i="11"/>
  <c r="F47" i="11"/>
  <c r="E47" i="11"/>
  <c r="D47" i="11"/>
  <c r="C47" i="11"/>
  <c r="F46" i="11"/>
  <c r="F52" i="11"/>
  <c r="F55" i="11"/>
  <c r="E46" i="11"/>
  <c r="E52" i="11"/>
  <c r="E55" i="11"/>
  <c r="D46" i="11"/>
  <c r="D52" i="11"/>
  <c r="D55" i="11"/>
  <c r="C46" i="11"/>
  <c r="C52" i="11"/>
  <c r="C55" i="11"/>
  <c r="F45" i="11"/>
  <c r="F50" i="11"/>
  <c r="F62" i="11"/>
  <c r="E45" i="11"/>
  <c r="E50" i="11"/>
  <c r="E62" i="11"/>
  <c r="D45" i="11"/>
  <c r="D50" i="11"/>
  <c r="D62" i="11"/>
  <c r="C45" i="11"/>
  <c r="C50" i="11"/>
  <c r="C62" i="11"/>
  <c r="G29" i="11"/>
  <c r="I19" i="11"/>
  <c r="I20" i="11"/>
  <c r="H19" i="11"/>
  <c r="H20" i="11"/>
  <c r="G19" i="11"/>
  <c r="G20" i="11"/>
  <c r="G12" i="11"/>
  <c r="H12" i="11"/>
  <c r="I12" i="11"/>
  <c r="G10" i="11"/>
  <c r="I8" i="11"/>
  <c r="H8" i="11"/>
  <c r="G8" i="11"/>
  <c r="G46" i="6"/>
  <c r="H30" i="6"/>
  <c r="I30" i="6"/>
  <c r="J30" i="6"/>
  <c r="F12" i="7"/>
  <c r="F7" i="7"/>
  <c r="B18" i="7"/>
  <c r="H11" i="6"/>
  <c r="I11" i="6"/>
  <c r="J11" i="6"/>
  <c r="H11" i="10"/>
  <c r="F6" i="13"/>
  <c r="F3" i="13"/>
  <c r="F2" i="13"/>
  <c r="F5" i="13"/>
  <c r="G2" i="13"/>
  <c r="O8" i="10"/>
  <c r="F18" i="7"/>
  <c r="G18" i="7"/>
  <c r="G5" i="8"/>
  <c r="H5" i="8"/>
  <c r="I5" i="8"/>
  <c r="C6" i="13"/>
  <c r="D6" i="13"/>
  <c r="E6" i="13"/>
  <c r="F8" i="13"/>
  <c r="C2" i="13"/>
  <c r="D2" i="13"/>
  <c r="E2" i="13"/>
  <c r="B2" i="13"/>
  <c r="C3" i="13"/>
  <c r="D3" i="13"/>
  <c r="E3" i="13"/>
  <c r="B3" i="13"/>
  <c r="D6" i="12"/>
  <c r="E6" i="12"/>
  <c r="F6" i="12"/>
  <c r="G6" i="12"/>
  <c r="C6" i="12"/>
  <c r="C18" i="12"/>
  <c r="B14" i="9"/>
  <c r="G20" i="12"/>
  <c r="D20" i="12"/>
  <c r="E20" i="12"/>
  <c r="F20" i="12"/>
  <c r="C20" i="12"/>
  <c r="D15" i="12"/>
  <c r="E15" i="12"/>
  <c r="F15" i="12"/>
  <c r="G15" i="12"/>
  <c r="C15" i="12"/>
  <c r="C19" i="12"/>
  <c r="C21" i="12"/>
  <c r="D14" i="12"/>
  <c r="E14" i="12"/>
  <c r="F14" i="12"/>
  <c r="G14" i="12"/>
  <c r="C14" i="12"/>
  <c r="D10" i="12"/>
  <c r="E10" i="12"/>
  <c r="F10" i="12"/>
  <c r="G10" i="12"/>
  <c r="C10" i="12"/>
  <c r="D7" i="12"/>
  <c r="E7" i="12"/>
  <c r="F7" i="12"/>
  <c r="G7" i="12"/>
  <c r="C7" i="12"/>
  <c r="D8" i="12"/>
  <c r="E8" i="12"/>
  <c r="F8" i="12"/>
  <c r="G8" i="12"/>
  <c r="C8" i="12"/>
  <c r="D3" i="12"/>
  <c r="E3" i="12"/>
  <c r="F3" i="12"/>
  <c r="G3" i="12"/>
  <c r="C3" i="12"/>
  <c r="D2" i="12"/>
  <c r="E2" i="12"/>
  <c r="F2" i="12"/>
  <c r="G2" i="12"/>
  <c r="G26" i="12"/>
  <c r="C2" i="12"/>
  <c r="V31" i="10"/>
  <c r="W31" i="10"/>
  <c r="X31" i="10"/>
  <c r="Y31" i="10"/>
  <c r="V32" i="10"/>
  <c r="W32" i="10"/>
  <c r="X32" i="10"/>
  <c r="Y32" i="10"/>
  <c r="V34" i="10"/>
  <c r="W34" i="10"/>
  <c r="X34" i="10"/>
  <c r="Y34" i="10"/>
  <c r="V35" i="10"/>
  <c r="W35" i="10"/>
  <c r="X35" i="10"/>
  <c r="Y35" i="10"/>
  <c r="V36" i="10"/>
  <c r="W36" i="10"/>
  <c r="X36" i="10"/>
  <c r="Y36" i="10"/>
  <c r="V37" i="10"/>
  <c r="W37" i="10"/>
  <c r="X37" i="10"/>
  <c r="Y37" i="10"/>
  <c r="V39" i="10"/>
  <c r="W39" i="10"/>
  <c r="X39" i="10"/>
  <c r="Y39" i="10"/>
  <c r="V40" i="10"/>
  <c r="W40" i="10"/>
  <c r="X40" i="10"/>
  <c r="Y40" i="10"/>
  <c r="V41" i="10"/>
  <c r="W41" i="10"/>
  <c r="X41" i="10"/>
  <c r="Y41" i="10"/>
  <c r="V42" i="10"/>
  <c r="W42" i="10"/>
  <c r="X42" i="10"/>
  <c r="Y42" i="10"/>
  <c r="W30" i="10"/>
  <c r="X30" i="10"/>
  <c r="Y30" i="10"/>
  <c r="V30" i="10"/>
  <c r="V20" i="10"/>
  <c r="W20" i="10"/>
  <c r="X20" i="10"/>
  <c r="Y20" i="10"/>
  <c r="V21" i="10"/>
  <c r="W21" i="10"/>
  <c r="X21" i="10"/>
  <c r="Y21" i="10"/>
  <c r="V23" i="10"/>
  <c r="W23" i="10"/>
  <c r="X23" i="10"/>
  <c r="Y23" i="10"/>
  <c r="V24" i="10"/>
  <c r="W24" i="10"/>
  <c r="X24" i="10"/>
  <c r="Y24" i="10"/>
  <c r="V26" i="10"/>
  <c r="W26" i="10"/>
  <c r="X26" i="10"/>
  <c r="Y26" i="10"/>
  <c r="W19" i="10"/>
  <c r="X19" i="10"/>
  <c r="Y19" i="10"/>
  <c r="V19" i="10"/>
  <c r="W16" i="10"/>
  <c r="V7" i="10"/>
  <c r="W7" i="10"/>
  <c r="X7" i="10"/>
  <c r="Y7" i="10"/>
  <c r="V8" i="10"/>
  <c r="W8" i="10"/>
  <c r="X8" i="10"/>
  <c r="Y8" i="10"/>
  <c r="V9" i="10"/>
  <c r="W9" i="10"/>
  <c r="X9" i="10"/>
  <c r="Y9" i="10"/>
  <c r="V11" i="10"/>
  <c r="W11" i="10"/>
  <c r="X11" i="10"/>
  <c r="Y11" i="10"/>
  <c r="V12" i="10"/>
  <c r="W12" i="10"/>
  <c r="X12" i="10"/>
  <c r="Y12" i="10"/>
  <c r="V13" i="10"/>
  <c r="W13" i="10"/>
  <c r="X13" i="10"/>
  <c r="Y13" i="10"/>
  <c r="V14" i="10"/>
  <c r="W14" i="10"/>
  <c r="X14" i="10"/>
  <c r="Y14" i="10"/>
  <c r="V16" i="10"/>
  <c r="X16" i="10"/>
  <c r="Y16" i="10"/>
  <c r="W6" i="10"/>
  <c r="X6" i="10"/>
  <c r="Y6" i="10"/>
  <c r="V6" i="10"/>
  <c r="O6" i="10"/>
  <c r="P30" i="10"/>
  <c r="Q30" i="10"/>
  <c r="R30" i="10"/>
  <c r="S30" i="10"/>
  <c r="P31" i="10"/>
  <c r="Q31" i="10"/>
  <c r="R31" i="10"/>
  <c r="S31" i="10"/>
  <c r="P32" i="10"/>
  <c r="Q32" i="10"/>
  <c r="R32" i="10"/>
  <c r="S32" i="10"/>
  <c r="P34" i="10"/>
  <c r="Q34" i="10"/>
  <c r="R34" i="10"/>
  <c r="S34" i="10"/>
  <c r="P35" i="10"/>
  <c r="Q35" i="10"/>
  <c r="R35" i="10"/>
  <c r="S35" i="10"/>
  <c r="P36" i="10"/>
  <c r="Q36" i="10"/>
  <c r="R36" i="10"/>
  <c r="S36" i="10"/>
  <c r="P37" i="10"/>
  <c r="Q37" i="10"/>
  <c r="R37" i="10"/>
  <c r="S37" i="10"/>
  <c r="P39" i="10"/>
  <c r="Q39" i="10"/>
  <c r="R39" i="10"/>
  <c r="S39" i="10"/>
  <c r="P40" i="10"/>
  <c r="Q40" i="10"/>
  <c r="R40" i="10"/>
  <c r="S40" i="10"/>
  <c r="P41" i="10"/>
  <c r="Q41" i="10"/>
  <c r="R41" i="10"/>
  <c r="S41" i="10"/>
  <c r="P42" i="10"/>
  <c r="Q42" i="10"/>
  <c r="R42" i="10"/>
  <c r="S42" i="10"/>
  <c r="O31" i="10"/>
  <c r="O32" i="10"/>
  <c r="O34" i="10"/>
  <c r="O35" i="10"/>
  <c r="O36" i="10"/>
  <c r="O37" i="10"/>
  <c r="O39" i="10"/>
  <c r="O40" i="10"/>
  <c r="O41" i="10"/>
  <c r="O42" i="10"/>
  <c r="O30" i="10"/>
  <c r="P19" i="10"/>
  <c r="Q19" i="10"/>
  <c r="R19" i="10"/>
  <c r="S19" i="10"/>
  <c r="P20" i="10"/>
  <c r="Q20" i="10"/>
  <c r="R20" i="10"/>
  <c r="S20" i="10"/>
  <c r="P21" i="10"/>
  <c r="Q21" i="10"/>
  <c r="R21" i="10"/>
  <c r="S21" i="10"/>
  <c r="P23" i="10"/>
  <c r="Q23" i="10"/>
  <c r="R23" i="10"/>
  <c r="S23" i="10"/>
  <c r="P24" i="10"/>
  <c r="Q24" i="10"/>
  <c r="R24" i="10"/>
  <c r="S24" i="10"/>
  <c r="P26" i="10"/>
  <c r="Q26" i="10"/>
  <c r="R26" i="10"/>
  <c r="S26" i="10"/>
  <c r="O20" i="10"/>
  <c r="O21" i="10"/>
  <c r="O23" i="10"/>
  <c r="O24" i="10"/>
  <c r="O26" i="10"/>
  <c r="O19" i="10"/>
  <c r="P6" i="10"/>
  <c r="Q6" i="10"/>
  <c r="R6" i="10"/>
  <c r="S6" i="10"/>
  <c r="P7" i="10"/>
  <c r="Q7" i="10"/>
  <c r="R7" i="10"/>
  <c r="S7" i="10"/>
  <c r="P8" i="10"/>
  <c r="Q8" i="10"/>
  <c r="R8" i="10"/>
  <c r="S8" i="10"/>
  <c r="P9" i="10"/>
  <c r="Q9" i="10"/>
  <c r="R9" i="10"/>
  <c r="S9" i="10"/>
  <c r="P10" i="10"/>
  <c r="Q10" i="10"/>
  <c r="R10" i="10"/>
  <c r="S10" i="10"/>
  <c r="P11" i="10"/>
  <c r="Q11" i="10"/>
  <c r="R11" i="10"/>
  <c r="S11" i="10"/>
  <c r="P12" i="10"/>
  <c r="Q12" i="10"/>
  <c r="R12" i="10"/>
  <c r="S12" i="10"/>
  <c r="P13" i="10"/>
  <c r="Q13" i="10"/>
  <c r="R13" i="10"/>
  <c r="S13" i="10"/>
  <c r="P14" i="10"/>
  <c r="Q14" i="10"/>
  <c r="R14" i="10"/>
  <c r="S14" i="10"/>
  <c r="P16" i="10"/>
  <c r="Q16" i="10"/>
  <c r="R16" i="10"/>
  <c r="S16" i="10"/>
  <c r="O7" i="10"/>
  <c r="O9" i="10"/>
  <c r="O10" i="10"/>
  <c r="O11" i="10"/>
  <c r="O12" i="10"/>
  <c r="O13" i="10"/>
  <c r="O14" i="10"/>
  <c r="O16" i="10"/>
  <c r="J51" i="10"/>
  <c r="J56" i="10"/>
  <c r="J61" i="10"/>
  <c r="J63" i="10"/>
  <c r="I51" i="10"/>
  <c r="I56" i="10"/>
  <c r="I61" i="10"/>
  <c r="I63" i="10"/>
  <c r="H51" i="10"/>
  <c r="H56" i="10"/>
  <c r="H61" i="10"/>
  <c r="H63" i="10"/>
  <c r="G46" i="10"/>
  <c r="G47" i="10"/>
  <c r="G48" i="10"/>
  <c r="G49" i="10"/>
  <c r="G50" i="10"/>
  <c r="G51" i="10"/>
  <c r="G53" i="10"/>
  <c r="G54" i="10"/>
  <c r="G55" i="10"/>
  <c r="G56" i="10"/>
  <c r="G58" i="10"/>
  <c r="G59" i="10"/>
  <c r="G61" i="10"/>
  <c r="G63" i="10"/>
  <c r="F46" i="10"/>
  <c r="F47" i="10"/>
  <c r="F48" i="10"/>
  <c r="F49" i="10"/>
  <c r="F50" i="10"/>
  <c r="F51" i="10"/>
  <c r="F53" i="10"/>
  <c r="F54" i="10"/>
  <c r="F55" i="10"/>
  <c r="F56" i="10"/>
  <c r="F58" i="10"/>
  <c r="F59" i="10"/>
  <c r="F61" i="10"/>
  <c r="F63" i="10"/>
  <c r="E46" i="10"/>
  <c r="E47" i="10"/>
  <c r="E48" i="10"/>
  <c r="E49" i="10"/>
  <c r="E50" i="10"/>
  <c r="E51" i="10"/>
  <c r="E53" i="10"/>
  <c r="E54" i="10"/>
  <c r="E55" i="10"/>
  <c r="E56" i="10"/>
  <c r="E58" i="10"/>
  <c r="E59" i="10"/>
  <c r="E61" i="10"/>
  <c r="E63" i="10"/>
  <c r="D46" i="10"/>
  <c r="D47" i="10"/>
  <c r="D48" i="10"/>
  <c r="D49" i="10"/>
  <c r="D50" i="10"/>
  <c r="D51" i="10"/>
  <c r="D53" i="10"/>
  <c r="D54" i="10"/>
  <c r="D55" i="10"/>
  <c r="D56" i="10"/>
  <c r="D58" i="10"/>
  <c r="D59" i="10"/>
  <c r="D61" i="10"/>
  <c r="D63" i="10"/>
  <c r="H30" i="10"/>
  <c r="I30" i="10"/>
  <c r="J30" i="10"/>
  <c r="J32" i="10"/>
  <c r="J37" i="10"/>
  <c r="J40" i="10"/>
  <c r="J42" i="10"/>
  <c r="I32" i="10"/>
  <c r="I37" i="10"/>
  <c r="I40" i="10"/>
  <c r="I42" i="10"/>
  <c r="H32" i="10"/>
  <c r="H37" i="10"/>
  <c r="H40" i="10"/>
  <c r="H42" i="10"/>
  <c r="I11" i="10"/>
  <c r="J11" i="10"/>
  <c r="H13" i="10"/>
  <c r="I13" i="10"/>
  <c r="J13" i="10"/>
  <c r="J14" i="10"/>
  <c r="J9" i="10"/>
  <c r="J16" i="10"/>
  <c r="I14" i="10"/>
  <c r="I9" i="10"/>
  <c r="I16" i="10"/>
  <c r="H14" i="10"/>
  <c r="H9" i="10"/>
  <c r="H16" i="10"/>
  <c r="C14" i="9"/>
  <c r="D14" i="9"/>
  <c r="E14" i="9"/>
  <c r="F14" i="9"/>
  <c r="C2" i="9"/>
  <c r="D2" i="9"/>
  <c r="E2" i="9"/>
  <c r="F2" i="9"/>
  <c r="C3" i="9"/>
  <c r="D3" i="9"/>
  <c r="E3" i="9"/>
  <c r="F3" i="9"/>
  <c r="B3" i="9"/>
  <c r="B2" i="9"/>
  <c r="H13" i="6"/>
  <c r="H2" i="13"/>
  <c r="I2" i="13"/>
  <c r="C18" i="7"/>
  <c r="D18" i="7"/>
  <c r="E18" i="7"/>
  <c r="F5" i="8"/>
  <c r="F4" i="8"/>
  <c r="I7" i="8"/>
  <c r="I12" i="8"/>
  <c r="I15" i="8"/>
  <c r="I17" i="8"/>
  <c r="H7" i="8"/>
  <c r="H12" i="8"/>
  <c r="H15" i="8"/>
  <c r="H17" i="8"/>
  <c r="G12" i="7"/>
  <c r="G10" i="7"/>
  <c r="H6" i="7"/>
  <c r="F8" i="7"/>
  <c r="C1" i="7"/>
  <c r="D1" i="7"/>
  <c r="E1" i="7"/>
  <c r="F1" i="7"/>
  <c r="G1" i="7"/>
  <c r="H1" i="7"/>
  <c r="I1" i="7"/>
  <c r="B1" i="7"/>
  <c r="H32" i="6"/>
  <c r="H37" i="6"/>
  <c r="H40" i="6"/>
  <c r="H42" i="6"/>
  <c r="H51" i="6"/>
  <c r="H56" i="6"/>
  <c r="H61" i="6"/>
  <c r="H63" i="6"/>
  <c r="I32" i="6"/>
  <c r="I37" i="6"/>
  <c r="I40" i="6"/>
  <c r="I42" i="6"/>
  <c r="I51" i="6"/>
  <c r="I56" i="6"/>
  <c r="I61" i="6"/>
  <c r="I63" i="6"/>
  <c r="J32" i="6"/>
  <c r="J37" i="6"/>
  <c r="J40" i="6"/>
  <c r="J42" i="6"/>
  <c r="J51" i="6"/>
  <c r="J56" i="6"/>
  <c r="J61" i="6"/>
  <c r="J63" i="6"/>
  <c r="H9" i="6"/>
  <c r="I9" i="6"/>
  <c r="J9" i="6"/>
  <c r="D46" i="6"/>
  <c r="E46" i="6"/>
  <c r="F46" i="6"/>
  <c r="D47" i="6"/>
  <c r="E47" i="6"/>
  <c r="F47" i="6"/>
  <c r="G47" i="6"/>
  <c r="D48" i="6"/>
  <c r="D49" i="6"/>
  <c r="D50" i="6"/>
  <c r="D51" i="6"/>
  <c r="D53" i="6"/>
  <c r="D54" i="6"/>
  <c r="D55" i="6"/>
  <c r="D56" i="6"/>
  <c r="D58" i="6"/>
  <c r="C9" i="9"/>
  <c r="D59" i="6"/>
  <c r="C10" i="9"/>
  <c r="D61" i="6"/>
  <c r="D63" i="6"/>
  <c r="E48" i="6"/>
  <c r="E49" i="6"/>
  <c r="E50" i="6"/>
  <c r="E51" i="6"/>
  <c r="E53" i="6"/>
  <c r="E54" i="6"/>
  <c r="E55" i="6"/>
  <c r="E56" i="6"/>
  <c r="E58" i="6"/>
  <c r="D9" i="9"/>
  <c r="E59" i="6"/>
  <c r="D10" i="9"/>
  <c r="E61" i="6"/>
  <c r="E63" i="6"/>
  <c r="F48" i="6"/>
  <c r="G48" i="6"/>
  <c r="F49" i="6"/>
  <c r="G49" i="6"/>
  <c r="F50" i="6"/>
  <c r="G50" i="6"/>
  <c r="F51" i="6"/>
  <c r="G51" i="6"/>
  <c r="F53" i="6"/>
  <c r="G53" i="6"/>
  <c r="F54" i="6"/>
  <c r="G54" i="6"/>
  <c r="F55" i="6"/>
  <c r="G55" i="6"/>
  <c r="F56" i="6"/>
  <c r="G56" i="6"/>
  <c r="F58" i="6"/>
  <c r="E9" i="9"/>
  <c r="G58" i="6"/>
  <c r="F9" i="9"/>
  <c r="F59" i="6"/>
  <c r="E10" i="9"/>
  <c r="G59" i="6"/>
  <c r="F10" i="9"/>
  <c r="F61" i="6"/>
  <c r="G61" i="6"/>
  <c r="F63" i="6"/>
  <c r="G63" i="6"/>
  <c r="F9" i="7"/>
  <c r="G9" i="7"/>
  <c r="H14" i="6"/>
  <c r="H16" i="6"/>
  <c r="I13" i="6"/>
  <c r="B4" i="9"/>
  <c r="B7" i="9"/>
  <c r="G22" i="11"/>
  <c r="G10" i="9"/>
  <c r="F4" i="9"/>
  <c r="E4" i="9"/>
  <c r="D4" i="9"/>
  <c r="F17" i="9"/>
  <c r="G16" i="12"/>
  <c r="F16" i="9"/>
  <c r="E17" i="9"/>
  <c r="F16" i="12"/>
  <c r="E16" i="9"/>
  <c r="D16" i="9"/>
  <c r="C17" i="9"/>
  <c r="D16" i="12"/>
  <c r="C26" i="12"/>
  <c r="C25" i="12"/>
  <c r="G12" i="12"/>
  <c r="G31" i="12"/>
  <c r="F12" i="12"/>
  <c r="F31" i="12"/>
  <c r="E12" i="12"/>
  <c r="E31" i="12"/>
  <c r="D12" i="12"/>
  <c r="D31" i="12"/>
  <c r="D17" i="12"/>
  <c r="G17" i="12"/>
  <c r="F17" i="12"/>
  <c r="G32" i="12"/>
  <c r="F32" i="12"/>
  <c r="E32" i="12"/>
  <c r="D32" i="12"/>
  <c r="C24" i="12"/>
  <c r="C34" i="12"/>
  <c r="C30" i="12"/>
  <c r="C35" i="12"/>
  <c r="B5" i="13"/>
  <c r="B8" i="13"/>
  <c r="E5" i="13"/>
  <c r="D5" i="13"/>
  <c r="C5" i="13"/>
  <c r="E8" i="13"/>
  <c r="D8" i="13"/>
  <c r="C8" i="13"/>
  <c r="H18" i="7"/>
  <c r="G21" i="7"/>
  <c r="G15" i="11"/>
  <c r="H10" i="11"/>
  <c r="G25" i="11"/>
  <c r="G31" i="11"/>
  <c r="G36" i="11"/>
  <c r="G39" i="11"/>
  <c r="G41" i="11"/>
  <c r="H29" i="11"/>
  <c r="H12" i="7"/>
  <c r="H9" i="7"/>
  <c r="G8" i="7"/>
  <c r="G7" i="7"/>
  <c r="G4" i="8"/>
  <c r="G3" i="8"/>
  <c r="G6" i="8"/>
  <c r="G7" i="8"/>
  <c r="G12" i="8"/>
  <c r="G15" i="8"/>
  <c r="G17" i="8"/>
  <c r="C4" i="12"/>
  <c r="C23" i="12"/>
  <c r="G4" i="12"/>
  <c r="G25" i="12"/>
  <c r="F4" i="12"/>
  <c r="F25" i="12"/>
  <c r="F26" i="12"/>
  <c r="E4" i="12"/>
  <c r="E25" i="12"/>
  <c r="E26" i="12"/>
  <c r="D4" i="12"/>
  <c r="D25" i="12"/>
  <c r="D26" i="12"/>
  <c r="C12" i="12"/>
  <c r="C31" i="12"/>
  <c r="C32" i="12"/>
  <c r="D18" i="12"/>
  <c r="D19" i="12"/>
  <c r="D30" i="12"/>
  <c r="G18" i="12"/>
  <c r="F18" i="12"/>
  <c r="C4" i="9"/>
  <c r="C16" i="9"/>
  <c r="F19" i="12"/>
  <c r="G19" i="12"/>
  <c r="I18" i="7"/>
  <c r="I21" i="7"/>
  <c r="H21" i="7"/>
  <c r="C37" i="12"/>
  <c r="B10" i="13"/>
  <c r="B12" i="13"/>
  <c r="E12" i="9"/>
  <c r="D7" i="9"/>
  <c r="D6" i="9"/>
  <c r="F12" i="9"/>
  <c r="G14" i="9"/>
  <c r="E7" i="9"/>
  <c r="E6" i="9"/>
  <c r="G12" i="9"/>
  <c r="F7" i="9"/>
  <c r="F6" i="9"/>
  <c r="C12" i="9"/>
  <c r="B6" i="9"/>
  <c r="J13" i="6"/>
  <c r="J14" i="6"/>
  <c r="J16" i="6"/>
  <c r="I14" i="6"/>
  <c r="I16" i="6"/>
  <c r="H31" i="11"/>
  <c r="H36" i="11"/>
  <c r="H39" i="11"/>
  <c r="H41" i="11"/>
  <c r="I29" i="11"/>
  <c r="I31" i="11"/>
  <c r="I36" i="11"/>
  <c r="I39" i="11"/>
  <c r="I41" i="11"/>
  <c r="H13" i="11"/>
  <c r="H15" i="11"/>
  <c r="I10" i="11"/>
  <c r="I13" i="11"/>
  <c r="I15" i="11"/>
  <c r="H10" i="7"/>
  <c r="I6" i="7"/>
  <c r="I12" i="7"/>
  <c r="I10" i="7"/>
  <c r="I9" i="7"/>
  <c r="I8" i="7"/>
  <c r="I7" i="7"/>
  <c r="H8" i="7"/>
  <c r="H7" i="7"/>
  <c r="D17" i="9"/>
  <c r="E16" i="12"/>
  <c r="D12" i="9"/>
  <c r="C7" i="9"/>
  <c r="C6" i="9"/>
  <c r="G6" i="9"/>
  <c r="G4" i="9"/>
  <c r="G21" i="12"/>
  <c r="G30" i="12"/>
  <c r="G35" i="12"/>
  <c r="F21" i="12"/>
  <c r="F30" i="12"/>
  <c r="F35" i="12"/>
  <c r="D21" i="12"/>
  <c r="D35" i="12"/>
  <c r="H6" i="9"/>
  <c r="I6" i="9"/>
  <c r="G7" i="9"/>
  <c r="G3" i="9"/>
  <c r="H7" i="9"/>
  <c r="I7" i="9"/>
  <c r="E17" i="12"/>
  <c r="E18" i="12"/>
  <c r="E19" i="12"/>
  <c r="H23" i="6"/>
  <c r="H23" i="10"/>
  <c r="F23" i="12"/>
  <c r="F24" i="12"/>
  <c r="F34" i="12"/>
  <c r="F37" i="12"/>
  <c r="E10" i="13"/>
  <c r="E12" i="13"/>
  <c r="G23" i="12"/>
  <c r="G24" i="12"/>
  <c r="G34" i="12"/>
  <c r="G37" i="12"/>
  <c r="F10" i="13"/>
  <c r="F12" i="13"/>
  <c r="G2" i="9"/>
  <c r="D23" i="12"/>
  <c r="D24" i="12"/>
  <c r="D34" i="12"/>
  <c r="D37" i="12"/>
  <c r="C10" i="13"/>
  <c r="C12" i="13"/>
  <c r="H20" i="6"/>
  <c r="H21" i="6"/>
  <c r="H22" i="11"/>
  <c r="H25" i="11"/>
  <c r="H20" i="10"/>
  <c r="H21" i="10"/>
  <c r="H10" i="9"/>
  <c r="H12" i="9"/>
  <c r="H26" i="10"/>
  <c r="H26" i="6"/>
  <c r="E21" i="12"/>
  <c r="E30" i="12"/>
  <c r="E35" i="12"/>
  <c r="E23" i="12"/>
  <c r="E24" i="12"/>
  <c r="E34" i="12"/>
  <c r="E37" i="12"/>
  <c r="D10" i="13"/>
  <c r="D12" i="13"/>
  <c r="H4" i="9"/>
  <c r="H2" i="9"/>
  <c r="H3" i="9"/>
  <c r="I23" i="6"/>
  <c r="I23" i="10"/>
  <c r="I22" i="11"/>
  <c r="I25" i="11"/>
  <c r="I20" i="10"/>
  <c r="I21" i="10"/>
  <c r="I10" i="9"/>
  <c r="I12" i="9"/>
  <c r="I4" i="9"/>
  <c r="I20" i="6"/>
  <c r="I21" i="6"/>
  <c r="I3" i="9"/>
  <c r="I2" i="9"/>
  <c r="I26" i="10"/>
  <c r="I26" i="6"/>
  <c r="J20" i="6"/>
  <c r="J21" i="6"/>
  <c r="J20" i="10"/>
  <c r="J21" i="10"/>
  <c r="J23" i="6"/>
  <c r="J26" i="6"/>
  <c r="J23" i="10"/>
  <c r="J26" i="10"/>
</calcChain>
</file>

<file path=xl/sharedStrings.xml><?xml version="1.0" encoding="utf-8"?>
<sst xmlns="http://schemas.openxmlformats.org/spreadsheetml/2006/main" count="322" uniqueCount="151">
  <si>
    <t>Ceres exhibits</t>
  </si>
  <si>
    <t>Exhibit 2 - Balance Sheet</t>
  </si>
  <si>
    <t>At December 31</t>
  </si>
  <si>
    <t>2006E</t>
  </si>
  <si>
    <t>2007F</t>
  </si>
  <si>
    <t>2008F</t>
  </si>
  <si>
    <t>2009F</t>
  </si>
  <si>
    <t>Assets</t>
  </si>
  <si>
    <t>Cash</t>
  </si>
  <si>
    <t>Accounts Receivable</t>
  </si>
  <si>
    <t>Inventories</t>
  </si>
  <si>
    <t>Current Assets</t>
  </si>
  <si>
    <t>Plant, Property, &amp; Equipment (net)</t>
  </si>
  <si>
    <t>Queda constante por estoy reinvirtiendo lo que se deprecia</t>
  </si>
  <si>
    <t>Other Assets</t>
  </si>
  <si>
    <t>Land</t>
  </si>
  <si>
    <t>El terreno no se deprecia y no necesito reinversion</t>
  </si>
  <si>
    <t>Non-Current Assets</t>
  </si>
  <si>
    <t>Total Assets</t>
  </si>
  <si>
    <t>Liabilities &amp; Shareholders Equity</t>
  </si>
  <si>
    <t>Accounts Payable</t>
  </si>
  <si>
    <t>Current Portion of Long-term Debt</t>
  </si>
  <si>
    <t>Current Liabilities</t>
  </si>
  <si>
    <t>Long-Term Debt</t>
  </si>
  <si>
    <t xml:space="preserve">Shareholders Equity </t>
  </si>
  <si>
    <t>Total Liabilities &amp; Shareholders Equity</t>
  </si>
  <si>
    <t>Exhibit 3 - Income Statement</t>
  </si>
  <si>
    <t>For Years Ending December 31</t>
  </si>
  <si>
    <t>Sales</t>
  </si>
  <si>
    <t>Cost of Goods Sold</t>
  </si>
  <si>
    <t>En promedio, los costos de fabricacion representan el 81,86% de las ventas</t>
  </si>
  <si>
    <t>Gross Profit</t>
  </si>
  <si>
    <t>General &amp; Administrative Expense</t>
  </si>
  <si>
    <t>Research &amp; Development</t>
  </si>
  <si>
    <t>Depreciation &amp; Amortization</t>
  </si>
  <si>
    <t>Earnings before Interest &amp; Taxes</t>
  </si>
  <si>
    <t>Interest</t>
  </si>
  <si>
    <t>Earnings before Taxes</t>
  </si>
  <si>
    <t>Taxes</t>
  </si>
  <si>
    <t>Net Income</t>
  </si>
  <si>
    <t>Derived Statement of Cash Flows</t>
  </si>
  <si>
    <t>Change in Accounts Receivable</t>
  </si>
  <si>
    <t>Change in Inventories</t>
  </si>
  <si>
    <t>Change in Accounts Payable</t>
  </si>
  <si>
    <t>Operating Cash Flow</t>
  </si>
  <si>
    <t>Investment in PP&amp;E</t>
  </si>
  <si>
    <t>Investment in Other Assets</t>
  </si>
  <si>
    <t>Investment in Land</t>
  </si>
  <si>
    <t>Investing Cash Flow</t>
  </si>
  <si>
    <t>Debt Issuance</t>
  </si>
  <si>
    <t>Retirement of Debt</t>
  </si>
  <si>
    <t>Dividends</t>
  </si>
  <si>
    <t>Financing Cash Flow</t>
  </si>
  <si>
    <t>Change in Cash</t>
  </si>
  <si>
    <t>PPyE</t>
  </si>
  <si>
    <t>KTNO</t>
  </si>
  <si>
    <t>CIO</t>
  </si>
  <si>
    <t>UODI</t>
  </si>
  <si>
    <t>ROIC</t>
  </si>
  <si>
    <t>WACC</t>
  </si>
  <si>
    <t>Generacion de valor</t>
  </si>
  <si>
    <t>la empresa siempre genera valor</t>
  </si>
  <si>
    <t>BG</t>
  </si>
  <si>
    <t>AC</t>
  </si>
  <si>
    <t>ALP</t>
  </si>
  <si>
    <t>AT</t>
  </si>
  <si>
    <t>PC</t>
  </si>
  <si>
    <t>PLP</t>
  </si>
  <si>
    <t>PT</t>
  </si>
  <si>
    <t>Equity</t>
  </si>
  <si>
    <t>PT + E</t>
  </si>
  <si>
    <t>ER</t>
  </si>
  <si>
    <t>Ventas</t>
  </si>
  <si>
    <t>UO</t>
  </si>
  <si>
    <t xml:space="preserve"> -Intereses CP</t>
  </si>
  <si>
    <t xml:space="preserve"> -Intereses LP</t>
  </si>
  <si>
    <t>Interes Total</t>
  </si>
  <si>
    <t>UAI</t>
  </si>
  <si>
    <t xml:space="preserve"> -Impuestos</t>
  </si>
  <si>
    <t>UN</t>
  </si>
  <si>
    <t>Rentabilidad</t>
  </si>
  <si>
    <t>ROA</t>
  </si>
  <si>
    <t>señal de menor eficiencia en el uso de los activos totales para generar ganancias.</t>
  </si>
  <si>
    <t>ROE</t>
  </si>
  <si>
    <t>refleja que la empresa está generando menos rentabilidad para sus accionistas con el paso del tiempo.</t>
  </si>
  <si>
    <t>Liquidez</t>
  </si>
  <si>
    <t>KTN</t>
  </si>
  <si>
    <t>El KTN aumenta, lo que indica mayor liquidez neta, pero la razón corriente disminuye, reflejando que los pasivos crecen más rápido que los activos corrientes en proporción, lo cual puede implicar mayor riesgo de liquidez</t>
  </si>
  <si>
    <t>Razón Corriente</t>
  </si>
  <si>
    <t>Tasa impositiva</t>
  </si>
  <si>
    <t>%D</t>
  </si>
  <si>
    <t>%Equity</t>
  </si>
  <si>
    <t>Ke</t>
  </si>
  <si>
    <t>Kd</t>
  </si>
  <si>
    <t>Analisis horizontal</t>
  </si>
  <si>
    <t>Analisis Vertical</t>
  </si>
  <si>
    <t>2003-2002</t>
  </si>
  <si>
    <t>2004-2003</t>
  </si>
  <si>
    <t>2005-2004</t>
  </si>
  <si>
    <t>2006E-2005</t>
  </si>
  <si>
    <t>Indicadores financieros</t>
  </si>
  <si>
    <t>Periodo</t>
  </si>
  <si>
    <t>Eficiencia</t>
  </si>
  <si>
    <t>Dias cxc</t>
  </si>
  <si>
    <t>Dias inventario</t>
  </si>
  <si>
    <t>Dias cxp</t>
  </si>
  <si>
    <t>Rotacion cxc</t>
  </si>
  <si>
    <t>Rotacion inventario</t>
  </si>
  <si>
    <t>Rotacion cxp</t>
  </si>
  <si>
    <t>Ciclo de operacion</t>
  </si>
  <si>
    <t>Ciclo de efectivo</t>
  </si>
  <si>
    <t>Rotacion activo total</t>
  </si>
  <si>
    <t>Rotacion Activo fijo</t>
  </si>
  <si>
    <t>Razon corriente</t>
  </si>
  <si>
    <t>Prueba acida</t>
  </si>
  <si>
    <t>PKT</t>
  </si>
  <si>
    <t>Prueba defensiva</t>
  </si>
  <si>
    <t>Margen bruto</t>
  </si>
  <si>
    <t>Margen operativo</t>
  </si>
  <si>
    <t>Margen neto</t>
  </si>
  <si>
    <t>Tasa efectiva de impuestos</t>
  </si>
  <si>
    <t>Deuda CP</t>
  </si>
  <si>
    <t>Deuda LP</t>
  </si>
  <si>
    <t>Deuda Total</t>
  </si>
  <si>
    <t>%Deuda CP</t>
  </si>
  <si>
    <t>%Deuda LP</t>
  </si>
  <si>
    <t>Nueva Deuda</t>
  </si>
  <si>
    <t>Abono a K</t>
  </si>
  <si>
    <t>Misma Deuda Total</t>
  </si>
  <si>
    <t>Intereses</t>
  </si>
  <si>
    <t>Tasa de interes Forma 1</t>
  </si>
  <si>
    <t>Tasa de interes Forma 2</t>
  </si>
  <si>
    <t>Tiene mas sentido esta forma porque es el interes sobre el saldo anterior</t>
  </si>
  <si>
    <t>Distribuidor</t>
  </si>
  <si>
    <t>Directo</t>
  </si>
  <si>
    <t>Crecimiento Ventas</t>
  </si>
  <si>
    <t>Proyeccion calculada utilizando un modelo de Holt con tendencia amortiguada</t>
  </si>
  <si>
    <t>Ventas al dirstribuidor</t>
  </si>
  <si>
    <t>Porcentaje sobre las ventas totales</t>
  </si>
  <si>
    <t>Inventario inicial del distribuidor</t>
  </si>
  <si>
    <t>Venta de Ceres al distribuidor</t>
  </si>
  <si>
    <t>Inventario Total del año</t>
  </si>
  <si>
    <t>Venta realizada por el distribuidor</t>
  </si>
  <si>
    <t>Inventario Final</t>
  </si>
  <si>
    <t>Inventario final objetivo</t>
  </si>
  <si>
    <t>CMV</t>
  </si>
  <si>
    <t>Margen Bruto</t>
  </si>
  <si>
    <t>Activos Fijos</t>
  </si>
  <si>
    <t>Porcentaje de depreciacion</t>
  </si>
  <si>
    <t>Es constante porque la proporcion se cumple asi haya reinversion</t>
  </si>
  <si>
    <t>Depreciacion Proyectada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</si>
</sst>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 #,##0.00_-;\-&quot;$&quot;\ * #,##0.00_-;_-&quot;$&quot;\ * &quot;-&quot;??_-;_-@_-"/>
    <numFmt numFmtId="43" formatCode="_-* #,##0.00_-;\-* #,##0.00_-;_-* &quot;-&quot;??_-;_-@_-"/>
    <numFmt numFmtId="164" formatCode="_(&quot;$&quot;* #,##0_);_(&quot;$&quot;* \(#,##0\);_(&quot;$&quot;* &quot;-&quot;_);_(@_)"/>
    <numFmt numFmtId="165" formatCode="_(&quot;$&quot;* #,##0.00_);_(&quot;$&quot;* \(#,##0.00\);_(&quot;$&quot;* &quot;-&quot;??_);_(@_)"/>
    <numFmt numFmtId="166" formatCode="_(* #,##0.00_);_(* \(#,##0.00\);_(* &quot;-&quot;??_);_(@_)"/>
    <numFmt numFmtId="167" formatCode="_(* #,##0_);_(* \(#,##0\);_(* &quot;-&quot;??_);_(@_)"/>
    <numFmt numFmtId="168" formatCode="0.0%"/>
    <numFmt numFmtId="169" formatCode="_(&quot;$&quot;* #,##0.000_);_(&quot;$&quot;* \(#,##0.000\);_(&quot;$&quot;* &quot;-&quot;??_);_(@_)"/>
    <numFmt numFmtId="170" formatCode="#,##0.00\ &quot;€&quot;"/>
    <numFmt numFmtId="171" formatCode="#,##0\ &quot;€&quot;"/>
    <numFmt numFmtId="172" formatCode="0.0"/>
    <numFmt numFmtId="173" formatCode="_(* #,##0.0000_);_(* \(#,##0.0000\);_(* &quot;-&quot;??_);_(@_)"/>
    <numFmt numFmtId="174" formatCode="_(* #,##0.0000000_);_(* \(#,##0.0000000\);_(* &quot;-&quot;??_);_(@_)"/>
  </numFmts>
  <fonts count="19" x14ac:knownFonts="1">
    <font>
      <sz val="10"/>
      <name val="Arial"/>
    </font>
    <font>
      <sz val="10"/>
      <name val="Arial"/>
      <family val="2"/>
    </font>
    <font>
      <b/>
      <u/>
      <sz val="9"/>
      <name val="Verdana"/>
      <family val="2"/>
    </font>
    <font>
      <sz val="9"/>
      <name val="Verdana"/>
      <family val="2"/>
    </font>
    <font>
      <b/>
      <i/>
      <sz val="9"/>
      <name val="Verdana"/>
      <family val="2"/>
    </font>
    <font>
      <b/>
      <sz val="9"/>
      <color indexed="8"/>
      <name val="Verdana"/>
      <family val="2"/>
    </font>
    <font>
      <b/>
      <sz val="9"/>
      <name val="Verdana"/>
      <family val="2"/>
    </font>
    <font>
      <sz val="9"/>
      <color indexed="8"/>
      <name val="Verdana"/>
      <family val="2"/>
    </font>
    <font>
      <sz val="11"/>
      <color indexed="8"/>
      <name val="Calibri"/>
      <family val="2"/>
    </font>
    <font>
      <sz val="11"/>
      <color indexed="60"/>
      <name val="Calibri"/>
      <family val="2"/>
    </font>
    <font>
      <b/>
      <sz val="11"/>
      <color indexed="8"/>
      <name val="Calibri"/>
      <family val="2"/>
    </font>
    <font>
      <sz val="8"/>
      <name val="Arial"/>
      <family val="2"/>
    </font>
    <font>
      <b/>
      <sz val="9"/>
      <color indexed="9"/>
      <name val="Verdana"/>
      <family val="2"/>
    </font>
    <font>
      <sz val="11"/>
      <color indexed="8"/>
      <name val="Verdana"/>
      <family val="2"/>
    </font>
    <font>
      <sz val="12"/>
      <color rgb="FF000000"/>
      <name val="Aptos Narrow"/>
      <family val="2"/>
      <charset val="1"/>
    </font>
    <font>
      <sz val="10"/>
      <color rgb="FF000000"/>
      <name val="Arial"/>
      <family val="2"/>
    </font>
    <font>
      <b/>
      <sz val="10"/>
      <name val="Arial"/>
      <family val="2"/>
    </font>
    <font>
      <b/>
      <sz val="10"/>
      <color rgb="FF000000"/>
      <name val="Arial"/>
      <family val="2"/>
    </font>
    <font>
      <sz val="11"/>
      <color rgb="FF000000"/>
      <name val="Calibri"/>
      <family val="2"/>
    </font>
  </fonts>
  <fills count="11">
    <fill>
      <patternFill patternType="none"/>
    </fill>
    <fill>
      <patternFill patternType="gray125"/>
    </fill>
    <fill>
      <patternFill patternType="solid">
        <fgColor indexed="43"/>
      </patternFill>
    </fill>
    <fill>
      <patternFill patternType="solid">
        <fgColor indexed="22"/>
        <bgColor indexed="64"/>
      </patternFill>
    </fill>
    <fill>
      <patternFill patternType="solid">
        <fgColor indexed="8"/>
        <bgColor indexed="64"/>
      </patternFill>
    </fill>
    <fill>
      <patternFill patternType="solid">
        <fgColor indexed="44"/>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6" tint="0.79998168889431442"/>
        <bgColor indexed="64"/>
      </patternFill>
    </fill>
  </fills>
  <borders count="11">
    <border>
      <left/>
      <right/>
      <top/>
      <bottom/>
      <diagonal/>
    </border>
    <border>
      <left/>
      <right/>
      <top style="thin">
        <color indexed="62"/>
      </top>
      <bottom style="double">
        <color indexed="62"/>
      </bottom>
      <diagonal/>
    </border>
    <border>
      <left/>
      <right style="thick">
        <color indexed="9"/>
      </right>
      <top style="thick">
        <color indexed="9"/>
      </top>
      <bottom style="thick">
        <color indexed="9"/>
      </bottom>
      <diagonal/>
    </border>
    <border>
      <left style="thick">
        <color indexed="9"/>
      </left>
      <right style="thick">
        <color indexed="9"/>
      </right>
      <top style="thick">
        <color indexed="9"/>
      </top>
      <bottom style="thick">
        <color indexed="9"/>
      </bottom>
      <diagonal/>
    </border>
    <border>
      <left style="thick">
        <color indexed="9"/>
      </left>
      <right/>
      <top style="thick">
        <color indexed="9"/>
      </top>
      <bottom style="thick">
        <color indexed="9"/>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top/>
      <bottom style="thick">
        <color indexed="9"/>
      </bottom>
      <diagonal/>
    </border>
    <border>
      <left/>
      <right/>
      <top style="thick">
        <color indexed="9"/>
      </top>
      <bottom style="thick">
        <color indexed="9"/>
      </bottom>
      <diagonal/>
    </border>
    <border>
      <left/>
      <right/>
      <top/>
      <bottom style="thin">
        <color rgb="FF000000"/>
      </bottom>
      <diagonal/>
    </border>
  </borders>
  <cellStyleXfs count="9">
    <xf numFmtId="0" fontId="0" fillId="0" borderId="0"/>
    <xf numFmtId="166"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9" fillId="2" borderId="0" applyNumberFormat="0" applyBorder="0" applyAlignment="0" applyProtection="0"/>
    <xf numFmtId="0" fontId="1" fillId="0" borderId="0"/>
    <xf numFmtId="0" fontId="8" fillId="0" borderId="0"/>
    <xf numFmtId="9" fontId="1" fillId="0" borderId="0" applyFont="0" applyFill="0" applyBorder="0" applyAlignment="0" applyProtection="0"/>
    <xf numFmtId="0" fontId="10" fillId="0" borderId="1" applyNumberFormat="0" applyFill="0" applyAlignment="0" applyProtection="0"/>
  </cellStyleXfs>
  <cellXfs count="79">
    <xf numFmtId="0" fontId="0" fillId="0" borderId="0" xfId="0"/>
    <xf numFmtId="0" fontId="2" fillId="0" borderId="0" xfId="5" applyFont="1" applyAlignment="1">
      <alignment vertical="center"/>
    </xf>
    <xf numFmtId="0" fontId="3" fillId="0" borderId="0" xfId="5" applyFont="1" applyAlignment="1">
      <alignment vertical="center"/>
    </xf>
    <xf numFmtId="166" fontId="3" fillId="0" borderId="0" xfId="5" applyNumberFormat="1" applyFont="1" applyAlignment="1">
      <alignment vertical="center"/>
    </xf>
    <xf numFmtId="0" fontId="4" fillId="0" borderId="0" xfId="5" applyFont="1" applyAlignment="1">
      <alignment vertical="center"/>
    </xf>
    <xf numFmtId="0" fontId="5" fillId="3" borderId="2" xfId="5" applyFont="1" applyFill="1" applyBorder="1" applyAlignment="1">
      <alignment horizontal="centerContinuous" vertical="center" wrapText="1"/>
    </xf>
    <xf numFmtId="0" fontId="5" fillId="3" borderId="3" xfId="5" applyFont="1" applyFill="1" applyBorder="1" applyAlignment="1">
      <alignment horizontal="centerContinuous" vertical="center" wrapText="1"/>
    </xf>
    <xf numFmtId="0" fontId="5" fillId="3" borderId="4" xfId="5" applyFont="1" applyFill="1" applyBorder="1" applyAlignment="1">
      <alignment horizontal="centerContinuous" vertical="center" wrapText="1"/>
    </xf>
    <xf numFmtId="0" fontId="6" fillId="0" borderId="0" xfId="5" applyFont="1" applyAlignment="1">
      <alignment vertical="center"/>
    </xf>
    <xf numFmtId="0" fontId="3" fillId="0" borderId="0" xfId="5" applyFont="1" applyAlignment="1">
      <alignment horizontal="left" vertical="center" indent="1"/>
    </xf>
    <xf numFmtId="167" fontId="3" fillId="0" borderId="0" xfId="1" applyNumberFormat="1" applyFont="1" applyAlignment="1">
      <alignment horizontal="center" vertical="center"/>
    </xf>
    <xf numFmtId="167" fontId="3" fillId="0" borderId="0" xfId="5" applyNumberFormat="1" applyFont="1" applyAlignment="1">
      <alignment vertical="center"/>
    </xf>
    <xf numFmtId="167" fontId="6" fillId="0" borderId="5" xfId="5" applyNumberFormat="1" applyFont="1" applyBorder="1" applyAlignment="1">
      <alignment vertical="center"/>
    </xf>
    <xf numFmtId="167" fontId="6" fillId="0" borderId="0" xfId="5" applyNumberFormat="1" applyFont="1" applyAlignment="1">
      <alignment vertical="center"/>
    </xf>
    <xf numFmtId="167" fontId="3" fillId="0" borderId="6" xfId="1" applyNumberFormat="1" applyFont="1" applyBorder="1" applyAlignment="1">
      <alignment horizontal="center" vertical="center"/>
    </xf>
    <xf numFmtId="167" fontId="6" fillId="0" borderId="0" xfId="1" applyNumberFormat="1" applyFont="1" applyAlignment="1">
      <alignment horizontal="center" vertical="center"/>
    </xf>
    <xf numFmtId="167" fontId="6" fillId="0" borderId="7" xfId="5" applyNumberFormat="1" applyFont="1" applyBorder="1" applyAlignment="1">
      <alignment vertical="center"/>
    </xf>
    <xf numFmtId="0" fontId="3" fillId="0" borderId="6" xfId="5" applyFont="1" applyBorder="1" applyAlignment="1">
      <alignment horizontal="left" vertical="center" indent="1"/>
    </xf>
    <xf numFmtId="0" fontId="3" fillId="0" borderId="6" xfId="5" applyFont="1" applyBorder="1" applyAlignment="1">
      <alignment vertical="center"/>
    </xf>
    <xf numFmtId="167" fontId="3" fillId="0" borderId="6" xfId="5" applyNumberFormat="1" applyFont="1" applyBorder="1" applyAlignment="1">
      <alignment vertical="center"/>
    </xf>
    <xf numFmtId="0" fontId="6" fillId="0" borderId="5" xfId="5" applyFont="1" applyBorder="1" applyAlignment="1">
      <alignment vertical="center"/>
    </xf>
    <xf numFmtId="0" fontId="3" fillId="0" borderId="5" xfId="5" applyFont="1" applyBorder="1" applyAlignment="1">
      <alignment vertical="center"/>
    </xf>
    <xf numFmtId="0" fontId="12" fillId="4" borderId="0" xfId="5" applyFont="1" applyFill="1" applyAlignment="1">
      <alignment vertical="center"/>
    </xf>
    <xf numFmtId="0" fontId="7" fillId="0" borderId="0" xfId="6" applyFont="1"/>
    <xf numFmtId="168" fontId="3" fillId="0" borderId="0" xfId="7" applyNumberFormat="1" applyFont="1" applyAlignment="1">
      <alignment vertical="center"/>
    </xf>
    <xf numFmtId="0" fontId="7" fillId="0" borderId="0" xfId="6" applyFont="1" applyAlignment="1">
      <alignment horizontal="left" indent="1"/>
    </xf>
    <xf numFmtId="0" fontId="7" fillId="0" borderId="6" xfId="6" applyFont="1" applyBorder="1" applyAlignment="1">
      <alignment horizontal="left" indent="1"/>
    </xf>
    <xf numFmtId="169" fontId="3" fillId="0" borderId="0" xfId="2" applyNumberFormat="1" applyFont="1" applyAlignment="1">
      <alignment vertical="center"/>
    </xf>
    <xf numFmtId="0" fontId="8" fillId="0" borderId="0" xfId="6"/>
    <xf numFmtId="0" fontId="13" fillId="0" borderId="0" xfId="6" applyFont="1"/>
    <xf numFmtId="0" fontId="5" fillId="5" borderId="3" xfId="5" applyFont="1" applyFill="1" applyBorder="1" applyAlignment="1">
      <alignment horizontal="centerContinuous" vertical="center" wrapText="1"/>
    </xf>
    <xf numFmtId="0" fontId="5" fillId="5" borderId="4" xfId="5" applyFont="1" applyFill="1" applyBorder="1" applyAlignment="1">
      <alignment horizontal="centerContinuous" vertical="center" wrapText="1"/>
    </xf>
    <xf numFmtId="10" fontId="0" fillId="0" borderId="0" xfId="0" applyNumberFormat="1"/>
    <xf numFmtId="0" fontId="0" fillId="0" borderId="6" xfId="0" applyBorder="1"/>
    <xf numFmtId="9" fontId="0" fillId="0" borderId="0" xfId="0" applyNumberFormat="1"/>
    <xf numFmtId="164" fontId="0" fillId="0" borderId="0" xfId="3" applyFont="1"/>
    <xf numFmtId="164" fontId="0" fillId="0" borderId="0" xfId="0" applyNumberFormat="1"/>
    <xf numFmtId="0" fontId="0" fillId="6" borderId="0" xfId="0" applyFill="1"/>
    <xf numFmtId="164" fontId="0" fillId="6" borderId="0" xfId="0" applyNumberFormat="1" applyFill="1"/>
    <xf numFmtId="44" fontId="0" fillId="6" borderId="0" xfId="0" applyNumberFormat="1" applyFill="1"/>
    <xf numFmtId="44" fontId="0" fillId="0" borderId="0" xfId="0" applyNumberFormat="1"/>
    <xf numFmtId="10" fontId="0" fillId="0" borderId="0" xfId="7" applyNumberFormat="1" applyFont="1"/>
    <xf numFmtId="10" fontId="0" fillId="7" borderId="0" xfId="0" applyNumberFormat="1" applyFill="1"/>
    <xf numFmtId="167" fontId="3" fillId="0" borderId="0" xfId="1" applyNumberFormat="1" applyFont="1" applyAlignment="1">
      <alignment horizontal="left" vertical="center"/>
    </xf>
    <xf numFmtId="0" fontId="1" fillId="0" borderId="0" xfId="0" applyFont="1"/>
    <xf numFmtId="0" fontId="5" fillId="3" borderId="4" xfId="5" applyFont="1" applyFill="1" applyBorder="1" applyAlignment="1">
      <alignment horizontal="center" vertical="center" wrapText="1"/>
    </xf>
    <xf numFmtId="9" fontId="0" fillId="0" borderId="0" xfId="7" applyFont="1"/>
    <xf numFmtId="0" fontId="5" fillId="0" borderId="4" xfId="5" applyFont="1" applyBorder="1" applyAlignment="1">
      <alignment vertical="center" wrapText="1"/>
    </xf>
    <xf numFmtId="0" fontId="5" fillId="0" borderId="9" xfId="5" applyFont="1" applyBorder="1" applyAlignment="1">
      <alignment vertical="center" wrapText="1"/>
    </xf>
    <xf numFmtId="0" fontId="5" fillId="0" borderId="0" xfId="5" applyFont="1" applyAlignment="1">
      <alignment vertical="center" wrapText="1"/>
    </xf>
    <xf numFmtId="11" fontId="1" fillId="0" borderId="0" xfId="0" applyNumberFormat="1" applyFont="1"/>
    <xf numFmtId="0" fontId="0" fillId="0" borderId="10" xfId="0" applyBorder="1"/>
    <xf numFmtId="0" fontId="14" fillId="0" borderId="0" xfId="0" applyFont="1"/>
    <xf numFmtId="0" fontId="14" fillId="0" borderId="10" xfId="0" applyFont="1" applyBorder="1"/>
    <xf numFmtId="170" fontId="0" fillId="0" borderId="0" xfId="0" applyNumberFormat="1"/>
    <xf numFmtId="171" fontId="0" fillId="0" borderId="0" xfId="0" applyNumberFormat="1"/>
    <xf numFmtId="171" fontId="0" fillId="0" borderId="10" xfId="0" applyNumberFormat="1" applyBorder="1"/>
    <xf numFmtId="172" fontId="0" fillId="0" borderId="0" xfId="0" applyNumberFormat="1"/>
    <xf numFmtId="1" fontId="0" fillId="0" borderId="0" xfId="0" applyNumberFormat="1"/>
    <xf numFmtId="168" fontId="0" fillId="0" borderId="0" xfId="0" applyNumberFormat="1"/>
    <xf numFmtId="0" fontId="1" fillId="0" borderId="6" xfId="0" applyFont="1" applyBorder="1"/>
    <xf numFmtId="0" fontId="1" fillId="6" borderId="0" xfId="0" applyFont="1" applyFill="1"/>
    <xf numFmtId="43" fontId="0" fillId="6" borderId="0" xfId="0" applyNumberFormat="1" applyFill="1"/>
    <xf numFmtId="43" fontId="0" fillId="0" borderId="0" xfId="0" applyNumberFormat="1"/>
    <xf numFmtId="0" fontId="15" fillId="0" borderId="0" xfId="0" applyFont="1"/>
    <xf numFmtId="0" fontId="17" fillId="9" borderId="0" xfId="0" applyFont="1" applyFill="1"/>
    <xf numFmtId="0" fontId="18" fillId="0" borderId="0" xfId="0" applyFont="1"/>
    <xf numFmtId="167" fontId="0" fillId="0" borderId="0" xfId="0" applyNumberFormat="1"/>
    <xf numFmtId="173" fontId="0" fillId="0" borderId="0" xfId="0" applyNumberFormat="1"/>
    <xf numFmtId="174" fontId="0" fillId="0" borderId="0" xfId="0" applyNumberFormat="1"/>
    <xf numFmtId="10" fontId="3" fillId="0" borderId="0" xfId="5" applyNumberFormat="1" applyFont="1" applyAlignment="1">
      <alignment vertical="center"/>
    </xf>
    <xf numFmtId="10" fontId="3" fillId="7" borderId="0" xfId="5" applyNumberFormat="1" applyFont="1" applyFill="1" applyAlignment="1">
      <alignment vertical="center"/>
    </xf>
    <xf numFmtId="0" fontId="0" fillId="0" borderId="0" xfId="0" applyAlignment="1">
      <alignment horizontal="center" vertical="center"/>
    </xf>
    <xf numFmtId="0" fontId="0" fillId="0" borderId="0" xfId="0" applyAlignment="1">
      <alignment horizontal="center" wrapText="1"/>
    </xf>
    <xf numFmtId="0" fontId="1" fillId="0" borderId="8" xfId="0" applyFont="1" applyBorder="1" applyAlignment="1">
      <alignment horizontal="center"/>
    </xf>
    <xf numFmtId="0" fontId="0" fillId="0" borderId="0" xfId="0" applyAlignment="1">
      <alignment horizontal="center"/>
    </xf>
    <xf numFmtId="0" fontId="16" fillId="8" borderId="0" xfId="0" applyFont="1" applyFill="1" applyAlignment="1">
      <alignment horizontal="center"/>
    </xf>
    <xf numFmtId="0" fontId="16" fillId="10" borderId="0" xfId="0" applyFont="1" applyFill="1" applyAlignment="1">
      <alignment horizontal="center"/>
    </xf>
    <xf numFmtId="0" fontId="1" fillId="0" borderId="0" xfId="0" applyFont="1" applyAlignment="1">
      <alignment horizontal="center" wrapText="1"/>
    </xf>
  </cellXfs>
  <cellStyles count="9">
    <cellStyle name="Millares" xfId="1" builtinId="3"/>
    <cellStyle name="Moneda" xfId="2" builtinId="4"/>
    <cellStyle name="Moneda [0]" xfId="3" builtinId="7"/>
    <cellStyle name="Neutral" xfId="4" builtinId="28" customBuiltin="1"/>
    <cellStyle name="Normal" xfId="0" builtinId="0"/>
    <cellStyle name="Normal_Ceres exhibits v2" xfId="5" xr:uid="{C4DF2B31-DC71-DA46-8BDE-06AA82208D15}"/>
    <cellStyle name="Normal_Ceres exhibits v3" xfId="6" xr:uid="{82D9D748-B678-094F-87D3-15146DC4E57C}"/>
    <cellStyle name="Porcentaje" xfId="7" builtinId="5"/>
    <cellStyle name="Total" xfId="8"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6E6C-5AAB-1646-BF8C-75ED4FD64C65}">
  <sheetPr>
    <pageSetUpPr fitToPage="1"/>
  </sheetPr>
  <dimension ref="A1:IV181"/>
  <sheetViews>
    <sheetView showGridLines="0" tabSelected="1" topLeftCell="A3" zoomScale="108" workbookViewId="0">
      <selection activeCell="H40" sqref="H40"/>
    </sheetView>
  </sheetViews>
  <sheetFormatPr baseColWidth="10" defaultColWidth="9.140625" defaultRowHeight="11.25" x14ac:dyDescent="0.15"/>
  <cols>
    <col min="1" max="1" width="2.28515625" style="23" customWidth="1"/>
    <col min="2" max="2" width="41.42578125" style="23" customWidth="1"/>
    <col min="3" max="5" width="10.42578125" style="23" customWidth="1"/>
    <col min="6" max="10" width="10.42578125" style="2" customWidth="1"/>
    <col min="11" max="11" width="9.7109375" style="2" customWidth="1"/>
    <col min="12" max="12" width="12.140625" style="2" customWidth="1"/>
    <col min="13" max="13" width="9.140625" style="2"/>
    <col min="14" max="14" width="10" style="2" bestFit="1" customWidth="1"/>
    <col min="15" max="16384" width="9.140625" style="2"/>
  </cols>
  <sheetData>
    <row r="1" spans="1:256" x14ac:dyDescent="0.2">
      <c r="A1" s="22"/>
      <c r="B1" s="22" t="s">
        <v>0</v>
      </c>
      <c r="C1" s="22"/>
      <c r="D1" s="22"/>
      <c r="E1" s="22"/>
      <c r="F1" s="22"/>
      <c r="G1" s="22"/>
      <c r="H1" s="22"/>
      <c r="I1" s="22"/>
      <c r="J1" s="22"/>
      <c r="K1" s="22"/>
      <c r="L1" s="22"/>
      <c r="M1" s="22"/>
      <c r="N1" s="22"/>
      <c r="O1" s="22"/>
      <c r="P1" s="22"/>
    </row>
    <row r="2" spans="1:256" s="23" customFormat="1" x14ac:dyDescent="0.15"/>
    <row r="3" spans="1:256" s="23" customFormat="1" ht="12.6" customHeight="1" thickBot="1" x14ac:dyDescent="0.2">
      <c r="B3" s="1" t="s">
        <v>1</v>
      </c>
      <c r="C3" s="2"/>
      <c r="D3" s="2"/>
      <c r="E3" s="2"/>
      <c r="F3" s="3"/>
      <c r="G3" s="2"/>
      <c r="H3" s="2"/>
      <c r="I3" s="2"/>
      <c r="J3" s="2"/>
      <c r="L3" s="2"/>
      <c r="M3" s="24"/>
      <c r="N3" s="24"/>
      <c r="O3" s="24"/>
      <c r="P3" s="24"/>
      <c r="Q3" s="24"/>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s="23" customFormat="1" ht="12.6" customHeight="1" thickTop="1" thickBot="1" x14ac:dyDescent="0.2">
      <c r="B4" s="4" t="s">
        <v>2</v>
      </c>
      <c r="C4" s="5">
        <v>2002</v>
      </c>
      <c r="D4" s="6">
        <v>2003</v>
      </c>
      <c r="E4" s="6">
        <v>2004</v>
      </c>
      <c r="F4" s="6">
        <v>2005</v>
      </c>
      <c r="G4" s="7" t="s">
        <v>3</v>
      </c>
      <c r="H4" s="30" t="s">
        <v>4</v>
      </c>
      <c r="I4" s="30" t="s">
        <v>5</v>
      </c>
      <c r="J4" s="31" t="s">
        <v>6</v>
      </c>
      <c r="L4" s="2"/>
      <c r="M4" s="24"/>
      <c r="N4" s="24"/>
      <c r="O4" s="24"/>
      <c r="P4" s="24"/>
      <c r="Q4" s="24"/>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s="23" customFormat="1" ht="12.6" customHeight="1" thickTop="1" x14ac:dyDescent="0.15">
      <c r="B5" s="8" t="s">
        <v>7</v>
      </c>
      <c r="C5" s="2"/>
      <c r="D5" s="2"/>
      <c r="E5" s="2"/>
      <c r="F5" s="2"/>
      <c r="G5" s="2"/>
      <c r="H5" s="2"/>
      <c r="I5" s="2"/>
      <c r="J5" s="2"/>
      <c r="K5" s="2"/>
      <c r="L5" s="2"/>
      <c r="M5" s="24"/>
      <c r="N5" s="24"/>
      <c r="O5" s="24"/>
      <c r="P5" s="24"/>
      <c r="Q5" s="24"/>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s="23" customFormat="1" ht="12.6" customHeight="1" x14ac:dyDescent="0.15">
      <c r="B6" s="9" t="s">
        <v>8</v>
      </c>
      <c r="C6" s="10">
        <v>705</v>
      </c>
      <c r="D6" s="10">
        <v>1541.9185963598354</v>
      </c>
      <c r="E6" s="10">
        <v>1817.7432680522618</v>
      </c>
      <c r="F6" s="10">
        <v>2157.9024107218947</v>
      </c>
      <c r="G6" s="10">
        <v>1954.8690703342404</v>
      </c>
      <c r="H6" s="10">
        <v>2300.42</v>
      </c>
      <c r="I6" s="10">
        <v>2421.1799999999998</v>
      </c>
      <c r="J6" s="10">
        <v>2534.9</v>
      </c>
      <c r="K6" s="10"/>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s="23" customFormat="1" ht="12.6" customHeight="1" x14ac:dyDescent="0.15">
      <c r="B7" s="9" t="s">
        <v>9</v>
      </c>
      <c r="C7" s="10">
        <v>3485</v>
      </c>
      <c r="D7" s="10">
        <v>4404.9745242739727</v>
      </c>
      <c r="E7" s="10">
        <v>6820.7359696278909</v>
      </c>
      <c r="F7" s="10">
        <v>10286.151305914362</v>
      </c>
      <c r="G7" s="10">
        <v>14471.365168103963</v>
      </c>
      <c r="H7" s="10"/>
      <c r="I7" s="10"/>
      <c r="J7" s="10"/>
      <c r="K7" s="10"/>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s="23" customFormat="1" ht="12.6" customHeight="1" x14ac:dyDescent="0.15">
      <c r="B8" s="9" t="s">
        <v>10</v>
      </c>
      <c r="C8" s="10">
        <v>3089</v>
      </c>
      <c r="D8" s="10">
        <v>2794.9563356518361</v>
      </c>
      <c r="E8" s="10">
        <v>3200.6102927597417</v>
      </c>
      <c r="F8" s="10">
        <v>3290.6070953406406</v>
      </c>
      <c r="G8" s="10">
        <v>3846.5822253282795</v>
      </c>
      <c r="H8" s="10"/>
      <c r="I8" s="10"/>
      <c r="J8" s="10"/>
      <c r="K8" s="10"/>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s="23" customFormat="1" ht="12.6" customHeight="1" x14ac:dyDescent="0.15">
      <c r="B9" s="2" t="s">
        <v>11</v>
      </c>
      <c r="C9" s="10">
        <v>7279</v>
      </c>
      <c r="D9" s="10">
        <v>8741.8494562856449</v>
      </c>
      <c r="E9" s="10">
        <v>11839.089530439895</v>
      </c>
      <c r="F9" s="10">
        <v>15734.660811976897</v>
      </c>
      <c r="G9" s="10">
        <v>20272.816463766481</v>
      </c>
      <c r="H9" s="10">
        <f>SUM(H6:H8)</f>
        <v>2300.42</v>
      </c>
      <c r="I9" s="10">
        <f>SUM(I6:I8)</f>
        <v>2421.1799999999998</v>
      </c>
      <c r="J9" s="10">
        <f>SUM(J6:J8)</f>
        <v>2534.9</v>
      </c>
      <c r="K9" s="10"/>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s="23" customFormat="1" ht="12.6" customHeight="1" x14ac:dyDescent="0.1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s="23" customFormat="1" ht="12.6" customHeight="1" x14ac:dyDescent="0.15">
      <c r="B11" s="9" t="s">
        <v>12</v>
      </c>
      <c r="C11" s="10">
        <v>2257</v>
      </c>
      <c r="D11" s="10">
        <v>2679.6928355999999</v>
      </c>
      <c r="E11" s="10">
        <v>2958.4891609199999</v>
      </c>
      <c r="F11" s="10">
        <v>3617.3477470457096</v>
      </c>
      <c r="G11" s="10">
        <v>4346.6493469041689</v>
      </c>
      <c r="H11" s="10">
        <f>G11</f>
        <v>4346.6493469041689</v>
      </c>
      <c r="I11" s="10">
        <f>H11</f>
        <v>4346.6493469041689</v>
      </c>
      <c r="J11" s="10">
        <f>I11</f>
        <v>4346.6493469041689</v>
      </c>
      <c r="K11" s="43" t="s">
        <v>13</v>
      </c>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s="23" customFormat="1" ht="12.6" customHeight="1" x14ac:dyDescent="0.15">
      <c r="B12" s="9" t="s">
        <v>14</v>
      </c>
      <c r="C12" s="10">
        <v>645</v>
      </c>
      <c r="D12" s="10">
        <v>645</v>
      </c>
      <c r="E12" s="10">
        <v>645</v>
      </c>
      <c r="F12" s="10">
        <v>645</v>
      </c>
      <c r="G12" s="10">
        <v>645</v>
      </c>
      <c r="H12" s="10">
        <v>645</v>
      </c>
      <c r="I12" s="10">
        <v>645</v>
      </c>
      <c r="J12" s="10">
        <v>645</v>
      </c>
      <c r="K12" s="10"/>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s="23" customFormat="1" ht="12.6" customHeight="1" x14ac:dyDescent="0.15">
      <c r="B13" s="9" t="s">
        <v>15</v>
      </c>
      <c r="C13" s="10">
        <v>450</v>
      </c>
      <c r="D13" s="10">
        <v>1750</v>
      </c>
      <c r="E13" s="10">
        <v>2852.5</v>
      </c>
      <c r="F13" s="10">
        <v>2852.5</v>
      </c>
      <c r="G13" s="10">
        <v>2852.5</v>
      </c>
      <c r="H13" s="10">
        <f>G13</f>
        <v>2852.5</v>
      </c>
      <c r="I13" s="10">
        <f t="shared" ref="I13:J13" si="0">H13</f>
        <v>2852.5</v>
      </c>
      <c r="J13" s="10">
        <f t="shared" si="0"/>
        <v>2852.5</v>
      </c>
      <c r="K13" s="43" t="s">
        <v>16</v>
      </c>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s="23" customFormat="1" ht="12.6" customHeight="1" x14ac:dyDescent="0.15">
      <c r="B14" s="2" t="s">
        <v>17</v>
      </c>
      <c r="C14" s="11">
        <v>3352</v>
      </c>
      <c r="D14" s="11">
        <v>5074.6928356000008</v>
      </c>
      <c r="E14" s="11">
        <v>6455.9891609200004</v>
      </c>
      <c r="F14" s="11">
        <v>7114.8477470457101</v>
      </c>
      <c r="G14" s="11">
        <v>7844.1493469041698</v>
      </c>
      <c r="H14" s="11">
        <f>SUM(H11:H13)</f>
        <v>7844.1493469041689</v>
      </c>
      <c r="I14" s="11">
        <f>SUM(I11:I13)</f>
        <v>7844.1493469041689</v>
      </c>
      <c r="J14" s="11">
        <f>SUM(J11:J13)</f>
        <v>7844.1493469041689</v>
      </c>
      <c r="K14" s="11"/>
      <c r="L14" s="2"/>
      <c r="M14" s="24"/>
      <c r="N14" s="24"/>
      <c r="O14" s="24"/>
      <c r="P14" s="24"/>
      <c r="Q14" s="24"/>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s="23" customFormat="1" ht="12.6" customHeight="1" x14ac:dyDescent="0.15">
      <c r="B15" s="2"/>
      <c r="C15" s="2"/>
      <c r="D15" s="2"/>
      <c r="E15" s="2"/>
      <c r="F15" s="2"/>
      <c r="G15" s="2"/>
      <c r="H15" s="2"/>
      <c r="I15" s="2"/>
      <c r="J15" s="2"/>
      <c r="K15" s="2"/>
      <c r="L15" s="2"/>
      <c r="M15" s="24"/>
      <c r="N15" s="24"/>
      <c r="O15" s="24"/>
      <c r="P15" s="24"/>
      <c r="Q15" s="24"/>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s="23" customFormat="1" ht="12.6" customHeight="1" x14ac:dyDescent="0.15">
      <c r="B16" s="8" t="s">
        <v>18</v>
      </c>
      <c r="C16" s="12">
        <v>10631</v>
      </c>
      <c r="D16" s="12">
        <v>13816.542291885646</v>
      </c>
      <c r="E16" s="12">
        <v>18295.078691359893</v>
      </c>
      <c r="F16" s="12">
        <v>22849.508559022608</v>
      </c>
      <c r="G16" s="12">
        <v>28116.965810670652</v>
      </c>
      <c r="H16" s="12">
        <f>H14+H9</f>
        <v>10144.569346904169</v>
      </c>
      <c r="I16" s="12">
        <f>I14+I9</f>
        <v>10265.329346904169</v>
      </c>
      <c r="J16" s="12">
        <f>J14+J9</f>
        <v>10379.049346904168</v>
      </c>
      <c r="K16" s="13"/>
      <c r="L16" s="2"/>
      <c r="M16" s="24"/>
      <c r="N16" s="24"/>
      <c r="O16" s="24"/>
      <c r="P16" s="24"/>
      <c r="Q16" s="24"/>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s="23" customFormat="1" ht="12.6" customHeight="1" x14ac:dyDescent="0.15">
      <c r="B17" s="2"/>
      <c r="C17" s="2"/>
      <c r="D17" s="2"/>
      <c r="E17" s="2"/>
      <c r="F17" s="2"/>
      <c r="G17" s="2"/>
      <c r="H17" s="2"/>
      <c r="I17" s="2"/>
      <c r="J17" s="2"/>
      <c r="K17" s="2"/>
      <c r="L17" s="2"/>
      <c r="M17" s="24"/>
      <c r="N17" s="24"/>
      <c r="O17" s="24"/>
      <c r="P17" s="24"/>
      <c r="Q17" s="24"/>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s="23" customFormat="1" ht="12.6" customHeight="1" x14ac:dyDescent="0.15">
      <c r="B18" s="8" t="s">
        <v>19</v>
      </c>
      <c r="C18" s="2"/>
      <c r="D18" s="2"/>
      <c r="E18" s="2"/>
      <c r="F18" s="2"/>
      <c r="G18" s="2"/>
      <c r="H18" s="2"/>
      <c r="I18" s="2"/>
      <c r="J18" s="2"/>
      <c r="K18" s="2"/>
      <c r="L18" s="2"/>
      <c r="M18" s="24"/>
      <c r="N18" s="24"/>
      <c r="O18" s="24"/>
      <c r="P18" s="24"/>
      <c r="Q18" s="24"/>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s="23" customFormat="1" ht="12.6" customHeight="1" x14ac:dyDescent="0.15">
      <c r="B19" s="9" t="s">
        <v>20</v>
      </c>
      <c r="C19" s="10">
        <v>2034</v>
      </c>
      <c r="D19" s="10">
        <v>2973.3578038849319</v>
      </c>
      <c r="E19" s="10">
        <v>4898.8933052445018</v>
      </c>
      <c r="F19" s="10">
        <v>6659.5619786655825</v>
      </c>
      <c r="G19" s="10">
        <v>9424.1264520542845</v>
      </c>
      <c r="H19" s="10"/>
      <c r="I19" s="10"/>
      <c r="J19" s="10"/>
      <c r="K19" s="10"/>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s="23" customFormat="1" ht="12.6" customHeight="1" x14ac:dyDescent="0.15">
      <c r="B20" s="9" t="s">
        <v>21</v>
      </c>
      <c r="C20" s="10">
        <v>315</v>
      </c>
      <c r="D20" s="10">
        <v>352.03660641791998</v>
      </c>
      <c r="E20" s="10">
        <v>524.52591618269832</v>
      </c>
      <c r="F20" s="10">
        <v>730.41025693862093</v>
      </c>
      <c r="G20" s="10">
        <v>649.44368321049353</v>
      </c>
      <c r="H20" s="10">
        <f>'Obligaciones Financieras'!G2</f>
        <v>695.85563486613148</v>
      </c>
      <c r="I20" s="10">
        <f>'Obligaciones Financieras'!H2</f>
        <v>638.75469777372223</v>
      </c>
      <c r="J20" s="10">
        <f>'Obligaciones Financieras'!I2</f>
        <v>586.33938346492164</v>
      </c>
      <c r="K20" s="10"/>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s="23" customFormat="1" ht="12.6" customHeight="1" x14ac:dyDescent="0.15">
      <c r="B21" s="2" t="s">
        <v>22</v>
      </c>
      <c r="C21" s="11">
        <v>2349</v>
      </c>
      <c r="D21" s="11">
        <v>3325.3944103028516</v>
      </c>
      <c r="E21" s="11">
        <v>5423.4192214271998</v>
      </c>
      <c r="F21" s="11">
        <v>7389.9722356042039</v>
      </c>
      <c r="G21" s="11">
        <v>10073.570135264777</v>
      </c>
      <c r="H21" s="11">
        <f>SUM(H19:H20)</f>
        <v>695.85563486613148</v>
      </c>
      <c r="I21" s="11">
        <f>SUM(I19:I20)</f>
        <v>638.75469777372223</v>
      </c>
      <c r="J21" s="11">
        <f>SUM(J19:J20)</f>
        <v>586.33938346492164</v>
      </c>
      <c r="K21" s="11"/>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s="23" customFormat="1" ht="12.6" customHeight="1" x14ac:dyDescent="0.15">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s="23" customFormat="1" ht="12.6" customHeight="1" x14ac:dyDescent="0.15">
      <c r="B23" s="9" t="s">
        <v>23</v>
      </c>
      <c r="C23" s="11">
        <v>3258</v>
      </c>
      <c r="D23" s="11">
        <v>4400.4575802239979</v>
      </c>
      <c r="E23" s="11">
        <v>5725.8199655526805</v>
      </c>
      <c r="F23" s="11">
        <v>7123.3949988040767</v>
      </c>
      <c r="G23" s="11">
        <v>8479.9845542169842</v>
      </c>
      <c r="H23" s="11">
        <f>'Obligaciones Financieras'!G3</f>
        <v>7784.1289193508519</v>
      </c>
      <c r="I23" s="11">
        <f>'Obligaciones Financieras'!H3</f>
        <v>7145.3742215771299</v>
      </c>
      <c r="J23" s="11">
        <f>'Obligaciones Financieras'!I3</f>
        <v>6559.0348381122085</v>
      </c>
      <c r="K23" s="11"/>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s="23" customFormat="1" ht="12.6" customHeight="1" x14ac:dyDescent="0.15">
      <c r="B24" s="9" t="s">
        <v>24</v>
      </c>
      <c r="C24" s="11">
        <v>5024</v>
      </c>
      <c r="D24" s="11">
        <v>6090.6903013587953</v>
      </c>
      <c r="E24" s="11">
        <v>7145.8395043800147</v>
      </c>
      <c r="F24" s="11">
        <v>8336.1413246143256</v>
      </c>
      <c r="G24" s="11">
        <v>9563.4111211888885</v>
      </c>
      <c r="H24" s="11"/>
      <c r="I24" s="11"/>
      <c r="J24" s="11"/>
      <c r="K24" s="11"/>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s="23" customFormat="1" ht="12.6" customHeight="1" x14ac:dyDescent="0.15">
      <c r="B25" s="9"/>
      <c r="C25" s="2"/>
      <c r="D25" s="2"/>
      <c r="E25" s="2"/>
      <c r="F25" s="2"/>
      <c r="G25" s="2"/>
      <c r="H25" s="2"/>
      <c r="I25" s="2"/>
      <c r="J25" s="2"/>
      <c r="K25" s="2"/>
      <c r="L25" s="2"/>
      <c r="M25" s="24"/>
      <c r="N25" s="24"/>
      <c r="O25" s="24"/>
      <c r="P25" s="24"/>
      <c r="Q25" s="24"/>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ht="12.6" customHeight="1" x14ac:dyDescent="0.2">
      <c r="A26" s="2"/>
      <c r="B26" s="8" t="s">
        <v>25</v>
      </c>
      <c r="C26" s="12">
        <v>10631</v>
      </c>
      <c r="D26" s="12">
        <v>13816.542291885646</v>
      </c>
      <c r="E26" s="12">
        <v>18295.078691359897</v>
      </c>
      <c r="F26" s="12">
        <v>22849.508559022608</v>
      </c>
      <c r="G26" s="12">
        <v>28116.965810670652</v>
      </c>
      <c r="H26" s="12">
        <f>H24+H23+H21</f>
        <v>8479.9845542169842</v>
      </c>
      <c r="I26" s="12">
        <f>I24+I23+I21</f>
        <v>7784.1289193508519</v>
      </c>
      <c r="J26" s="12">
        <f>J24+J23+J21</f>
        <v>7145.3742215771299</v>
      </c>
      <c r="K26" s="13"/>
      <c r="M26" s="24"/>
      <c r="O26" s="24"/>
      <c r="P26" s="24"/>
      <c r="Q26" s="24"/>
    </row>
    <row r="27" spans="1:256" ht="12.6" customHeight="1" x14ac:dyDescent="0.2">
      <c r="A27" s="2"/>
      <c r="B27" s="8"/>
      <c r="C27" s="13"/>
      <c r="D27" s="13"/>
      <c r="E27" s="13"/>
      <c r="F27" s="13"/>
      <c r="G27" s="13"/>
      <c r="H27" s="13"/>
      <c r="I27" s="13"/>
      <c r="J27" s="13"/>
      <c r="K27" s="13"/>
      <c r="M27" s="24"/>
      <c r="O27" s="24"/>
      <c r="P27" s="24"/>
      <c r="Q27" s="24"/>
    </row>
    <row r="28" spans="1:256" ht="12.6" customHeight="1" thickBot="1" x14ac:dyDescent="0.25">
      <c r="A28" s="2"/>
      <c r="B28" s="1" t="s">
        <v>26</v>
      </c>
      <c r="C28" s="2"/>
      <c r="D28" s="2"/>
      <c r="E28" s="2"/>
    </row>
    <row r="29" spans="1:256" ht="12.6" customHeight="1" thickTop="1" thickBot="1" x14ac:dyDescent="0.2">
      <c r="A29" s="2"/>
      <c r="B29" s="4" t="s">
        <v>27</v>
      </c>
      <c r="C29" s="5">
        <v>2002</v>
      </c>
      <c r="D29" s="6">
        <v>2003</v>
      </c>
      <c r="E29" s="6">
        <v>2004</v>
      </c>
      <c r="F29" s="6">
        <v>2005</v>
      </c>
      <c r="G29" s="7" t="s">
        <v>3</v>
      </c>
      <c r="H29" s="30" t="s">
        <v>4</v>
      </c>
      <c r="I29" s="30" t="s">
        <v>5</v>
      </c>
      <c r="J29" s="31" t="s">
        <v>6</v>
      </c>
      <c r="K29" s="23"/>
      <c r="L29" s="3"/>
    </row>
    <row r="30" spans="1:256" ht="12.6" customHeight="1" thickTop="1" x14ac:dyDescent="0.15">
      <c r="A30" s="2"/>
      <c r="B30" s="2" t="s">
        <v>28</v>
      </c>
      <c r="C30" s="10">
        <v>24652.188000000002</v>
      </c>
      <c r="D30" s="10">
        <v>26796.928356</v>
      </c>
      <c r="E30" s="10">
        <v>29289.042693108</v>
      </c>
      <c r="F30" s="10">
        <v>35088.273146343381</v>
      </c>
      <c r="G30" s="10">
        <v>42597.16359966086</v>
      </c>
      <c r="H30" s="10">
        <f>G30*(1+Supuestos!G2)</f>
        <v>50030.368647801683</v>
      </c>
      <c r="I30" s="10">
        <f>H30*(1+Supuestos!H2)</f>
        <v>57404.844986487653</v>
      </c>
      <c r="J30" s="10">
        <f>I30*(1+Supuestos!I2)</f>
        <v>64712.48175326753</v>
      </c>
      <c r="K30" s="23"/>
    </row>
    <row r="31" spans="1:256" ht="12.6" customHeight="1" x14ac:dyDescent="0.15">
      <c r="A31" s="2"/>
      <c r="B31" s="9" t="s">
        <v>29</v>
      </c>
      <c r="C31" s="14">
        <v>20461.316040000002</v>
      </c>
      <c r="D31" s="14">
        <v>21705.511968360002</v>
      </c>
      <c r="E31" s="14">
        <v>23841.280752189912</v>
      </c>
      <c r="F31" s="14">
        <v>28596.942614269854</v>
      </c>
      <c r="G31" s="14">
        <v>35100.06280612055</v>
      </c>
      <c r="H31" s="14">
        <f>H30*$Q$31</f>
        <v>40954.859775090459</v>
      </c>
      <c r="I31" s="14">
        <f t="shared" ref="I31:J31" si="1">I30*$Q$31</f>
        <v>46991.606105938794</v>
      </c>
      <c r="J31" s="14">
        <f t="shared" si="1"/>
        <v>52973.637563224802</v>
      </c>
      <c r="K31" s="23"/>
      <c r="L31" s="70">
        <f>C31/C30</f>
        <v>0.83</v>
      </c>
      <c r="M31" s="70">
        <f>D31/D30</f>
        <v>0.81</v>
      </c>
      <c r="N31" s="70">
        <f>E31/E30</f>
        <v>0.81400000000000006</v>
      </c>
      <c r="O31" s="70">
        <f>F31/F30</f>
        <v>0.81499999999999995</v>
      </c>
      <c r="P31" s="70">
        <f>G31/G30</f>
        <v>0.82400000000000007</v>
      </c>
      <c r="Q31" s="71">
        <f>AVERAGE(L31:P31)</f>
        <v>0.81859999999999999</v>
      </c>
      <c r="R31" s="2" t="s">
        <v>30</v>
      </c>
    </row>
    <row r="32" spans="1:256" ht="12.6" customHeight="1" x14ac:dyDescent="0.15">
      <c r="A32" s="2"/>
      <c r="B32" s="8" t="s">
        <v>31</v>
      </c>
      <c r="C32" s="15">
        <v>4190.8719600000004</v>
      </c>
      <c r="D32" s="15">
        <v>5091.416387639998</v>
      </c>
      <c r="E32" s="15">
        <v>5447.7619409180879</v>
      </c>
      <c r="F32" s="15">
        <v>6491.3305320735271</v>
      </c>
      <c r="G32" s="15">
        <v>7497.1007935403104</v>
      </c>
      <c r="H32" s="15">
        <f>H30-H31</f>
        <v>9075.5088727112234</v>
      </c>
      <c r="I32" s="15">
        <f>I30-I31</f>
        <v>10413.238880548859</v>
      </c>
      <c r="J32" s="15">
        <f>J30-J31</f>
        <v>11738.844190042728</v>
      </c>
      <c r="K32" s="23"/>
    </row>
    <row r="33" spans="1:17" ht="12.6" customHeight="1" x14ac:dyDescent="0.15">
      <c r="A33" s="2"/>
      <c r="B33" s="2"/>
      <c r="C33" s="2"/>
      <c r="D33" s="2"/>
      <c r="E33" s="2"/>
      <c r="K33" s="23"/>
    </row>
    <row r="34" spans="1:17" ht="12.6" customHeight="1" x14ac:dyDescent="0.15">
      <c r="A34" s="2"/>
      <c r="B34" s="9" t="s">
        <v>32</v>
      </c>
      <c r="C34" s="10">
        <v>1999</v>
      </c>
      <c r="D34" s="10">
        <v>2138.1303999999996</v>
      </c>
      <c r="E34" s="10">
        <v>2372.4124581417482</v>
      </c>
      <c r="F34" s="10">
        <v>2877.2383980001573</v>
      </c>
      <c r="G34" s="10">
        <v>3578.1617423715124</v>
      </c>
      <c r="H34" s="10"/>
      <c r="I34" s="10"/>
      <c r="J34" s="10"/>
      <c r="K34" s="23"/>
    </row>
    <row r="35" spans="1:17" ht="12.6" customHeight="1" x14ac:dyDescent="0.15">
      <c r="A35" s="2"/>
      <c r="B35" s="9" t="s">
        <v>33</v>
      </c>
      <c r="C35" s="10">
        <v>203</v>
      </c>
      <c r="D35" s="10">
        <v>203</v>
      </c>
      <c r="E35" s="10">
        <v>212.43950000000001</v>
      </c>
      <c r="F35" s="10">
        <v>221.99927750000001</v>
      </c>
      <c r="G35" s="10">
        <v>231.9892449875</v>
      </c>
      <c r="H35" s="10"/>
      <c r="I35" s="10"/>
      <c r="J35" s="10"/>
      <c r="K35" s="23"/>
    </row>
    <row r="36" spans="1:17" ht="12.6" customHeight="1" x14ac:dyDescent="0.15">
      <c r="A36" s="2"/>
      <c r="B36" s="9" t="s">
        <v>34</v>
      </c>
      <c r="C36" s="14">
        <v>347.42399999999998</v>
      </c>
      <c r="D36" s="14">
        <v>412.4898554344237</v>
      </c>
      <c r="E36" s="14">
        <v>455.15217860307689</v>
      </c>
      <c r="F36" s="14">
        <v>556.51503800703222</v>
      </c>
      <c r="G36" s="14">
        <v>668.71528413910289</v>
      </c>
      <c r="H36" s="14"/>
      <c r="I36" s="14"/>
      <c r="J36" s="14"/>
      <c r="K36" s="23"/>
    </row>
    <row r="37" spans="1:17" ht="12.6" customHeight="1" x14ac:dyDescent="0.15">
      <c r="A37" s="2"/>
      <c r="B37" s="8" t="s">
        <v>35</v>
      </c>
      <c r="C37" s="13">
        <v>1641.4479600000004</v>
      </c>
      <c r="D37" s="13">
        <v>2337.7961322055748</v>
      </c>
      <c r="E37" s="13">
        <v>2407.7578041732631</v>
      </c>
      <c r="F37" s="13">
        <v>2835.5778185663376</v>
      </c>
      <c r="G37" s="13">
        <v>3018.2345220421948</v>
      </c>
      <c r="H37" s="13">
        <f>H32-SUM(H34:H36)</f>
        <v>9075.5088727112234</v>
      </c>
      <c r="I37" s="13">
        <f>I32-SUM(I34:I36)</f>
        <v>10413.238880548859</v>
      </c>
      <c r="J37" s="13">
        <f>J32-SUM(J34:J36)</f>
        <v>11738.844190042728</v>
      </c>
      <c r="K37" s="23"/>
    </row>
    <row r="38" spans="1:17" ht="12.6" customHeight="1" x14ac:dyDescent="0.15">
      <c r="A38" s="2"/>
      <c r="B38" s="2"/>
      <c r="C38" s="11"/>
      <c r="D38" s="11"/>
      <c r="E38" s="2"/>
      <c r="K38" s="23"/>
    </row>
    <row r="39" spans="1:17" ht="12.6" customHeight="1" x14ac:dyDescent="0.15">
      <c r="A39" s="2"/>
      <c r="B39" s="9" t="s">
        <v>36</v>
      </c>
      <c r="C39" s="14">
        <v>187</v>
      </c>
      <c r="D39" s="14">
        <v>348.63006906563032</v>
      </c>
      <c r="E39" s="14">
        <v>440.11360273509183</v>
      </c>
      <c r="F39" s="14">
        <v>546.53585657727547</v>
      </c>
      <c r="G39" s="14">
        <v>658.10029786034431</v>
      </c>
      <c r="H39" s="14">
        <v>822</v>
      </c>
      <c r="I39" s="14"/>
      <c r="J39" s="14"/>
      <c r="K39" s="23"/>
    </row>
    <row r="40" spans="1:17" ht="12.6" customHeight="1" x14ac:dyDescent="0.15">
      <c r="A40" s="2"/>
      <c r="B40" s="8" t="s">
        <v>37</v>
      </c>
      <c r="C40" s="13">
        <v>1454.4479600000004</v>
      </c>
      <c r="D40" s="13">
        <v>1989.1660631399445</v>
      </c>
      <c r="E40" s="13">
        <v>1967.6442014381714</v>
      </c>
      <c r="F40" s="13">
        <v>2289.0419619890622</v>
      </c>
      <c r="G40" s="13">
        <v>2360.1342241818506</v>
      </c>
      <c r="H40" s="13">
        <f>H37-H39</f>
        <v>8253.5088727112234</v>
      </c>
      <c r="I40" s="13">
        <f>I37-I39</f>
        <v>10413.238880548859</v>
      </c>
      <c r="J40" s="13">
        <f>J37-J39</f>
        <v>11738.844190042728</v>
      </c>
      <c r="K40" s="23"/>
    </row>
    <row r="41" spans="1:17" ht="12.6" customHeight="1" x14ac:dyDescent="0.15">
      <c r="A41" s="2"/>
      <c r="B41" s="9" t="s">
        <v>38</v>
      </c>
      <c r="C41" s="14">
        <v>263.73599999999999</v>
      </c>
      <c r="D41" s="14">
        <v>696.20812209898054</v>
      </c>
      <c r="E41" s="14">
        <v>688.67547050335997</v>
      </c>
      <c r="F41" s="14">
        <v>801.16468669617177</v>
      </c>
      <c r="G41" s="14">
        <v>826.04697846364763</v>
      </c>
      <c r="H41" s="14"/>
      <c r="I41" s="14"/>
      <c r="J41" s="14"/>
      <c r="K41" s="23"/>
    </row>
    <row r="42" spans="1:17" ht="12.6" customHeight="1" thickBot="1" x14ac:dyDescent="0.2">
      <c r="A42" s="2"/>
      <c r="B42" s="8" t="s">
        <v>39</v>
      </c>
      <c r="C42" s="16">
        <v>1190.7119600000005</v>
      </c>
      <c r="D42" s="16">
        <v>1292.957941040964</v>
      </c>
      <c r="E42" s="16">
        <v>1278.9687309348114</v>
      </c>
      <c r="F42" s="16">
        <v>1487.8772752928903</v>
      </c>
      <c r="G42" s="16">
        <v>1534.0872457182031</v>
      </c>
      <c r="H42" s="16">
        <f>H40-H41</f>
        <v>8253.5088727112234</v>
      </c>
      <c r="I42" s="16">
        <f>I40-I41</f>
        <v>10413.238880548859</v>
      </c>
      <c r="J42" s="16">
        <f>J40-J41</f>
        <v>11738.844190042728</v>
      </c>
      <c r="K42" s="23"/>
      <c r="M42" s="24"/>
      <c r="N42" s="24"/>
      <c r="O42" s="24"/>
      <c r="P42" s="24"/>
      <c r="Q42" s="24"/>
    </row>
    <row r="43" spans="1:17" ht="12.6" customHeight="1" thickTop="1" x14ac:dyDescent="0.15">
      <c r="A43" s="2"/>
      <c r="B43" s="2"/>
      <c r="C43" s="2"/>
      <c r="D43" s="2"/>
      <c r="E43" s="2"/>
      <c r="F43" s="3"/>
      <c r="K43" s="23"/>
      <c r="M43" s="24"/>
      <c r="N43" s="24"/>
      <c r="O43" s="24"/>
      <c r="P43" s="24"/>
      <c r="Q43" s="24"/>
    </row>
    <row r="44" spans="1:17" ht="12.6" customHeight="1" thickBot="1" x14ac:dyDescent="0.25">
      <c r="A44" s="2"/>
      <c r="B44" s="1" t="s">
        <v>40</v>
      </c>
      <c r="C44" s="2"/>
      <c r="D44" s="2"/>
      <c r="E44" s="2"/>
    </row>
    <row r="45" spans="1:17" ht="12.6" customHeight="1" thickTop="1" thickBot="1" x14ac:dyDescent="0.25">
      <c r="A45" s="2"/>
      <c r="B45" s="4" t="s">
        <v>27</v>
      </c>
      <c r="C45" s="2"/>
      <c r="D45" s="6">
        <v>2003</v>
      </c>
      <c r="E45" s="6">
        <v>2004</v>
      </c>
      <c r="F45" s="6">
        <v>2005</v>
      </c>
      <c r="G45" s="7" t="s">
        <v>3</v>
      </c>
      <c r="H45" s="30" t="s">
        <v>4</v>
      </c>
      <c r="I45" s="30" t="s">
        <v>5</v>
      </c>
      <c r="J45" s="31" t="s">
        <v>6</v>
      </c>
    </row>
    <row r="46" spans="1:17" ht="12.6" customHeight="1" thickTop="1" x14ac:dyDescent="0.2">
      <c r="A46" s="2"/>
      <c r="B46" s="2" t="s">
        <v>39</v>
      </c>
      <c r="C46" s="8"/>
      <c r="D46" s="13">
        <f>D42</f>
        <v>1292.957941040964</v>
      </c>
      <c r="E46" s="13">
        <f>E42</f>
        <v>1278.9687309348114</v>
      </c>
      <c r="F46" s="13">
        <f>F42</f>
        <v>1487.8772752928903</v>
      </c>
      <c r="G46" s="13">
        <f>G42</f>
        <v>1534.0872457182031</v>
      </c>
      <c r="H46" s="13"/>
      <c r="I46" s="13"/>
      <c r="J46" s="13"/>
      <c r="K46" s="13"/>
    </row>
    <row r="47" spans="1:17" ht="12.6" customHeight="1" x14ac:dyDescent="0.2">
      <c r="A47" s="2"/>
      <c r="B47" s="9" t="s">
        <v>34</v>
      </c>
      <c r="C47" s="8"/>
      <c r="D47" s="11">
        <f>D36</f>
        <v>412.4898554344237</v>
      </c>
      <c r="E47" s="11">
        <f>E36</f>
        <v>455.15217860307689</v>
      </c>
      <c r="F47" s="11">
        <f>F36</f>
        <v>556.51503800703222</v>
      </c>
      <c r="G47" s="11">
        <f>G36</f>
        <v>668.71528413910289</v>
      </c>
      <c r="H47" s="11"/>
      <c r="I47" s="11"/>
      <c r="J47" s="11"/>
      <c r="K47" s="11"/>
    </row>
    <row r="48" spans="1:17" ht="12.6" customHeight="1" x14ac:dyDescent="0.2">
      <c r="A48" s="2"/>
      <c r="B48" s="9" t="s">
        <v>41</v>
      </c>
      <c r="C48" s="2"/>
      <c r="D48" s="11">
        <f t="shared" ref="D48:G49" si="2">-(D7-C7)</f>
        <v>-919.97452427397275</v>
      </c>
      <c r="E48" s="11">
        <f t="shared" si="2"/>
        <v>-2415.7614453539181</v>
      </c>
      <c r="F48" s="11">
        <f t="shared" si="2"/>
        <v>-3465.4153362864708</v>
      </c>
      <c r="G48" s="11">
        <f t="shared" si="2"/>
        <v>-4185.2138621896011</v>
      </c>
      <c r="H48" s="11"/>
      <c r="I48" s="11"/>
      <c r="J48" s="11"/>
      <c r="K48" s="11"/>
    </row>
    <row r="49" spans="1:12" ht="12.6" customHeight="1" x14ac:dyDescent="0.2">
      <c r="A49" s="2"/>
      <c r="B49" s="9" t="s">
        <v>42</v>
      </c>
      <c r="C49" s="11"/>
      <c r="D49" s="11">
        <f t="shared" si="2"/>
        <v>294.04366434816393</v>
      </c>
      <c r="E49" s="11">
        <f t="shared" si="2"/>
        <v>-405.65395710790563</v>
      </c>
      <c r="F49" s="11">
        <f t="shared" si="2"/>
        <v>-89.99680258089893</v>
      </c>
      <c r="G49" s="11">
        <f t="shared" si="2"/>
        <v>-555.97512998763887</v>
      </c>
      <c r="H49" s="11"/>
      <c r="I49" s="11"/>
      <c r="J49" s="11"/>
      <c r="K49" s="11"/>
    </row>
    <row r="50" spans="1:12" ht="12.6" customHeight="1" x14ac:dyDescent="0.2">
      <c r="A50" s="2"/>
      <c r="B50" s="17" t="s">
        <v>43</v>
      </c>
      <c r="C50" s="18"/>
      <c r="D50" s="19">
        <f>D19-C19</f>
        <v>939.35780388493185</v>
      </c>
      <c r="E50" s="19">
        <f>E19-D19</f>
        <v>1925.5355013595699</v>
      </c>
      <c r="F50" s="19">
        <f>F19-E19</f>
        <v>1760.6686734210807</v>
      </c>
      <c r="G50" s="19">
        <f>G19-F19</f>
        <v>2764.564473388702</v>
      </c>
      <c r="H50" s="19"/>
      <c r="I50" s="19"/>
      <c r="J50" s="19"/>
      <c r="K50" s="11"/>
    </row>
    <row r="51" spans="1:12" ht="12.6" customHeight="1" x14ac:dyDescent="0.2">
      <c r="A51" s="2"/>
      <c r="B51" s="8" t="s">
        <v>44</v>
      </c>
      <c r="C51" s="2"/>
      <c r="D51" s="13">
        <f t="shared" ref="D51:J51" si="3">SUM(D46:D50)</f>
        <v>2018.8747404345108</v>
      </c>
      <c r="E51" s="13">
        <f t="shared" si="3"/>
        <v>838.24100843563451</v>
      </c>
      <c r="F51" s="13">
        <f t="shared" si="3"/>
        <v>249.64884785363347</v>
      </c>
      <c r="G51" s="13">
        <f t="shared" si="3"/>
        <v>226.17801106876823</v>
      </c>
      <c r="H51" s="13">
        <f t="shared" si="3"/>
        <v>0</v>
      </c>
      <c r="I51" s="13">
        <f t="shared" si="3"/>
        <v>0</v>
      </c>
      <c r="J51" s="13">
        <f t="shared" si="3"/>
        <v>0</v>
      </c>
      <c r="K51" s="13"/>
    </row>
    <row r="52" spans="1:12" ht="12.6" customHeight="1" x14ac:dyDescent="0.2">
      <c r="A52" s="2"/>
      <c r="B52" s="9"/>
      <c r="C52" s="2"/>
      <c r="D52" s="11"/>
      <c r="E52" s="2"/>
    </row>
    <row r="53" spans="1:12" ht="12.6" customHeight="1" x14ac:dyDescent="0.15">
      <c r="A53" s="2"/>
      <c r="B53" s="25" t="s">
        <v>45</v>
      </c>
      <c r="C53" s="11"/>
      <c r="D53" s="11">
        <f>-(D11-(C11-D47))</f>
        <v>-835.18269103442344</v>
      </c>
      <c r="E53" s="11">
        <f>-(E11-(D11-E47))</f>
        <v>-733.94850392307717</v>
      </c>
      <c r="F53" s="11">
        <f>-(F11-(E11-F47))</f>
        <v>-1215.373624132742</v>
      </c>
      <c r="G53" s="11">
        <f>-(G11-(F11-G47))</f>
        <v>-1398.0168839975622</v>
      </c>
      <c r="H53" s="11"/>
      <c r="I53" s="11"/>
      <c r="J53" s="11"/>
      <c r="K53" s="11"/>
    </row>
    <row r="54" spans="1:12" ht="12.6" customHeight="1" x14ac:dyDescent="0.15">
      <c r="A54" s="2"/>
      <c r="B54" s="25" t="s">
        <v>46</v>
      </c>
      <c r="C54" s="2"/>
      <c r="D54" s="11">
        <f t="shared" ref="D54:G55" si="4">-(D12-C12)</f>
        <v>0</v>
      </c>
      <c r="E54" s="11">
        <f t="shared" si="4"/>
        <v>0</v>
      </c>
      <c r="F54" s="11">
        <f t="shared" si="4"/>
        <v>0</v>
      </c>
      <c r="G54" s="11">
        <f t="shared" si="4"/>
        <v>0</v>
      </c>
      <c r="H54" s="11"/>
      <c r="I54" s="11"/>
      <c r="J54" s="11"/>
      <c r="K54" s="11"/>
    </row>
    <row r="55" spans="1:12" ht="12.6" customHeight="1" x14ac:dyDescent="0.15">
      <c r="A55" s="2"/>
      <c r="B55" s="26" t="s">
        <v>47</v>
      </c>
      <c r="C55" s="18"/>
      <c r="D55" s="19">
        <f t="shared" si="4"/>
        <v>-1300</v>
      </c>
      <c r="E55" s="19">
        <f t="shared" si="4"/>
        <v>-1102.5</v>
      </c>
      <c r="F55" s="19">
        <f t="shared" si="4"/>
        <v>0</v>
      </c>
      <c r="G55" s="19">
        <f t="shared" si="4"/>
        <v>0</v>
      </c>
      <c r="H55" s="19"/>
      <c r="I55" s="19"/>
      <c r="J55" s="19"/>
      <c r="K55" s="11"/>
    </row>
    <row r="56" spans="1:12" ht="12.6" customHeight="1" x14ac:dyDescent="0.2">
      <c r="A56" s="2"/>
      <c r="B56" s="8" t="s">
        <v>48</v>
      </c>
      <c r="C56" s="2"/>
      <c r="D56" s="13">
        <f t="shared" ref="D56:J56" si="5">SUM(D53:D55)</f>
        <v>-2135.1826910344234</v>
      </c>
      <c r="E56" s="13">
        <f t="shared" si="5"/>
        <v>-1836.4485039230772</v>
      </c>
      <c r="F56" s="13">
        <f t="shared" si="5"/>
        <v>-1215.373624132742</v>
      </c>
      <c r="G56" s="13">
        <f t="shared" si="5"/>
        <v>-1398.0168839975622</v>
      </c>
      <c r="H56" s="13">
        <f t="shared" si="5"/>
        <v>0</v>
      </c>
      <c r="I56" s="13">
        <f t="shared" si="5"/>
        <v>0</v>
      </c>
      <c r="J56" s="13">
        <f t="shared" si="5"/>
        <v>0</v>
      </c>
      <c r="K56" s="13"/>
    </row>
    <row r="57" spans="1:12" ht="12.6" customHeight="1" x14ac:dyDescent="0.2">
      <c r="A57" s="2"/>
      <c r="B57" s="9"/>
      <c r="C57" s="2"/>
      <c r="D57" s="11"/>
      <c r="E57" s="2"/>
    </row>
    <row r="58" spans="1:12" ht="12.6" customHeight="1" x14ac:dyDescent="0.2">
      <c r="A58" s="2"/>
      <c r="B58" s="9" t="s">
        <v>49</v>
      </c>
      <c r="C58" s="11"/>
      <c r="D58" s="11">
        <f>D23-(C23-D20)</f>
        <v>1494.4941866419176</v>
      </c>
      <c r="E58" s="11">
        <f>E23-(D23-E20)</f>
        <v>1849.8883015113811</v>
      </c>
      <c r="F58" s="11">
        <f>F23-(E23-F20)</f>
        <v>2127.9852901900176</v>
      </c>
      <c r="G58" s="11">
        <f>G23-(F23-G20)</f>
        <v>2006.0332386234013</v>
      </c>
      <c r="H58" s="11"/>
      <c r="I58" s="11"/>
      <c r="J58" s="11"/>
      <c r="K58" s="11"/>
    </row>
    <row r="59" spans="1:12" ht="12.6" customHeight="1" x14ac:dyDescent="0.2">
      <c r="A59" s="2"/>
      <c r="B59" s="9" t="s">
        <v>50</v>
      </c>
      <c r="C59" s="2"/>
      <c r="D59" s="11">
        <f>-C20</f>
        <v>-315</v>
      </c>
      <c r="E59" s="11">
        <f>-D20</f>
        <v>-352.03660641791998</v>
      </c>
      <c r="F59" s="11">
        <f>-E20</f>
        <v>-524.52591618269832</v>
      </c>
      <c r="G59" s="11">
        <f>-F20</f>
        <v>-730.41025693862093</v>
      </c>
      <c r="H59" s="11"/>
      <c r="I59" s="11"/>
      <c r="J59" s="11"/>
      <c r="K59" s="11"/>
    </row>
    <row r="60" spans="1:12" ht="12.6" customHeight="1" x14ac:dyDescent="0.2">
      <c r="A60" s="2"/>
      <c r="B60" s="17" t="s">
        <v>51</v>
      </c>
      <c r="C60" s="18"/>
      <c r="D60" s="19">
        <v>-226.26763968216869</v>
      </c>
      <c r="E60" s="19">
        <v>-223.819527913592</v>
      </c>
      <c r="F60" s="19">
        <v>-297.57545505857809</v>
      </c>
      <c r="G60" s="19">
        <v>-306.81744914364066</v>
      </c>
      <c r="H60" s="19"/>
      <c r="I60" s="19"/>
      <c r="J60" s="19"/>
      <c r="K60" s="11"/>
    </row>
    <row r="61" spans="1:12" ht="12.6" customHeight="1" x14ac:dyDescent="0.2">
      <c r="A61" s="2"/>
      <c r="B61" s="8" t="s">
        <v>52</v>
      </c>
      <c r="C61" s="2"/>
      <c r="D61" s="13">
        <f t="shared" ref="D61:J61" si="6">SUM(D58:D60)</f>
        <v>953.22654695974893</v>
      </c>
      <c r="E61" s="13">
        <f t="shared" si="6"/>
        <v>1274.032167179869</v>
      </c>
      <c r="F61" s="13">
        <f t="shared" si="6"/>
        <v>1305.8839189487412</v>
      </c>
      <c r="G61" s="13">
        <f t="shared" si="6"/>
        <v>968.80553254113966</v>
      </c>
      <c r="H61" s="13">
        <f t="shared" si="6"/>
        <v>0</v>
      </c>
      <c r="I61" s="13">
        <f t="shared" si="6"/>
        <v>0</v>
      </c>
      <c r="J61" s="13">
        <f t="shared" si="6"/>
        <v>0</v>
      </c>
      <c r="K61" s="13"/>
      <c r="L61" s="27"/>
    </row>
    <row r="62" spans="1:12" ht="12.6" customHeight="1" x14ac:dyDescent="0.2">
      <c r="A62" s="2"/>
      <c r="B62" s="2"/>
      <c r="C62" s="2"/>
      <c r="D62" s="2"/>
      <c r="E62" s="2"/>
    </row>
    <row r="63" spans="1:12" ht="12.6" customHeight="1" x14ac:dyDescent="0.2">
      <c r="A63" s="2"/>
      <c r="B63" s="20" t="s">
        <v>53</v>
      </c>
      <c r="C63" s="21"/>
      <c r="D63" s="12">
        <f t="shared" ref="D63:J63" si="7">D51+D56+D61</f>
        <v>836.91859635983633</v>
      </c>
      <c r="E63" s="12">
        <f t="shared" si="7"/>
        <v>275.82467169242636</v>
      </c>
      <c r="F63" s="12">
        <f t="shared" si="7"/>
        <v>340.15914266963273</v>
      </c>
      <c r="G63" s="12">
        <f t="shared" si="7"/>
        <v>-203.03334038765433</v>
      </c>
      <c r="H63" s="12">
        <f t="shared" si="7"/>
        <v>0</v>
      </c>
      <c r="I63" s="12">
        <f t="shared" si="7"/>
        <v>0</v>
      </c>
      <c r="J63" s="12">
        <f t="shared" si="7"/>
        <v>0</v>
      </c>
      <c r="K63" s="13"/>
    </row>
    <row r="64" spans="1:12" ht="12.6" customHeight="1" x14ac:dyDescent="0.2">
      <c r="A64" s="2"/>
      <c r="B64" s="2"/>
      <c r="C64" s="2"/>
      <c r="D64" s="2"/>
      <c r="E64" s="2"/>
    </row>
    <row r="65" spans="1:16" ht="12.6" customHeight="1" x14ac:dyDescent="0.2">
      <c r="A65" s="2"/>
      <c r="B65"/>
      <c r="C65"/>
      <c r="D65"/>
      <c r="E65"/>
      <c r="F65"/>
      <c r="G65"/>
      <c r="H65"/>
      <c r="I65"/>
      <c r="J65"/>
      <c r="K65"/>
      <c r="L65"/>
      <c r="M65"/>
      <c r="N65"/>
      <c r="O65"/>
      <c r="P65"/>
    </row>
    <row r="66" spans="1:16" ht="12.6" customHeight="1" x14ac:dyDescent="0.2">
      <c r="A66" s="2"/>
      <c r="B66"/>
      <c r="C66"/>
      <c r="D66"/>
      <c r="E66"/>
      <c r="F66"/>
      <c r="G66"/>
      <c r="H66"/>
      <c r="I66"/>
      <c r="J66"/>
      <c r="K66"/>
      <c r="L66"/>
      <c r="M66"/>
      <c r="N66"/>
      <c r="O66"/>
      <c r="P66"/>
    </row>
    <row r="67" spans="1:16" ht="12.6" customHeight="1" x14ac:dyDescent="0.2">
      <c r="A67" s="2"/>
      <c r="B67"/>
      <c r="C67"/>
      <c r="D67"/>
      <c r="E67"/>
      <c r="F67"/>
      <c r="G67"/>
      <c r="H67"/>
      <c r="I67"/>
      <c r="J67"/>
      <c r="K67"/>
      <c r="L67"/>
      <c r="M67"/>
      <c r="N67"/>
      <c r="O67"/>
      <c r="P67"/>
    </row>
    <row r="68" spans="1:16" ht="12.6" customHeight="1" x14ac:dyDescent="0.2">
      <c r="A68" s="2"/>
      <c r="B68"/>
      <c r="C68"/>
      <c r="D68"/>
      <c r="E68"/>
      <c r="F68"/>
      <c r="G68"/>
      <c r="H68"/>
      <c r="I68"/>
      <c r="J68"/>
      <c r="K68"/>
      <c r="L68"/>
      <c r="M68"/>
      <c r="N68"/>
      <c r="O68"/>
      <c r="P68"/>
    </row>
    <row r="69" spans="1:16" ht="12.6" customHeight="1" x14ac:dyDescent="0.2">
      <c r="A69" s="2"/>
      <c r="B69"/>
      <c r="C69"/>
      <c r="D69"/>
      <c r="E69"/>
      <c r="F69"/>
      <c r="G69"/>
      <c r="H69"/>
      <c r="I69"/>
      <c r="J69"/>
      <c r="K69"/>
      <c r="L69"/>
      <c r="M69"/>
      <c r="N69"/>
      <c r="O69"/>
      <c r="P69"/>
    </row>
    <row r="70" spans="1:16" ht="12.6" customHeight="1" x14ac:dyDescent="0.2">
      <c r="A70" s="2"/>
      <c r="B70"/>
      <c r="C70"/>
      <c r="D70"/>
      <c r="E70"/>
      <c r="F70"/>
      <c r="G70"/>
      <c r="H70"/>
      <c r="I70"/>
      <c r="J70"/>
      <c r="K70"/>
      <c r="L70"/>
      <c r="M70"/>
      <c r="N70"/>
      <c r="O70"/>
      <c r="P70"/>
    </row>
    <row r="71" spans="1:16" ht="12.6" customHeight="1" x14ac:dyDescent="0.2">
      <c r="A71" s="2"/>
      <c r="B71"/>
      <c r="C71"/>
      <c r="D71"/>
      <c r="E71"/>
      <c r="F71"/>
      <c r="G71"/>
      <c r="H71"/>
      <c r="I71"/>
      <c r="J71"/>
      <c r="K71"/>
      <c r="L71"/>
      <c r="M71"/>
      <c r="N71"/>
      <c r="O71"/>
      <c r="P71"/>
    </row>
    <row r="72" spans="1:16" ht="12.6" customHeight="1" x14ac:dyDescent="0.2">
      <c r="A72" s="2"/>
      <c r="B72"/>
      <c r="C72"/>
      <c r="D72"/>
      <c r="E72"/>
      <c r="F72"/>
      <c r="G72"/>
      <c r="H72"/>
      <c r="I72"/>
      <c r="J72"/>
      <c r="K72"/>
      <c r="L72"/>
      <c r="M72"/>
      <c r="N72"/>
      <c r="O72"/>
      <c r="P72"/>
    </row>
    <row r="73" spans="1:16" ht="12.6" customHeight="1" x14ac:dyDescent="0.2">
      <c r="A73" s="2"/>
      <c r="B73"/>
      <c r="C73"/>
      <c r="D73"/>
      <c r="E73"/>
      <c r="F73"/>
      <c r="G73"/>
      <c r="H73"/>
      <c r="I73"/>
      <c r="J73"/>
      <c r="K73"/>
      <c r="L73"/>
      <c r="M73"/>
      <c r="N73"/>
      <c r="O73"/>
      <c r="P73"/>
    </row>
    <row r="74" spans="1:16" ht="12.6" customHeight="1" x14ac:dyDescent="0.2">
      <c r="A74" s="2"/>
      <c r="B74"/>
      <c r="C74"/>
      <c r="D74"/>
      <c r="E74"/>
      <c r="F74"/>
      <c r="G74"/>
      <c r="H74"/>
      <c r="I74"/>
      <c r="J74"/>
      <c r="K74"/>
      <c r="L74"/>
      <c r="M74"/>
      <c r="N74"/>
      <c r="O74"/>
      <c r="P74"/>
    </row>
    <row r="75" spans="1:16" ht="12.6" customHeight="1" x14ac:dyDescent="0.2">
      <c r="A75" s="2"/>
      <c r="B75"/>
      <c r="C75"/>
      <c r="D75"/>
      <c r="E75"/>
      <c r="F75"/>
      <c r="G75"/>
      <c r="H75"/>
      <c r="I75"/>
      <c r="J75"/>
      <c r="K75"/>
      <c r="L75"/>
      <c r="M75"/>
      <c r="N75"/>
      <c r="O75"/>
      <c r="P75"/>
    </row>
    <row r="76" spans="1:16" ht="12.6" customHeight="1" x14ac:dyDescent="0.2">
      <c r="A76" s="2"/>
      <c r="B76"/>
      <c r="C76"/>
      <c r="D76"/>
      <c r="E76"/>
      <c r="F76"/>
      <c r="G76"/>
      <c r="H76"/>
      <c r="I76"/>
      <c r="J76"/>
      <c r="K76"/>
      <c r="L76"/>
      <c r="M76"/>
      <c r="N76"/>
      <c r="O76"/>
      <c r="P76"/>
    </row>
    <row r="77" spans="1:16" ht="12.6" customHeight="1" x14ac:dyDescent="0.2">
      <c r="A77" s="2"/>
      <c r="B77"/>
      <c r="C77"/>
      <c r="D77"/>
      <c r="E77"/>
      <c r="F77"/>
      <c r="G77"/>
      <c r="H77"/>
      <c r="I77"/>
      <c r="J77"/>
      <c r="K77"/>
      <c r="L77"/>
      <c r="M77"/>
      <c r="N77"/>
      <c r="O77"/>
      <c r="P77"/>
    </row>
    <row r="78" spans="1:16" ht="12.6" customHeight="1" x14ac:dyDescent="0.2">
      <c r="A78" s="2"/>
      <c r="B78"/>
      <c r="C78"/>
      <c r="D78"/>
      <c r="E78"/>
      <c r="F78"/>
      <c r="G78"/>
      <c r="H78"/>
      <c r="I78"/>
      <c r="J78"/>
      <c r="K78"/>
      <c r="L78"/>
      <c r="M78"/>
      <c r="N78"/>
      <c r="O78"/>
      <c r="P78"/>
    </row>
    <row r="79" spans="1:16" ht="12.6" customHeight="1" x14ac:dyDescent="0.2">
      <c r="A79" s="2"/>
      <c r="B79"/>
      <c r="C79"/>
      <c r="D79"/>
      <c r="E79"/>
      <c r="F79"/>
      <c r="G79"/>
      <c r="H79"/>
      <c r="I79"/>
      <c r="J79"/>
      <c r="K79"/>
      <c r="L79"/>
      <c r="M79"/>
      <c r="N79"/>
      <c r="O79"/>
      <c r="P79"/>
    </row>
    <row r="80" spans="1:16" ht="12.6" customHeight="1" x14ac:dyDescent="0.2">
      <c r="A80" s="2"/>
      <c r="B80"/>
      <c r="C80"/>
      <c r="D80"/>
      <c r="E80"/>
      <c r="F80"/>
      <c r="G80"/>
      <c r="H80"/>
      <c r="I80"/>
      <c r="J80"/>
      <c r="K80"/>
      <c r="L80"/>
      <c r="M80"/>
      <c r="N80"/>
      <c r="O80"/>
      <c r="P80"/>
    </row>
    <row r="81" spans="1:16" ht="12.6" customHeight="1" x14ac:dyDescent="0.2">
      <c r="A81" s="2"/>
      <c r="B81"/>
      <c r="C81"/>
      <c r="D81"/>
      <c r="E81"/>
      <c r="F81"/>
      <c r="G81"/>
      <c r="H81"/>
      <c r="I81"/>
      <c r="J81"/>
      <c r="K81"/>
      <c r="L81"/>
      <c r="M81"/>
      <c r="N81"/>
      <c r="O81"/>
      <c r="P81"/>
    </row>
    <row r="82" spans="1:16" ht="12.6" customHeight="1" x14ac:dyDescent="0.2">
      <c r="A82" s="2"/>
      <c r="B82"/>
      <c r="C82"/>
      <c r="D82"/>
      <c r="E82"/>
      <c r="F82"/>
      <c r="G82"/>
      <c r="H82"/>
      <c r="I82"/>
      <c r="J82"/>
      <c r="K82"/>
      <c r="L82"/>
      <c r="M82"/>
      <c r="N82"/>
      <c r="O82"/>
      <c r="P82"/>
    </row>
    <row r="83" spans="1:16" ht="12.6" customHeight="1" x14ac:dyDescent="0.2">
      <c r="A83" s="2"/>
      <c r="B83"/>
      <c r="C83"/>
      <c r="D83"/>
      <c r="E83"/>
      <c r="F83"/>
      <c r="G83"/>
      <c r="H83"/>
      <c r="I83"/>
      <c r="J83"/>
      <c r="K83"/>
      <c r="L83"/>
      <c r="M83"/>
      <c r="N83"/>
      <c r="O83"/>
      <c r="P83"/>
    </row>
    <row r="84" spans="1:16" ht="12.6" customHeight="1" x14ac:dyDescent="0.2">
      <c r="A84" s="2"/>
      <c r="B84"/>
      <c r="C84"/>
      <c r="D84"/>
      <c r="E84"/>
      <c r="F84"/>
      <c r="G84"/>
      <c r="H84"/>
      <c r="I84"/>
      <c r="J84"/>
      <c r="K84"/>
      <c r="L84"/>
      <c r="M84"/>
      <c r="N84"/>
      <c r="O84"/>
      <c r="P84"/>
    </row>
    <row r="85" spans="1:16" s="23" customFormat="1" ht="12.6" customHeight="1" x14ac:dyDescent="0.2">
      <c r="A85" s="2"/>
      <c r="B85"/>
      <c r="C85"/>
      <c r="D85"/>
      <c r="E85"/>
      <c r="F85"/>
      <c r="G85"/>
      <c r="H85"/>
      <c r="I85"/>
      <c r="J85"/>
      <c r="K85"/>
      <c r="L85"/>
      <c r="M85"/>
      <c r="N85"/>
      <c r="O85"/>
      <c r="P85"/>
    </row>
    <row r="86" spans="1:16" s="23" customFormat="1" ht="12.6" customHeight="1" x14ac:dyDescent="0.2">
      <c r="A86" s="2"/>
      <c r="B86"/>
      <c r="C86"/>
      <c r="D86"/>
      <c r="E86"/>
      <c r="F86"/>
      <c r="G86"/>
      <c r="H86"/>
      <c r="I86"/>
      <c r="J86"/>
      <c r="K86"/>
      <c r="L86"/>
      <c r="M86"/>
      <c r="N86"/>
      <c r="O86"/>
      <c r="P86"/>
    </row>
    <row r="87" spans="1:16" s="23" customFormat="1" ht="12.6" customHeight="1" x14ac:dyDescent="0.2">
      <c r="A87" s="2"/>
      <c r="B87"/>
      <c r="C87"/>
      <c r="D87"/>
      <c r="E87"/>
      <c r="F87"/>
      <c r="G87"/>
      <c r="H87"/>
      <c r="I87"/>
      <c r="J87"/>
      <c r="K87"/>
      <c r="L87"/>
      <c r="M87"/>
      <c r="N87"/>
      <c r="O87"/>
      <c r="P87"/>
    </row>
    <row r="88" spans="1:16" ht="12.6" customHeight="1" x14ac:dyDescent="0.2">
      <c r="A88" s="2"/>
      <c r="B88"/>
      <c r="C88"/>
      <c r="D88"/>
      <c r="E88"/>
      <c r="F88"/>
      <c r="G88"/>
      <c r="H88"/>
      <c r="I88"/>
      <c r="J88"/>
      <c r="K88"/>
      <c r="L88"/>
      <c r="M88"/>
      <c r="N88"/>
      <c r="O88"/>
      <c r="P88"/>
    </row>
    <row r="89" spans="1:16" ht="12.6" customHeight="1" x14ac:dyDescent="0.2">
      <c r="A89" s="2"/>
      <c r="B89"/>
      <c r="C89"/>
      <c r="D89"/>
      <c r="E89"/>
      <c r="F89"/>
      <c r="G89"/>
      <c r="H89"/>
      <c r="I89"/>
      <c r="J89"/>
      <c r="K89"/>
      <c r="L89"/>
      <c r="M89"/>
      <c r="N89"/>
      <c r="O89"/>
      <c r="P89"/>
    </row>
    <row r="90" spans="1:16" ht="12.6" customHeight="1" x14ac:dyDescent="0.2">
      <c r="A90" s="2"/>
      <c r="B90"/>
      <c r="C90"/>
      <c r="D90"/>
      <c r="E90"/>
      <c r="F90"/>
      <c r="G90"/>
      <c r="H90"/>
      <c r="I90"/>
      <c r="J90"/>
      <c r="K90"/>
      <c r="L90"/>
      <c r="M90"/>
      <c r="N90"/>
      <c r="O90"/>
      <c r="P90"/>
    </row>
    <row r="91" spans="1:16" ht="12.6" customHeight="1" x14ac:dyDescent="0.2">
      <c r="A91" s="2"/>
      <c r="B91"/>
      <c r="C91"/>
      <c r="D91"/>
      <c r="E91"/>
      <c r="F91"/>
      <c r="G91"/>
      <c r="H91"/>
      <c r="I91"/>
      <c r="J91"/>
      <c r="K91"/>
      <c r="L91"/>
      <c r="M91"/>
      <c r="N91"/>
      <c r="O91"/>
      <c r="P91"/>
    </row>
    <row r="92" spans="1:16" ht="12.6" customHeight="1" x14ac:dyDescent="0.2">
      <c r="A92" s="2"/>
      <c r="B92"/>
      <c r="C92"/>
      <c r="D92"/>
      <c r="E92"/>
      <c r="F92"/>
      <c r="G92"/>
      <c r="H92"/>
      <c r="I92"/>
      <c r="J92"/>
      <c r="K92"/>
      <c r="L92"/>
      <c r="M92"/>
      <c r="N92"/>
      <c r="O92"/>
      <c r="P92"/>
    </row>
    <row r="93" spans="1:16" ht="12.6" customHeight="1" x14ac:dyDescent="0.2">
      <c r="A93" s="2"/>
      <c r="B93"/>
      <c r="C93"/>
      <c r="D93"/>
      <c r="E93"/>
      <c r="F93"/>
      <c r="G93"/>
      <c r="H93"/>
      <c r="I93"/>
      <c r="J93"/>
      <c r="K93"/>
      <c r="L93"/>
      <c r="M93"/>
      <c r="N93"/>
      <c r="O93"/>
      <c r="P93"/>
    </row>
    <row r="94" spans="1:16" ht="12.6" customHeight="1" x14ac:dyDescent="0.2">
      <c r="B94"/>
      <c r="C94"/>
      <c r="D94"/>
      <c r="E94"/>
      <c r="F94"/>
      <c r="G94"/>
      <c r="H94"/>
      <c r="I94"/>
      <c r="J94"/>
      <c r="K94"/>
      <c r="L94"/>
      <c r="M94"/>
      <c r="N94"/>
      <c r="O94"/>
      <c r="P94"/>
    </row>
    <row r="95" spans="1:16" ht="12.6" customHeight="1" x14ac:dyDescent="0.2">
      <c r="B95"/>
      <c r="C95"/>
      <c r="D95"/>
      <c r="E95"/>
      <c r="F95"/>
      <c r="G95"/>
      <c r="H95"/>
      <c r="I95"/>
      <c r="J95"/>
      <c r="K95"/>
      <c r="L95"/>
      <c r="M95"/>
      <c r="N95"/>
      <c r="O95"/>
      <c r="P95"/>
    </row>
    <row r="96" spans="1:16" ht="12.6" customHeight="1" x14ac:dyDescent="0.2">
      <c r="B96"/>
      <c r="C96"/>
      <c r="D96"/>
      <c r="E96"/>
      <c r="F96"/>
      <c r="G96"/>
      <c r="H96"/>
      <c r="I96"/>
      <c r="J96"/>
      <c r="K96"/>
      <c r="L96"/>
      <c r="M96"/>
      <c r="N96"/>
      <c r="O96"/>
      <c r="P96"/>
    </row>
    <row r="97" spans="2:16" ht="12.6" customHeight="1" x14ac:dyDescent="0.2">
      <c r="B97"/>
      <c r="C97"/>
      <c r="D97"/>
      <c r="E97"/>
      <c r="F97"/>
      <c r="G97"/>
      <c r="H97"/>
      <c r="I97"/>
      <c r="J97"/>
      <c r="K97"/>
      <c r="L97"/>
      <c r="M97"/>
      <c r="N97"/>
      <c r="O97"/>
      <c r="P97"/>
    </row>
    <row r="98" spans="2:16" ht="12.6" customHeight="1" x14ac:dyDescent="0.2">
      <c r="B98"/>
      <c r="C98"/>
      <c r="D98"/>
      <c r="E98"/>
      <c r="F98"/>
      <c r="G98"/>
      <c r="H98"/>
      <c r="I98"/>
      <c r="J98"/>
      <c r="K98"/>
      <c r="L98"/>
      <c r="M98"/>
      <c r="N98"/>
      <c r="O98"/>
      <c r="P98"/>
    </row>
    <row r="99" spans="2:16" ht="12.6" customHeight="1" x14ac:dyDescent="0.2">
      <c r="B99"/>
      <c r="C99"/>
      <c r="D99"/>
      <c r="E99"/>
      <c r="F99"/>
      <c r="G99"/>
      <c r="H99"/>
      <c r="I99"/>
      <c r="J99"/>
      <c r="K99"/>
      <c r="L99"/>
      <c r="M99"/>
      <c r="N99"/>
      <c r="O99"/>
      <c r="P99"/>
    </row>
    <row r="100" spans="2:16" ht="12.6" customHeight="1" x14ac:dyDescent="0.2">
      <c r="B100"/>
      <c r="C100"/>
      <c r="D100"/>
      <c r="E100"/>
      <c r="F100"/>
      <c r="G100"/>
      <c r="H100"/>
      <c r="I100"/>
      <c r="J100"/>
      <c r="K100"/>
      <c r="L100"/>
      <c r="M100"/>
      <c r="N100"/>
      <c r="O100"/>
      <c r="P100"/>
    </row>
    <row r="101" spans="2:16" ht="12.6" customHeight="1" x14ac:dyDescent="0.2">
      <c r="B101"/>
      <c r="C101"/>
      <c r="D101"/>
      <c r="E101"/>
      <c r="F101"/>
      <c r="G101"/>
      <c r="H101"/>
      <c r="I101"/>
      <c r="J101"/>
      <c r="K101"/>
      <c r="L101"/>
      <c r="M101"/>
      <c r="N101"/>
      <c r="O101"/>
      <c r="P101"/>
    </row>
    <row r="102" spans="2:16" ht="12.6" customHeight="1" x14ac:dyDescent="0.2">
      <c r="B102"/>
      <c r="C102"/>
      <c r="D102"/>
      <c r="E102"/>
      <c r="F102"/>
      <c r="G102"/>
      <c r="H102"/>
      <c r="I102"/>
      <c r="J102"/>
      <c r="K102"/>
      <c r="L102"/>
      <c r="M102"/>
      <c r="N102"/>
      <c r="O102"/>
      <c r="P102"/>
    </row>
    <row r="103" spans="2:16" ht="12.6" customHeight="1" x14ac:dyDescent="0.2">
      <c r="B103"/>
      <c r="C103"/>
      <c r="D103"/>
      <c r="E103"/>
      <c r="F103"/>
      <c r="G103"/>
      <c r="H103"/>
      <c r="I103"/>
      <c r="J103"/>
      <c r="K103"/>
      <c r="L103"/>
      <c r="M103"/>
      <c r="N103"/>
      <c r="O103"/>
      <c r="P103"/>
    </row>
    <row r="104" spans="2:16" ht="12.6" customHeight="1" x14ac:dyDescent="0.2">
      <c r="B104"/>
      <c r="C104"/>
      <c r="D104"/>
      <c r="E104"/>
      <c r="F104"/>
      <c r="G104"/>
      <c r="H104"/>
      <c r="I104"/>
      <c r="J104"/>
      <c r="K104"/>
      <c r="L104"/>
      <c r="M104"/>
      <c r="N104"/>
      <c r="O104"/>
      <c r="P104"/>
    </row>
    <row r="105" spans="2:16" ht="12.6" customHeight="1" x14ac:dyDescent="0.2">
      <c r="B105"/>
      <c r="C105"/>
      <c r="D105"/>
      <c r="E105"/>
      <c r="F105"/>
      <c r="G105"/>
      <c r="H105"/>
      <c r="I105"/>
      <c r="J105"/>
      <c r="K105"/>
      <c r="L105"/>
      <c r="M105"/>
      <c r="N105"/>
      <c r="O105"/>
      <c r="P105"/>
    </row>
    <row r="106" spans="2:16" ht="12.6" customHeight="1" x14ac:dyDescent="0.2">
      <c r="B106"/>
      <c r="C106"/>
      <c r="D106"/>
      <c r="E106"/>
      <c r="F106"/>
      <c r="G106"/>
      <c r="H106"/>
      <c r="I106"/>
      <c r="J106"/>
      <c r="K106"/>
      <c r="L106"/>
      <c r="M106"/>
      <c r="N106"/>
      <c r="O106"/>
      <c r="P106"/>
    </row>
    <row r="107" spans="2:16" ht="12.6" customHeight="1" x14ac:dyDescent="0.2">
      <c r="B107"/>
      <c r="C107"/>
      <c r="D107"/>
      <c r="E107"/>
      <c r="F107"/>
      <c r="G107"/>
      <c r="H107"/>
      <c r="I107"/>
      <c r="J107"/>
      <c r="K107"/>
      <c r="L107"/>
      <c r="M107"/>
      <c r="N107"/>
      <c r="O107"/>
      <c r="P107"/>
    </row>
    <row r="108" spans="2:16" ht="12.6" customHeight="1" x14ac:dyDescent="0.2">
      <c r="B108"/>
      <c r="C108"/>
      <c r="D108"/>
      <c r="E108"/>
      <c r="F108"/>
      <c r="G108"/>
      <c r="H108"/>
      <c r="I108"/>
      <c r="J108"/>
      <c r="K108"/>
      <c r="L108"/>
      <c r="M108"/>
      <c r="N108"/>
      <c r="O108"/>
      <c r="P108"/>
    </row>
    <row r="109" spans="2:16" ht="12.75" x14ac:dyDescent="0.2">
      <c r="B109"/>
      <c r="C109"/>
      <c r="D109"/>
      <c r="E109"/>
      <c r="F109"/>
      <c r="G109"/>
      <c r="H109"/>
      <c r="I109"/>
      <c r="J109"/>
      <c r="K109"/>
      <c r="L109"/>
      <c r="M109"/>
      <c r="N109"/>
      <c r="O109"/>
      <c r="P109"/>
    </row>
    <row r="110" spans="2:16" ht="12.75" x14ac:dyDescent="0.2">
      <c r="B110"/>
      <c r="C110"/>
      <c r="D110"/>
      <c r="E110"/>
      <c r="F110"/>
      <c r="G110"/>
      <c r="H110"/>
      <c r="I110"/>
      <c r="J110"/>
      <c r="K110"/>
      <c r="L110"/>
      <c r="M110"/>
      <c r="N110"/>
      <c r="O110"/>
      <c r="P110"/>
    </row>
    <row r="111" spans="2:16" ht="12.75" x14ac:dyDescent="0.2">
      <c r="B111"/>
      <c r="C111"/>
      <c r="D111"/>
      <c r="E111"/>
      <c r="F111"/>
      <c r="G111"/>
      <c r="H111"/>
      <c r="I111"/>
      <c r="J111"/>
      <c r="K111"/>
      <c r="L111"/>
      <c r="M111"/>
      <c r="N111"/>
      <c r="O111"/>
      <c r="P111"/>
    </row>
    <row r="112" spans="2:16" ht="12.75" x14ac:dyDescent="0.2">
      <c r="B112"/>
      <c r="C112"/>
      <c r="D112"/>
      <c r="E112"/>
      <c r="F112"/>
      <c r="G112"/>
      <c r="H112"/>
      <c r="I112"/>
      <c r="J112"/>
      <c r="K112"/>
      <c r="L112"/>
      <c r="M112"/>
      <c r="N112"/>
      <c r="O112"/>
      <c r="P112"/>
    </row>
    <row r="113" spans="1:256" ht="12" customHeight="1" x14ac:dyDescent="0.2">
      <c r="B113"/>
      <c r="C113"/>
      <c r="D113"/>
      <c r="E113"/>
      <c r="F113"/>
      <c r="G113"/>
      <c r="H113"/>
      <c r="I113"/>
      <c r="J113"/>
      <c r="K113"/>
      <c r="L113"/>
      <c r="M113"/>
      <c r="N113"/>
      <c r="O113"/>
      <c r="P113"/>
    </row>
    <row r="114" spans="1:256" s="29" customFormat="1" ht="12" customHeight="1" x14ac:dyDescent="0.2">
      <c r="A114" s="23"/>
      <c r="B114"/>
      <c r="C114"/>
      <c r="D114"/>
      <c r="E114"/>
      <c r="F114"/>
      <c r="G114"/>
      <c r="H114"/>
      <c r="I114"/>
      <c r="J114"/>
      <c r="K114"/>
      <c r="L114"/>
      <c r="M114"/>
      <c r="N114"/>
      <c r="O114"/>
      <c r="P114"/>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c r="IR114" s="2"/>
      <c r="IS114" s="2"/>
      <c r="IT114" s="2"/>
      <c r="IU114" s="2"/>
      <c r="IV114" s="2"/>
    </row>
    <row r="115" spans="1:256" s="29" customFormat="1" ht="12" customHeight="1" x14ac:dyDescent="0.2">
      <c r="A115" s="23"/>
      <c r="B115"/>
      <c r="C115"/>
      <c r="D115"/>
      <c r="E115"/>
      <c r="F115"/>
      <c r="G115"/>
      <c r="H115"/>
      <c r="I115"/>
      <c r="J115"/>
      <c r="K115"/>
      <c r="L115"/>
      <c r="M115"/>
      <c r="N115"/>
      <c r="O115"/>
      <c r="P115"/>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c r="IC115" s="2"/>
      <c r="ID115" s="2"/>
      <c r="IE115" s="2"/>
      <c r="IF115" s="2"/>
      <c r="IG115" s="2"/>
      <c r="IH115" s="2"/>
      <c r="II115" s="2"/>
      <c r="IJ115" s="2"/>
      <c r="IK115" s="2"/>
      <c r="IL115" s="2"/>
      <c r="IM115" s="2"/>
      <c r="IN115" s="2"/>
      <c r="IO115" s="2"/>
      <c r="IP115" s="2"/>
      <c r="IQ115" s="2"/>
      <c r="IR115" s="2"/>
      <c r="IS115" s="2"/>
      <c r="IT115" s="2"/>
      <c r="IU115" s="2"/>
      <c r="IV115" s="2"/>
    </row>
    <row r="116" spans="1:256" s="29" customFormat="1" ht="12" customHeight="1" x14ac:dyDescent="0.2">
      <c r="A116" s="23"/>
      <c r="B116"/>
      <c r="C116"/>
      <c r="D116"/>
      <c r="E116"/>
      <c r="F116"/>
      <c r="G116"/>
      <c r="H116"/>
      <c r="I116"/>
      <c r="J116"/>
      <c r="K116"/>
      <c r="L116"/>
      <c r="M116"/>
      <c r="N116"/>
      <c r="O116"/>
      <c r="P116"/>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c r="IC116" s="2"/>
      <c r="ID116" s="2"/>
      <c r="IE116" s="2"/>
      <c r="IF116" s="2"/>
      <c r="IG116" s="2"/>
      <c r="IH116" s="2"/>
      <c r="II116" s="2"/>
      <c r="IJ116" s="2"/>
      <c r="IK116" s="2"/>
      <c r="IL116" s="2"/>
      <c r="IM116" s="2"/>
      <c r="IN116" s="2"/>
      <c r="IO116" s="2"/>
      <c r="IP116" s="2"/>
      <c r="IQ116" s="2"/>
      <c r="IR116" s="2"/>
      <c r="IS116" s="2"/>
      <c r="IT116" s="2"/>
      <c r="IU116" s="2"/>
      <c r="IV116" s="2"/>
    </row>
    <row r="117" spans="1:256" s="29" customFormat="1" ht="12" customHeight="1" x14ac:dyDescent="0.2">
      <c r="A117" s="23"/>
      <c r="B117"/>
      <c r="C117"/>
      <c r="D117"/>
      <c r="E117"/>
      <c r="F117"/>
      <c r="G117"/>
      <c r="H117"/>
      <c r="I117"/>
      <c r="J117"/>
      <c r="K117"/>
      <c r="L117"/>
      <c r="M117"/>
      <c r="N117"/>
      <c r="O117"/>
      <c r="P117"/>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c r="FR117" s="2"/>
      <c r="FS117" s="2"/>
      <c r="FT117" s="2"/>
      <c r="FU117" s="2"/>
      <c r="FV117" s="2"/>
      <c r="FW117" s="2"/>
      <c r="FX117" s="2"/>
      <c r="FY117" s="2"/>
      <c r="FZ117" s="2"/>
      <c r="GA117" s="2"/>
      <c r="GB117" s="2"/>
      <c r="GC117" s="2"/>
      <c r="GD117" s="2"/>
      <c r="GE117" s="2"/>
      <c r="GF117" s="2"/>
      <c r="GG117" s="2"/>
      <c r="GH117" s="2"/>
      <c r="GI117" s="2"/>
      <c r="GJ117" s="2"/>
      <c r="GK117" s="2"/>
      <c r="GL117" s="2"/>
      <c r="GM117" s="2"/>
      <c r="GN117" s="2"/>
      <c r="GO117" s="2"/>
      <c r="GP117" s="2"/>
      <c r="GQ117" s="2"/>
      <c r="GR117" s="2"/>
      <c r="GS117" s="2"/>
      <c r="GT117" s="2"/>
      <c r="GU117" s="2"/>
      <c r="GV117" s="2"/>
      <c r="GW117" s="2"/>
      <c r="GX117" s="2"/>
      <c r="GY117" s="2"/>
      <c r="GZ117" s="2"/>
      <c r="HA117" s="2"/>
      <c r="HB117" s="2"/>
      <c r="HC117" s="2"/>
      <c r="HD117" s="2"/>
      <c r="HE117" s="2"/>
      <c r="HF117" s="2"/>
      <c r="HG117" s="2"/>
      <c r="HH117" s="2"/>
      <c r="HI117" s="2"/>
      <c r="HJ117" s="2"/>
      <c r="HK117" s="2"/>
      <c r="HL117" s="2"/>
      <c r="HM117" s="2"/>
      <c r="HN117" s="2"/>
      <c r="HO117" s="2"/>
      <c r="HP117" s="2"/>
      <c r="HQ117" s="2"/>
      <c r="HR117" s="2"/>
      <c r="HS117" s="2"/>
      <c r="HT117" s="2"/>
      <c r="HU117" s="2"/>
      <c r="HV117" s="2"/>
      <c r="HW117" s="2"/>
      <c r="HX117" s="2"/>
      <c r="HY117" s="2"/>
      <c r="HZ117" s="2"/>
      <c r="IA117" s="2"/>
      <c r="IB117" s="2"/>
      <c r="IC117" s="2"/>
      <c r="ID117" s="2"/>
      <c r="IE117" s="2"/>
      <c r="IF117" s="2"/>
      <c r="IG117" s="2"/>
      <c r="IH117" s="2"/>
      <c r="II117" s="2"/>
      <c r="IJ117" s="2"/>
      <c r="IK117" s="2"/>
      <c r="IL117" s="2"/>
      <c r="IM117" s="2"/>
      <c r="IN117" s="2"/>
      <c r="IO117" s="2"/>
      <c r="IP117" s="2"/>
      <c r="IQ117" s="2"/>
      <c r="IR117" s="2"/>
      <c r="IS117" s="2"/>
      <c r="IT117" s="2"/>
      <c r="IU117" s="2"/>
      <c r="IV117" s="2"/>
    </row>
    <row r="118" spans="1:256" s="29" customFormat="1" ht="12" customHeight="1" x14ac:dyDescent="0.2">
      <c r="A118" s="23"/>
      <c r="B118"/>
      <c r="C118"/>
      <c r="D118"/>
      <c r="E118"/>
      <c r="F118"/>
      <c r="G118"/>
      <c r="H118"/>
      <c r="I118"/>
      <c r="J118"/>
      <c r="K118"/>
      <c r="L118"/>
      <c r="M118"/>
      <c r="N118"/>
      <c r="O118"/>
      <c r="P118"/>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c r="GN118" s="2"/>
      <c r="GO118" s="2"/>
      <c r="GP118" s="2"/>
      <c r="GQ118" s="2"/>
      <c r="GR118" s="2"/>
      <c r="GS118" s="2"/>
      <c r="GT118" s="2"/>
      <c r="GU118" s="2"/>
      <c r="GV118" s="2"/>
      <c r="GW118" s="2"/>
      <c r="GX118" s="2"/>
      <c r="GY118" s="2"/>
      <c r="GZ118" s="2"/>
      <c r="HA118" s="2"/>
      <c r="HB118" s="2"/>
      <c r="HC118" s="2"/>
      <c r="HD118" s="2"/>
      <c r="HE118" s="2"/>
      <c r="HF118" s="2"/>
      <c r="HG118" s="2"/>
      <c r="HH118" s="2"/>
      <c r="HI118" s="2"/>
      <c r="HJ118" s="2"/>
      <c r="HK118" s="2"/>
      <c r="HL118" s="2"/>
      <c r="HM118" s="2"/>
      <c r="HN118" s="2"/>
      <c r="HO118" s="2"/>
      <c r="HP118" s="2"/>
      <c r="HQ118" s="2"/>
      <c r="HR118" s="2"/>
      <c r="HS118" s="2"/>
      <c r="HT118" s="2"/>
      <c r="HU118" s="2"/>
      <c r="HV118" s="2"/>
      <c r="HW118" s="2"/>
      <c r="HX118" s="2"/>
      <c r="HY118" s="2"/>
      <c r="HZ118" s="2"/>
      <c r="IA118" s="2"/>
      <c r="IB118" s="2"/>
      <c r="IC118" s="2"/>
      <c r="ID118" s="2"/>
      <c r="IE118" s="2"/>
      <c r="IF118" s="2"/>
      <c r="IG118" s="2"/>
      <c r="IH118" s="2"/>
      <c r="II118" s="2"/>
      <c r="IJ118" s="2"/>
      <c r="IK118" s="2"/>
      <c r="IL118" s="2"/>
      <c r="IM118" s="2"/>
      <c r="IN118" s="2"/>
      <c r="IO118" s="2"/>
      <c r="IP118" s="2"/>
      <c r="IQ118" s="2"/>
      <c r="IR118" s="2"/>
      <c r="IS118" s="2"/>
      <c r="IT118" s="2"/>
      <c r="IU118" s="2"/>
      <c r="IV118" s="2"/>
    </row>
    <row r="119" spans="1:256" s="29" customFormat="1" ht="12" customHeight="1" x14ac:dyDescent="0.2">
      <c r="A119" s="23"/>
      <c r="B119"/>
      <c r="C119"/>
      <c r="D119"/>
      <c r="E119"/>
      <c r="F119"/>
      <c r="G119"/>
      <c r="H119"/>
      <c r="I119"/>
      <c r="J119"/>
      <c r="K119"/>
      <c r="L119"/>
      <c r="M119"/>
      <c r="N119"/>
      <c r="O119"/>
      <c r="P119"/>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c r="GW119" s="2"/>
      <c r="GX119" s="2"/>
      <c r="GY119" s="2"/>
      <c r="GZ119" s="2"/>
      <c r="HA119" s="2"/>
      <c r="HB119" s="2"/>
      <c r="HC119" s="2"/>
      <c r="HD119" s="2"/>
      <c r="HE119" s="2"/>
      <c r="HF119" s="2"/>
      <c r="HG119" s="2"/>
      <c r="HH119" s="2"/>
      <c r="HI119" s="2"/>
      <c r="HJ119" s="2"/>
      <c r="HK119" s="2"/>
      <c r="HL119" s="2"/>
      <c r="HM119" s="2"/>
      <c r="HN119" s="2"/>
      <c r="HO119" s="2"/>
      <c r="HP119" s="2"/>
      <c r="HQ119" s="2"/>
      <c r="HR119" s="2"/>
      <c r="HS119" s="2"/>
      <c r="HT119" s="2"/>
      <c r="HU119" s="2"/>
      <c r="HV119" s="2"/>
      <c r="HW119" s="2"/>
      <c r="HX119" s="2"/>
      <c r="HY119" s="2"/>
      <c r="HZ119" s="2"/>
      <c r="IA119" s="2"/>
      <c r="IB119" s="2"/>
      <c r="IC119" s="2"/>
      <c r="ID119" s="2"/>
      <c r="IE119" s="2"/>
      <c r="IF119" s="2"/>
      <c r="IG119" s="2"/>
      <c r="IH119" s="2"/>
      <c r="II119" s="2"/>
      <c r="IJ119" s="2"/>
      <c r="IK119" s="2"/>
      <c r="IL119" s="2"/>
      <c r="IM119" s="2"/>
      <c r="IN119" s="2"/>
      <c r="IO119" s="2"/>
      <c r="IP119" s="2"/>
      <c r="IQ119" s="2"/>
      <c r="IR119" s="2"/>
      <c r="IS119" s="2"/>
      <c r="IT119" s="2"/>
      <c r="IU119" s="2"/>
      <c r="IV119" s="2"/>
    </row>
    <row r="120" spans="1:256" s="29" customFormat="1" ht="12" customHeight="1" x14ac:dyDescent="0.2">
      <c r="A120" s="23"/>
      <c r="B120"/>
      <c r="C120"/>
      <c r="D120"/>
      <c r="E120"/>
      <c r="F120"/>
      <c r="G120"/>
      <c r="H120"/>
      <c r="I120"/>
      <c r="J120"/>
      <c r="K120"/>
      <c r="L120"/>
      <c r="M120"/>
      <c r="N120"/>
      <c r="O120"/>
      <c r="P120"/>
    </row>
    <row r="121" spans="1:256" s="29" customFormat="1" ht="12" customHeight="1" x14ac:dyDescent="0.2">
      <c r="A121" s="23"/>
      <c r="B121"/>
      <c r="C121"/>
      <c r="D121"/>
      <c r="E121"/>
      <c r="F121"/>
      <c r="G121"/>
      <c r="H121"/>
      <c r="I121"/>
      <c r="J121"/>
      <c r="K121"/>
      <c r="L121"/>
      <c r="M121"/>
      <c r="N121"/>
      <c r="O121"/>
      <c r="P121"/>
    </row>
    <row r="122" spans="1:256" s="29" customFormat="1" ht="12" customHeight="1" x14ac:dyDescent="0.2">
      <c r="A122" s="23"/>
      <c r="B122"/>
      <c r="C122"/>
      <c r="D122"/>
      <c r="E122"/>
      <c r="F122"/>
      <c r="G122"/>
      <c r="H122"/>
      <c r="I122"/>
      <c r="J122"/>
      <c r="K122"/>
      <c r="L122"/>
      <c r="M122"/>
      <c r="N122"/>
      <c r="O122"/>
      <c r="P122"/>
    </row>
    <row r="123" spans="1:256" s="29" customFormat="1" ht="12" customHeight="1" x14ac:dyDescent="0.2">
      <c r="A123" s="23"/>
      <c r="B123"/>
      <c r="C123"/>
      <c r="D123"/>
      <c r="E123"/>
      <c r="F123"/>
      <c r="G123"/>
      <c r="H123"/>
      <c r="I123"/>
      <c r="J123"/>
      <c r="K123"/>
      <c r="L123"/>
      <c r="M123"/>
      <c r="N123"/>
      <c r="O123"/>
      <c r="P123"/>
    </row>
    <row r="124" spans="1:256" s="29" customFormat="1" ht="12" customHeight="1" x14ac:dyDescent="0.2">
      <c r="A124" s="23"/>
      <c r="B124"/>
      <c r="C124"/>
      <c r="D124"/>
      <c r="E124"/>
      <c r="F124"/>
      <c r="G124"/>
      <c r="H124"/>
      <c r="I124"/>
      <c r="J124"/>
      <c r="K124"/>
      <c r="L124"/>
      <c r="M124"/>
      <c r="N124"/>
      <c r="O124"/>
      <c r="P124"/>
    </row>
    <row r="125" spans="1:256" s="29" customFormat="1" ht="12" customHeight="1" x14ac:dyDescent="0.2">
      <c r="A125" s="23"/>
      <c r="B125"/>
      <c r="C125"/>
      <c r="D125"/>
      <c r="E125"/>
      <c r="F125"/>
      <c r="G125"/>
      <c r="H125"/>
      <c r="I125"/>
      <c r="J125"/>
      <c r="K125"/>
      <c r="L125"/>
      <c r="M125"/>
      <c r="N125"/>
      <c r="O125"/>
      <c r="P125"/>
    </row>
    <row r="126" spans="1:256" ht="12" customHeight="1" x14ac:dyDescent="0.2">
      <c r="B126"/>
      <c r="C126"/>
      <c r="D126"/>
      <c r="E126"/>
      <c r="F126"/>
      <c r="G126"/>
      <c r="H126"/>
      <c r="I126"/>
      <c r="J126"/>
      <c r="K126"/>
      <c r="L126"/>
      <c r="M126"/>
      <c r="N126"/>
      <c r="O126"/>
      <c r="P126"/>
    </row>
    <row r="127" spans="1:256" ht="12" customHeight="1" x14ac:dyDescent="0.2">
      <c r="B127"/>
      <c r="C127"/>
      <c r="D127"/>
      <c r="E127"/>
      <c r="F127"/>
      <c r="G127"/>
      <c r="H127"/>
      <c r="I127"/>
      <c r="J127"/>
      <c r="K127"/>
      <c r="L127"/>
      <c r="M127"/>
      <c r="N127"/>
      <c r="O127"/>
      <c r="P127"/>
    </row>
    <row r="128" spans="1:256" ht="12" customHeight="1" x14ac:dyDescent="0.2">
      <c r="B128"/>
      <c r="C128"/>
      <c r="D128"/>
      <c r="E128"/>
      <c r="F128"/>
      <c r="G128"/>
      <c r="H128"/>
      <c r="I128"/>
      <c r="J128"/>
      <c r="K128"/>
      <c r="L128"/>
      <c r="M128"/>
      <c r="N128"/>
      <c r="O128"/>
      <c r="P128"/>
    </row>
    <row r="129" spans="1:16" ht="12" customHeight="1" x14ac:dyDescent="0.2">
      <c r="B129"/>
      <c r="C129"/>
      <c r="D129"/>
      <c r="E129"/>
      <c r="F129"/>
      <c r="G129"/>
      <c r="H129"/>
      <c r="I129"/>
      <c r="J129"/>
      <c r="K129"/>
      <c r="L129"/>
      <c r="M129"/>
      <c r="N129"/>
      <c r="O129"/>
      <c r="P129"/>
    </row>
    <row r="130" spans="1:16" ht="12" customHeight="1" x14ac:dyDescent="0.2">
      <c r="B130"/>
      <c r="C130"/>
      <c r="D130"/>
      <c r="E130"/>
      <c r="F130"/>
      <c r="G130"/>
      <c r="H130"/>
      <c r="I130"/>
      <c r="J130"/>
      <c r="K130"/>
      <c r="L130"/>
      <c r="M130"/>
      <c r="N130"/>
      <c r="O130"/>
      <c r="P130"/>
    </row>
    <row r="131" spans="1:16" ht="12" customHeight="1" x14ac:dyDescent="0.2">
      <c r="B131"/>
      <c r="C131"/>
      <c r="D131"/>
      <c r="E131"/>
      <c r="F131"/>
      <c r="G131"/>
      <c r="H131"/>
      <c r="I131"/>
      <c r="J131"/>
      <c r="K131"/>
      <c r="L131"/>
      <c r="M131"/>
      <c r="N131"/>
      <c r="O131"/>
      <c r="P131"/>
    </row>
    <row r="132" spans="1:16" ht="12" customHeight="1" x14ac:dyDescent="0.2">
      <c r="B132"/>
      <c r="C132"/>
      <c r="D132"/>
      <c r="E132"/>
      <c r="F132"/>
      <c r="G132"/>
      <c r="H132"/>
      <c r="I132"/>
      <c r="J132"/>
      <c r="K132"/>
      <c r="L132"/>
      <c r="M132"/>
      <c r="N132"/>
      <c r="O132"/>
      <c r="P132"/>
    </row>
    <row r="133" spans="1:16" ht="12" customHeight="1" x14ac:dyDescent="0.2">
      <c r="B133"/>
      <c r="C133"/>
      <c r="D133"/>
      <c r="E133"/>
      <c r="F133"/>
      <c r="G133"/>
      <c r="H133"/>
      <c r="I133"/>
      <c r="J133"/>
      <c r="K133"/>
      <c r="L133"/>
      <c r="M133"/>
      <c r="N133"/>
      <c r="O133"/>
      <c r="P133"/>
    </row>
    <row r="134" spans="1:16" ht="12" customHeight="1" x14ac:dyDescent="0.2">
      <c r="B134"/>
      <c r="C134"/>
      <c r="D134"/>
      <c r="E134"/>
      <c r="F134"/>
      <c r="G134"/>
      <c r="H134"/>
      <c r="I134"/>
      <c r="J134"/>
      <c r="K134"/>
      <c r="L134"/>
      <c r="M134"/>
      <c r="N134"/>
      <c r="O134"/>
      <c r="P134"/>
    </row>
    <row r="135" spans="1:16" ht="12" customHeight="1" x14ac:dyDescent="0.2">
      <c r="B135"/>
      <c r="C135"/>
      <c r="D135"/>
      <c r="E135"/>
      <c r="F135"/>
      <c r="G135"/>
      <c r="H135"/>
      <c r="I135"/>
      <c r="J135"/>
      <c r="K135"/>
      <c r="L135"/>
      <c r="M135"/>
      <c r="N135"/>
      <c r="O135"/>
      <c r="P135"/>
    </row>
    <row r="136" spans="1:16" s="28" customFormat="1" ht="12" customHeight="1" x14ac:dyDescent="0.25">
      <c r="A136" s="23"/>
      <c r="B136"/>
      <c r="C136"/>
      <c r="D136"/>
      <c r="E136"/>
      <c r="F136"/>
      <c r="G136"/>
      <c r="H136"/>
      <c r="I136"/>
      <c r="J136"/>
      <c r="K136"/>
      <c r="L136"/>
      <c r="M136"/>
      <c r="N136"/>
      <c r="O136"/>
      <c r="P136"/>
    </row>
    <row r="137" spans="1:16" ht="12" customHeight="1" x14ac:dyDescent="0.2">
      <c r="B137"/>
      <c r="C137"/>
      <c r="D137"/>
      <c r="E137"/>
      <c r="F137"/>
      <c r="G137"/>
      <c r="H137"/>
      <c r="I137"/>
      <c r="J137"/>
      <c r="K137"/>
      <c r="L137"/>
      <c r="M137"/>
      <c r="N137"/>
      <c r="O137"/>
      <c r="P137"/>
    </row>
    <row r="138" spans="1:16" ht="12" customHeight="1" x14ac:dyDescent="0.2">
      <c r="B138"/>
      <c r="C138"/>
      <c r="D138"/>
      <c r="E138"/>
      <c r="F138"/>
      <c r="G138"/>
      <c r="H138"/>
      <c r="I138"/>
      <c r="J138"/>
      <c r="K138"/>
      <c r="L138"/>
      <c r="M138"/>
      <c r="N138"/>
      <c r="O138"/>
      <c r="P138"/>
    </row>
    <row r="139" spans="1:16" ht="12" customHeight="1" x14ac:dyDescent="0.2">
      <c r="B139"/>
      <c r="C139"/>
      <c r="D139"/>
      <c r="E139"/>
      <c r="F139"/>
      <c r="G139"/>
      <c r="H139"/>
      <c r="I139"/>
      <c r="J139"/>
      <c r="K139"/>
      <c r="L139"/>
      <c r="M139"/>
      <c r="N139"/>
      <c r="O139"/>
      <c r="P139"/>
    </row>
    <row r="140" spans="1:16" ht="12" customHeight="1" x14ac:dyDescent="0.2">
      <c r="B140"/>
      <c r="C140"/>
      <c r="D140"/>
      <c r="E140"/>
      <c r="F140"/>
      <c r="G140"/>
      <c r="H140"/>
      <c r="I140"/>
      <c r="J140"/>
      <c r="K140"/>
      <c r="L140"/>
      <c r="M140"/>
      <c r="N140"/>
      <c r="O140"/>
      <c r="P140"/>
    </row>
    <row r="141" spans="1:16" ht="12" customHeight="1" x14ac:dyDescent="0.2">
      <c r="B141"/>
      <c r="C141"/>
      <c r="D141"/>
      <c r="E141"/>
      <c r="F141"/>
      <c r="G141"/>
      <c r="H141"/>
      <c r="I141"/>
      <c r="J141"/>
      <c r="K141"/>
      <c r="L141"/>
      <c r="M141"/>
      <c r="N141"/>
      <c r="O141"/>
      <c r="P141"/>
    </row>
    <row r="142" spans="1:16" ht="12" customHeight="1" x14ac:dyDescent="0.2">
      <c r="B142"/>
      <c r="C142"/>
      <c r="D142"/>
      <c r="E142"/>
      <c r="F142"/>
      <c r="G142"/>
      <c r="H142"/>
      <c r="I142"/>
      <c r="J142"/>
      <c r="K142"/>
      <c r="L142"/>
      <c r="M142"/>
      <c r="N142"/>
      <c r="O142"/>
      <c r="P142"/>
    </row>
    <row r="143" spans="1:16" ht="12" customHeight="1" x14ac:dyDescent="0.2">
      <c r="B143"/>
      <c r="C143"/>
      <c r="D143"/>
      <c r="E143"/>
      <c r="F143"/>
      <c r="G143"/>
      <c r="H143"/>
      <c r="I143"/>
      <c r="J143"/>
      <c r="K143"/>
      <c r="L143"/>
      <c r="M143"/>
      <c r="N143"/>
      <c r="O143"/>
      <c r="P143"/>
    </row>
    <row r="144" spans="1:16" ht="12" customHeight="1" x14ac:dyDescent="0.2">
      <c r="B144"/>
      <c r="C144"/>
      <c r="D144"/>
      <c r="E144"/>
      <c r="F144"/>
      <c r="G144"/>
      <c r="H144"/>
      <c r="I144"/>
      <c r="J144"/>
      <c r="K144"/>
      <c r="L144"/>
      <c r="M144"/>
      <c r="N144"/>
      <c r="O144"/>
      <c r="P144"/>
    </row>
    <row r="145" spans="2:16" ht="12" customHeight="1" x14ac:dyDescent="0.2">
      <c r="B145"/>
      <c r="C145"/>
      <c r="D145"/>
      <c r="E145"/>
      <c r="F145"/>
      <c r="G145"/>
      <c r="H145"/>
      <c r="I145"/>
      <c r="J145"/>
      <c r="K145"/>
      <c r="L145"/>
      <c r="M145"/>
      <c r="N145"/>
      <c r="O145"/>
      <c r="P145"/>
    </row>
    <row r="146" spans="2:16" ht="12" customHeight="1" x14ac:dyDescent="0.2">
      <c r="B146"/>
      <c r="C146"/>
      <c r="D146"/>
      <c r="E146"/>
      <c r="F146"/>
      <c r="G146"/>
      <c r="H146"/>
      <c r="I146"/>
      <c r="J146"/>
      <c r="K146"/>
      <c r="L146"/>
      <c r="M146"/>
      <c r="N146"/>
      <c r="O146"/>
      <c r="P146"/>
    </row>
    <row r="147" spans="2:16" ht="12" customHeight="1" x14ac:dyDescent="0.2">
      <c r="B147"/>
      <c r="C147"/>
      <c r="D147"/>
      <c r="E147"/>
      <c r="F147"/>
      <c r="G147"/>
      <c r="H147"/>
      <c r="I147"/>
      <c r="J147"/>
      <c r="K147"/>
      <c r="L147"/>
      <c r="M147"/>
      <c r="N147"/>
      <c r="O147"/>
      <c r="P147"/>
    </row>
    <row r="148" spans="2:16" ht="12" customHeight="1" x14ac:dyDescent="0.2">
      <c r="B148"/>
      <c r="C148"/>
      <c r="D148"/>
      <c r="E148"/>
      <c r="F148"/>
      <c r="G148"/>
      <c r="H148"/>
      <c r="I148"/>
      <c r="J148"/>
      <c r="K148"/>
      <c r="L148"/>
      <c r="M148"/>
      <c r="N148"/>
      <c r="O148"/>
      <c r="P148"/>
    </row>
    <row r="149" spans="2:16" ht="12" customHeight="1" x14ac:dyDescent="0.2">
      <c r="B149"/>
      <c r="C149"/>
      <c r="D149"/>
      <c r="E149"/>
      <c r="F149"/>
      <c r="G149"/>
      <c r="H149"/>
      <c r="I149"/>
      <c r="J149"/>
      <c r="K149"/>
      <c r="L149"/>
      <c r="M149"/>
      <c r="N149"/>
      <c r="O149"/>
      <c r="P149"/>
    </row>
    <row r="150" spans="2:16" ht="12" customHeight="1" x14ac:dyDescent="0.2">
      <c r="B150"/>
      <c r="C150"/>
      <c r="D150"/>
      <c r="E150"/>
      <c r="F150"/>
      <c r="G150"/>
      <c r="H150"/>
      <c r="I150"/>
      <c r="J150"/>
      <c r="K150"/>
      <c r="L150"/>
      <c r="M150"/>
      <c r="N150"/>
      <c r="O150"/>
      <c r="P150"/>
    </row>
    <row r="151" spans="2:16" ht="12" customHeight="1" x14ac:dyDescent="0.2">
      <c r="B151"/>
      <c r="C151"/>
      <c r="D151"/>
      <c r="E151"/>
      <c r="F151"/>
      <c r="G151"/>
      <c r="H151"/>
      <c r="I151"/>
      <c r="J151"/>
      <c r="K151"/>
      <c r="L151"/>
      <c r="M151"/>
      <c r="N151"/>
      <c r="O151"/>
      <c r="P151"/>
    </row>
    <row r="152" spans="2:16" ht="12" customHeight="1" x14ac:dyDescent="0.2">
      <c r="B152"/>
      <c r="C152"/>
      <c r="D152"/>
      <c r="E152"/>
      <c r="F152"/>
      <c r="G152"/>
      <c r="H152"/>
      <c r="I152"/>
      <c r="J152"/>
      <c r="K152"/>
      <c r="L152"/>
      <c r="M152"/>
      <c r="N152"/>
      <c r="O152"/>
      <c r="P152"/>
    </row>
    <row r="153" spans="2:16" ht="12" customHeight="1" x14ac:dyDescent="0.2">
      <c r="B153"/>
      <c r="C153"/>
      <c r="D153"/>
      <c r="E153"/>
      <c r="F153"/>
      <c r="G153"/>
      <c r="H153"/>
      <c r="I153"/>
      <c r="J153"/>
      <c r="K153"/>
      <c r="L153"/>
      <c r="M153"/>
      <c r="N153"/>
      <c r="O153"/>
      <c r="P153"/>
    </row>
    <row r="154" spans="2:16" ht="12" customHeight="1" x14ac:dyDescent="0.2">
      <c r="B154"/>
      <c r="C154"/>
      <c r="D154"/>
      <c r="E154"/>
      <c r="F154"/>
      <c r="G154"/>
      <c r="H154"/>
      <c r="I154"/>
      <c r="J154"/>
      <c r="K154"/>
      <c r="L154"/>
      <c r="M154"/>
      <c r="N154"/>
      <c r="O154"/>
      <c r="P154"/>
    </row>
    <row r="155" spans="2:16" ht="12" customHeight="1" x14ac:dyDescent="0.2">
      <c r="B155"/>
      <c r="C155"/>
      <c r="D155"/>
      <c r="E155"/>
      <c r="F155"/>
      <c r="G155"/>
      <c r="H155"/>
      <c r="I155"/>
      <c r="J155"/>
      <c r="K155"/>
      <c r="L155"/>
      <c r="M155"/>
      <c r="N155"/>
      <c r="O155"/>
      <c r="P155"/>
    </row>
    <row r="156" spans="2:16" ht="12" customHeight="1" x14ac:dyDescent="0.2">
      <c r="B156"/>
      <c r="C156"/>
      <c r="D156"/>
      <c r="E156"/>
      <c r="F156"/>
      <c r="G156"/>
      <c r="H156"/>
      <c r="I156"/>
      <c r="J156"/>
      <c r="K156"/>
      <c r="L156"/>
      <c r="M156"/>
      <c r="N156"/>
      <c r="O156"/>
      <c r="P156"/>
    </row>
    <row r="157" spans="2:16" ht="12" customHeight="1" x14ac:dyDescent="0.2">
      <c r="B157"/>
      <c r="C157"/>
      <c r="D157"/>
      <c r="E157"/>
      <c r="F157"/>
      <c r="G157"/>
      <c r="H157"/>
      <c r="I157"/>
      <c r="J157"/>
      <c r="K157"/>
      <c r="L157"/>
      <c r="M157"/>
      <c r="N157"/>
      <c r="O157"/>
      <c r="P157"/>
    </row>
    <row r="158" spans="2:16" ht="12" customHeight="1" x14ac:dyDescent="0.2">
      <c r="B158"/>
      <c r="C158"/>
      <c r="D158"/>
      <c r="E158"/>
      <c r="F158"/>
      <c r="G158"/>
      <c r="H158"/>
      <c r="I158"/>
      <c r="J158"/>
      <c r="K158"/>
      <c r="L158"/>
      <c r="M158"/>
      <c r="N158"/>
      <c r="O158"/>
      <c r="P158"/>
    </row>
    <row r="159" spans="2:16" ht="12" customHeight="1" x14ac:dyDescent="0.2">
      <c r="B159"/>
      <c r="C159"/>
      <c r="D159"/>
      <c r="E159"/>
      <c r="F159"/>
      <c r="G159"/>
      <c r="H159"/>
      <c r="I159"/>
      <c r="J159"/>
      <c r="K159"/>
      <c r="L159"/>
      <c r="M159"/>
      <c r="N159"/>
      <c r="O159"/>
      <c r="P159"/>
    </row>
    <row r="160" spans="2:16" ht="12" customHeight="1" x14ac:dyDescent="0.2">
      <c r="B160"/>
      <c r="C160"/>
      <c r="D160"/>
      <c r="E160"/>
      <c r="F160"/>
      <c r="G160"/>
      <c r="H160"/>
      <c r="I160"/>
      <c r="J160"/>
      <c r="K160"/>
      <c r="L160"/>
      <c r="M160"/>
      <c r="N160"/>
      <c r="O160"/>
      <c r="P160"/>
    </row>
    <row r="161" spans="2:16" ht="12" customHeight="1" x14ac:dyDescent="0.2">
      <c r="B161"/>
      <c r="C161"/>
      <c r="D161"/>
      <c r="E161"/>
      <c r="F161"/>
      <c r="G161"/>
      <c r="H161"/>
      <c r="I161"/>
      <c r="J161"/>
      <c r="K161"/>
      <c r="L161"/>
      <c r="M161"/>
      <c r="N161"/>
      <c r="O161"/>
      <c r="P161"/>
    </row>
    <row r="162" spans="2:16" ht="12" customHeight="1" x14ac:dyDescent="0.2">
      <c r="B162"/>
      <c r="C162"/>
      <c r="D162"/>
      <c r="E162"/>
      <c r="F162"/>
      <c r="G162"/>
      <c r="H162"/>
      <c r="I162"/>
      <c r="J162"/>
      <c r="K162"/>
      <c r="L162"/>
      <c r="M162"/>
      <c r="N162"/>
      <c r="O162"/>
      <c r="P162"/>
    </row>
    <row r="163" spans="2:16" ht="12" customHeight="1" x14ac:dyDescent="0.2">
      <c r="B163"/>
      <c r="C163"/>
      <c r="D163"/>
      <c r="E163"/>
      <c r="F163"/>
      <c r="G163"/>
      <c r="H163"/>
      <c r="I163"/>
      <c r="J163"/>
      <c r="K163"/>
      <c r="L163"/>
      <c r="M163"/>
      <c r="N163"/>
      <c r="O163"/>
      <c r="P163"/>
    </row>
    <row r="164" spans="2:16" ht="12" customHeight="1" x14ac:dyDescent="0.2">
      <c r="B164"/>
      <c r="C164"/>
      <c r="D164"/>
      <c r="E164"/>
      <c r="F164"/>
      <c r="G164"/>
      <c r="H164"/>
      <c r="I164"/>
      <c r="J164"/>
      <c r="K164"/>
      <c r="L164"/>
      <c r="M164"/>
      <c r="N164"/>
      <c r="O164"/>
      <c r="P164"/>
    </row>
    <row r="165" spans="2:16" ht="12" customHeight="1" x14ac:dyDescent="0.2">
      <c r="B165"/>
      <c r="C165"/>
      <c r="D165"/>
      <c r="E165"/>
      <c r="F165"/>
      <c r="G165"/>
      <c r="H165"/>
      <c r="I165"/>
      <c r="J165"/>
      <c r="K165"/>
      <c r="L165"/>
      <c r="M165"/>
      <c r="N165"/>
      <c r="O165"/>
      <c r="P165"/>
    </row>
    <row r="166" spans="2:16" ht="12" customHeight="1" x14ac:dyDescent="0.2">
      <c r="B166"/>
      <c r="C166"/>
      <c r="D166"/>
      <c r="E166"/>
      <c r="F166"/>
      <c r="G166"/>
      <c r="H166"/>
      <c r="I166"/>
      <c r="J166"/>
      <c r="K166"/>
      <c r="L166"/>
      <c r="M166"/>
      <c r="N166"/>
      <c r="O166"/>
      <c r="P166"/>
    </row>
    <row r="167" spans="2:16" ht="12" customHeight="1" x14ac:dyDescent="0.2">
      <c r="B167"/>
      <c r="C167"/>
      <c r="D167"/>
      <c r="E167"/>
      <c r="F167"/>
      <c r="G167"/>
      <c r="H167"/>
      <c r="I167"/>
      <c r="J167"/>
      <c r="K167"/>
      <c r="L167"/>
      <c r="M167"/>
      <c r="N167"/>
      <c r="O167"/>
      <c r="P167"/>
    </row>
    <row r="168" spans="2:16" ht="12" customHeight="1" x14ac:dyDescent="0.2">
      <c r="B168"/>
      <c r="C168"/>
      <c r="D168"/>
      <c r="E168"/>
      <c r="F168"/>
      <c r="G168"/>
      <c r="H168"/>
      <c r="I168"/>
      <c r="J168"/>
      <c r="K168"/>
      <c r="L168"/>
      <c r="M168"/>
      <c r="N168"/>
      <c r="O168"/>
      <c r="P168"/>
    </row>
    <row r="169" spans="2:16" ht="12" customHeight="1" x14ac:dyDescent="0.2">
      <c r="B169"/>
      <c r="C169"/>
      <c r="D169"/>
      <c r="E169"/>
      <c r="F169"/>
      <c r="G169"/>
      <c r="H169"/>
      <c r="I169"/>
      <c r="J169"/>
      <c r="K169"/>
      <c r="L169"/>
      <c r="M169"/>
      <c r="N169"/>
      <c r="O169"/>
      <c r="P169"/>
    </row>
    <row r="170" spans="2:16" ht="12" customHeight="1" x14ac:dyDescent="0.2">
      <c r="B170"/>
      <c r="C170"/>
      <c r="D170"/>
      <c r="E170"/>
      <c r="F170"/>
      <c r="G170"/>
      <c r="H170"/>
      <c r="I170"/>
      <c r="J170"/>
      <c r="K170"/>
      <c r="L170"/>
      <c r="M170"/>
      <c r="N170"/>
      <c r="O170"/>
      <c r="P170"/>
    </row>
    <row r="171" spans="2:16" ht="12" customHeight="1" x14ac:dyDescent="0.2">
      <c r="B171"/>
      <c r="C171"/>
      <c r="D171"/>
      <c r="E171"/>
      <c r="F171"/>
      <c r="G171"/>
      <c r="H171"/>
      <c r="I171"/>
      <c r="J171"/>
      <c r="K171"/>
      <c r="L171"/>
      <c r="M171"/>
      <c r="N171"/>
      <c r="O171"/>
      <c r="P171"/>
    </row>
    <row r="172" spans="2:16" ht="12" customHeight="1" x14ac:dyDescent="0.2">
      <c r="B172"/>
      <c r="C172"/>
      <c r="D172"/>
      <c r="E172"/>
      <c r="F172"/>
      <c r="G172"/>
      <c r="H172"/>
      <c r="I172"/>
      <c r="J172"/>
      <c r="K172"/>
      <c r="L172"/>
      <c r="M172"/>
      <c r="N172"/>
      <c r="O172"/>
      <c r="P172"/>
    </row>
    <row r="173" spans="2:16" ht="12" customHeight="1" x14ac:dyDescent="0.2">
      <c r="B173"/>
      <c r="C173"/>
      <c r="D173"/>
      <c r="E173"/>
      <c r="F173"/>
      <c r="G173"/>
      <c r="H173"/>
      <c r="I173"/>
      <c r="J173"/>
      <c r="K173"/>
      <c r="L173"/>
      <c r="M173"/>
      <c r="N173"/>
      <c r="O173"/>
      <c r="P173"/>
    </row>
    <row r="174" spans="2:16" ht="12" customHeight="1" x14ac:dyDescent="0.2">
      <c r="B174"/>
      <c r="C174"/>
      <c r="D174"/>
      <c r="E174"/>
      <c r="F174"/>
      <c r="G174"/>
      <c r="H174"/>
      <c r="I174"/>
      <c r="J174"/>
      <c r="K174"/>
      <c r="L174"/>
      <c r="M174"/>
      <c r="N174"/>
      <c r="O174"/>
      <c r="P174"/>
    </row>
    <row r="175" spans="2:16" ht="12" customHeight="1" x14ac:dyDescent="0.2">
      <c r="B175"/>
      <c r="C175"/>
      <c r="D175"/>
      <c r="E175"/>
      <c r="F175"/>
      <c r="G175"/>
      <c r="H175"/>
      <c r="I175"/>
      <c r="J175"/>
      <c r="K175"/>
      <c r="L175"/>
      <c r="M175"/>
      <c r="N175"/>
      <c r="O175"/>
      <c r="P175"/>
    </row>
    <row r="176" spans="2:16" ht="12" customHeight="1" x14ac:dyDescent="0.2">
      <c r="B176"/>
      <c r="C176"/>
      <c r="D176"/>
      <c r="E176"/>
      <c r="F176"/>
      <c r="G176"/>
      <c r="H176"/>
      <c r="I176"/>
      <c r="J176"/>
      <c r="K176"/>
      <c r="L176"/>
      <c r="M176"/>
      <c r="N176"/>
      <c r="O176"/>
      <c r="P176"/>
    </row>
    <row r="177" spans="2:16" ht="12" customHeight="1" x14ac:dyDescent="0.2">
      <c r="B177"/>
      <c r="C177"/>
      <c r="D177"/>
      <c r="E177"/>
      <c r="F177"/>
      <c r="G177"/>
      <c r="H177"/>
      <c r="I177"/>
      <c r="J177"/>
      <c r="K177"/>
      <c r="L177"/>
      <c r="M177"/>
      <c r="N177"/>
      <c r="O177"/>
      <c r="P177"/>
    </row>
    <row r="178" spans="2:16" ht="12.75" x14ac:dyDescent="0.2">
      <c r="B178"/>
      <c r="C178"/>
      <c r="D178"/>
      <c r="E178"/>
      <c r="F178"/>
      <c r="G178"/>
      <c r="H178"/>
      <c r="I178"/>
      <c r="J178"/>
      <c r="K178"/>
      <c r="L178"/>
      <c r="M178"/>
      <c r="N178"/>
      <c r="O178"/>
      <c r="P178"/>
    </row>
    <row r="179" spans="2:16" ht="12.75" x14ac:dyDescent="0.2">
      <c r="B179"/>
      <c r="C179"/>
      <c r="D179"/>
      <c r="E179"/>
      <c r="F179"/>
      <c r="G179"/>
      <c r="H179"/>
      <c r="I179"/>
      <c r="J179"/>
      <c r="K179"/>
      <c r="L179"/>
      <c r="M179"/>
      <c r="N179"/>
      <c r="O179"/>
      <c r="P179"/>
    </row>
    <row r="180" spans="2:16" ht="12.75" x14ac:dyDescent="0.2">
      <c r="B180"/>
      <c r="C180"/>
      <c r="D180"/>
      <c r="E180"/>
      <c r="F180"/>
      <c r="G180"/>
      <c r="H180"/>
      <c r="I180"/>
      <c r="J180"/>
      <c r="K180"/>
      <c r="L180"/>
      <c r="M180"/>
      <c r="N180"/>
      <c r="O180"/>
      <c r="P180"/>
    </row>
    <row r="181" spans="2:16" ht="12.75" x14ac:dyDescent="0.2">
      <c r="B181"/>
      <c r="C181"/>
      <c r="D181"/>
      <c r="E181"/>
      <c r="F181"/>
      <c r="G181"/>
      <c r="H181"/>
      <c r="I181"/>
      <c r="J181"/>
      <c r="K181"/>
      <c r="L181"/>
      <c r="M181"/>
      <c r="N181"/>
      <c r="O181"/>
      <c r="P181"/>
    </row>
  </sheetData>
  <phoneticPr fontId="11" type="noConversion"/>
  <pageMargins left="0.3" right="0.3" top="0.5" bottom="0.5" header="0.1" footer="0.1"/>
  <pageSetup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68DC9-52AA-4C41-9D12-FA88AE4F7BBA}">
  <dimension ref="A1:I12"/>
  <sheetViews>
    <sheetView workbookViewId="0">
      <selection activeCell="B11" sqref="B11"/>
    </sheetView>
  </sheetViews>
  <sheetFormatPr baseColWidth="10" defaultColWidth="9.140625" defaultRowHeight="12.75" x14ac:dyDescent="0.2"/>
  <cols>
    <col min="1" max="1" width="17.5703125" bestFit="1" customWidth="1"/>
    <col min="2" max="6" width="12.5703125" bestFit="1" customWidth="1"/>
    <col min="7" max="7" width="28" bestFit="1" customWidth="1"/>
    <col min="8" max="9" width="9.5703125" bestFit="1" customWidth="1"/>
  </cols>
  <sheetData>
    <row r="1" spans="1:9" x14ac:dyDescent="0.2">
      <c r="B1" s="5">
        <v>2002</v>
      </c>
      <c r="C1" s="6">
        <v>2003</v>
      </c>
      <c r="D1" s="6">
        <v>2004</v>
      </c>
      <c r="E1" s="6">
        <v>2005</v>
      </c>
      <c r="F1" s="7" t="s">
        <v>3</v>
      </c>
    </row>
    <row r="2" spans="1:9" x14ac:dyDescent="0.2">
      <c r="A2" t="s">
        <v>54</v>
      </c>
      <c r="B2" s="54">
        <f>'Ceres exhibits'!C11</f>
        <v>2257</v>
      </c>
      <c r="C2" s="54">
        <f>'Ceres exhibits'!D11</f>
        <v>2679.6928355999999</v>
      </c>
      <c r="D2" s="54">
        <f>'Ceres exhibits'!E11</f>
        <v>2958.4891609199999</v>
      </c>
      <c r="E2" s="54">
        <f>'Ceres exhibits'!F11</f>
        <v>3617.3477470457096</v>
      </c>
      <c r="F2" s="54">
        <f>'Ceres exhibits'!G11</f>
        <v>4346.6493469041689</v>
      </c>
      <c r="G2" s="54">
        <f>'Ceres exhibits'!H11</f>
        <v>4346.6493469041689</v>
      </c>
      <c r="H2" s="54">
        <f>'Ceres exhibits'!I11</f>
        <v>4346.6493469041689</v>
      </c>
      <c r="I2" s="54">
        <f>'Ceres exhibits'!J11</f>
        <v>4346.6493469041689</v>
      </c>
    </row>
    <row r="3" spans="1:9" x14ac:dyDescent="0.2">
      <c r="A3" t="s">
        <v>55</v>
      </c>
      <c r="B3" s="54">
        <f>'Ceres exhibits'!C8+'Ceres exhibits'!C7-'Ceres exhibits'!C19</f>
        <v>4540</v>
      </c>
      <c r="C3" s="54">
        <f>'Ceres exhibits'!D8+'Ceres exhibits'!D7-'Ceres exhibits'!D19</f>
        <v>4226.5730560408774</v>
      </c>
      <c r="D3" s="54">
        <f>'Ceres exhibits'!E8+'Ceres exhibits'!E7-'Ceres exhibits'!E19</f>
        <v>5122.4529571431312</v>
      </c>
      <c r="E3" s="54">
        <f>'Ceres exhibits'!F8+'Ceres exhibits'!F7-'Ceres exhibits'!F19</f>
        <v>6917.1964225894208</v>
      </c>
      <c r="F3" s="54">
        <f>'Ceres exhibits'!G8+'Ceres exhibits'!G7-'Ceres exhibits'!G19</f>
        <v>8893.8209413779568</v>
      </c>
    </row>
    <row r="5" spans="1:9" x14ac:dyDescent="0.2">
      <c r="A5" t="s">
        <v>56</v>
      </c>
      <c r="B5" s="54">
        <f>B2+B3</f>
        <v>6797</v>
      </c>
      <c r="C5" s="54">
        <f t="shared" ref="C5:E5" si="0">C2+C3</f>
        <v>6906.2658916408773</v>
      </c>
      <c r="D5" s="54">
        <f t="shared" si="0"/>
        <v>8080.9421180631307</v>
      </c>
      <c r="E5" s="54">
        <f t="shared" si="0"/>
        <v>10534.54416963513</v>
      </c>
      <c r="F5" s="54">
        <f>F2+F3</f>
        <v>13240.470288282126</v>
      </c>
    </row>
    <row r="6" spans="1:9" x14ac:dyDescent="0.2">
      <c r="A6" t="s">
        <v>57</v>
      </c>
      <c r="B6" s="54">
        <f>'Ceres exhibits'!C37-'Ceres exhibits'!C41</f>
        <v>1377.7119600000005</v>
      </c>
      <c r="C6" s="54">
        <f>'Ceres exhibits'!D37-'Ceres exhibits'!D41</f>
        <v>1641.5880101065943</v>
      </c>
      <c r="D6" s="54">
        <f>'Ceres exhibits'!E37-'Ceres exhibits'!E41</f>
        <v>1719.0823336699032</v>
      </c>
      <c r="E6" s="54">
        <f>'Ceres exhibits'!F37-'Ceres exhibits'!F41</f>
        <v>2034.4131318701657</v>
      </c>
      <c r="F6" s="54">
        <f>'Ceres exhibits'!G37-'Ceres exhibits'!G41</f>
        <v>2192.1875435785473</v>
      </c>
    </row>
    <row r="8" spans="1:9" x14ac:dyDescent="0.2">
      <c r="A8" t="s">
        <v>58</v>
      </c>
      <c r="B8" s="32">
        <f>B6/B5</f>
        <v>0.20269412387818164</v>
      </c>
      <c r="C8" s="32">
        <f t="shared" ref="C8:F8" si="1">C6/C5</f>
        <v>0.23769545451377999</v>
      </c>
      <c r="D8" s="32">
        <f t="shared" si="1"/>
        <v>0.21273291016740248</v>
      </c>
      <c r="E8" s="32">
        <f t="shared" si="1"/>
        <v>0.19311828771236039</v>
      </c>
      <c r="F8" s="32">
        <f t="shared" si="1"/>
        <v>0.16556719631920044</v>
      </c>
    </row>
    <row r="10" spans="1:9" x14ac:dyDescent="0.2">
      <c r="A10" t="s">
        <v>59</v>
      </c>
      <c r="B10" s="32">
        <f>Financiacion!C37</f>
        <v>0.15329048270880727</v>
      </c>
      <c r="C10" s="32">
        <f>Financiacion!D37</f>
        <v>0.13956720872526646</v>
      </c>
      <c r="D10" s="32">
        <f>Financiacion!E37</f>
        <v>0.11375057779348788</v>
      </c>
      <c r="E10" s="32">
        <f>Financiacion!F37</f>
        <v>0.10870863447626052</v>
      </c>
      <c r="F10" s="32">
        <f>Financiacion!G37</f>
        <v>9.7217994892297432E-2</v>
      </c>
    </row>
    <row r="12" spans="1:9" x14ac:dyDescent="0.2">
      <c r="A12" t="s">
        <v>60</v>
      </c>
      <c r="B12" t="b">
        <f>B8&gt;B10</f>
        <v>1</v>
      </c>
      <c r="C12" t="b">
        <f t="shared" ref="C12:F12" si="2">C8&gt;C10</f>
        <v>1</v>
      </c>
      <c r="D12" t="b">
        <f t="shared" si="2"/>
        <v>1</v>
      </c>
      <c r="E12" t="b">
        <f t="shared" si="2"/>
        <v>1</v>
      </c>
      <c r="F12" t="b">
        <f t="shared" si="2"/>
        <v>1</v>
      </c>
      <c r="G12"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BF28B-A7DE-41B2-A785-3C12ABC2663A}">
  <dimension ref="A1:O37"/>
  <sheetViews>
    <sheetView workbookViewId="0">
      <selection activeCell="G16" sqref="G16"/>
    </sheetView>
  </sheetViews>
  <sheetFormatPr baseColWidth="10" defaultColWidth="9.140625" defaultRowHeight="12.75" x14ac:dyDescent="0.2"/>
  <cols>
    <col min="1" max="1" width="11.140625" bestFit="1" customWidth="1"/>
    <col min="2" max="2" width="26" bestFit="1" customWidth="1"/>
    <col min="3" max="3" width="12.28515625" customWidth="1"/>
    <col min="4" max="4" width="13.140625" customWidth="1"/>
    <col min="5" max="6" width="14.85546875" bestFit="1" customWidth="1"/>
    <col min="7" max="7" width="11.140625" customWidth="1"/>
    <col min="8" max="8" width="36.5703125" bestFit="1" customWidth="1"/>
  </cols>
  <sheetData>
    <row r="1" spans="1:7" x14ac:dyDescent="0.2">
      <c r="C1" s="5">
        <v>2002</v>
      </c>
      <c r="D1" s="6">
        <v>2003</v>
      </c>
      <c r="E1" s="6">
        <v>2004</v>
      </c>
      <c r="F1" s="6">
        <v>2005</v>
      </c>
      <c r="G1" s="7" t="s">
        <v>3</v>
      </c>
    </row>
    <row r="2" spans="1:7" x14ac:dyDescent="0.2">
      <c r="A2" s="72" t="s">
        <v>62</v>
      </c>
      <c r="B2" t="s">
        <v>63</v>
      </c>
      <c r="C2" s="55">
        <f>'Ceres exhibits'!C9</f>
        <v>7279</v>
      </c>
      <c r="D2" s="55">
        <f>'Ceres exhibits'!D9</f>
        <v>8741.8494562856449</v>
      </c>
      <c r="E2" s="55">
        <f>'Ceres exhibits'!E9</f>
        <v>11839.089530439895</v>
      </c>
      <c r="F2" s="55">
        <f>'Ceres exhibits'!F9</f>
        <v>15734.660811976897</v>
      </c>
      <c r="G2" s="55">
        <f>'Ceres exhibits'!G9</f>
        <v>20272.816463766481</v>
      </c>
    </row>
    <row r="3" spans="1:7" x14ac:dyDescent="0.2">
      <c r="A3" s="72"/>
      <c r="B3" s="51" t="s">
        <v>64</v>
      </c>
      <c r="C3" s="56">
        <f>'Ceres exhibits'!C14</f>
        <v>3352</v>
      </c>
      <c r="D3" s="56">
        <f>'Ceres exhibits'!D14</f>
        <v>5074.6928356000008</v>
      </c>
      <c r="E3" s="56">
        <f>'Ceres exhibits'!E14</f>
        <v>6455.9891609200004</v>
      </c>
      <c r="F3" s="56">
        <f>'Ceres exhibits'!F14</f>
        <v>7114.8477470457101</v>
      </c>
      <c r="G3" s="56">
        <f>'Ceres exhibits'!G14</f>
        <v>7844.1493469041698</v>
      </c>
    </row>
    <row r="4" spans="1:7" x14ac:dyDescent="0.2">
      <c r="A4" s="72"/>
      <c r="B4" t="s">
        <v>65</v>
      </c>
      <c r="C4" s="55">
        <f>C2+C3</f>
        <v>10631</v>
      </c>
      <c r="D4" s="55">
        <f t="shared" ref="D4:G4" si="0">D2+D3</f>
        <v>13816.542291885646</v>
      </c>
      <c r="E4" s="55">
        <f t="shared" si="0"/>
        <v>18295.078691359893</v>
      </c>
      <c r="F4" s="55">
        <f t="shared" si="0"/>
        <v>22849.508559022608</v>
      </c>
      <c r="G4" s="55">
        <f t="shared" si="0"/>
        <v>28116.965810670652</v>
      </c>
    </row>
    <row r="5" spans="1:7" x14ac:dyDescent="0.2">
      <c r="A5" s="72"/>
      <c r="C5" s="55"/>
      <c r="D5" s="55"/>
      <c r="E5" s="55"/>
      <c r="F5" s="55"/>
      <c r="G5" s="55"/>
    </row>
    <row r="6" spans="1:7" ht="12" customHeight="1" x14ac:dyDescent="0.25">
      <c r="A6" s="72"/>
      <c r="B6" s="52" t="s">
        <v>66</v>
      </c>
      <c r="C6" s="55">
        <f>'Ceres exhibits'!C20+'Ceres exhibits'!C19</f>
        <v>2349</v>
      </c>
      <c r="D6" s="55">
        <f>'Ceres exhibits'!D20+'Ceres exhibits'!D19</f>
        <v>3325.3944103028516</v>
      </c>
      <c r="E6" s="55">
        <f>'Ceres exhibits'!E20+'Ceres exhibits'!E19</f>
        <v>5423.4192214271998</v>
      </c>
      <c r="F6" s="55">
        <f>'Ceres exhibits'!F20+'Ceres exhibits'!F19</f>
        <v>7389.9722356042039</v>
      </c>
      <c r="G6" s="55">
        <f>'Ceres exhibits'!G20+'Ceres exhibits'!G19</f>
        <v>10073.570135264777</v>
      </c>
    </row>
    <row r="7" spans="1:7" ht="14.25" customHeight="1" x14ac:dyDescent="0.25">
      <c r="A7" s="72"/>
      <c r="B7" s="53" t="s">
        <v>67</v>
      </c>
      <c r="C7" s="56">
        <f>'Ceres exhibits'!C23</f>
        <v>3258</v>
      </c>
      <c r="D7" s="56">
        <f>'Ceres exhibits'!D23</f>
        <v>4400.4575802239979</v>
      </c>
      <c r="E7" s="56">
        <f>'Ceres exhibits'!E23</f>
        <v>5725.8199655526805</v>
      </c>
      <c r="F7" s="56">
        <f>'Ceres exhibits'!F23</f>
        <v>7123.3949988040767</v>
      </c>
      <c r="G7" s="56">
        <f>'Ceres exhibits'!G23</f>
        <v>8479.9845542169842</v>
      </c>
    </row>
    <row r="8" spans="1:7" ht="12.75" customHeight="1" x14ac:dyDescent="0.25">
      <c r="A8" s="72"/>
      <c r="B8" s="52" t="s">
        <v>68</v>
      </c>
      <c r="C8" s="55">
        <f>C6+C7</f>
        <v>5607</v>
      </c>
      <c r="D8" s="55">
        <f t="shared" ref="D8:G8" si="1">D6+D7</f>
        <v>7725.8519905268495</v>
      </c>
      <c r="E8" s="55">
        <f t="shared" si="1"/>
        <v>11149.239186979881</v>
      </c>
      <c r="F8" s="55">
        <f t="shared" si="1"/>
        <v>14513.367234408281</v>
      </c>
      <c r="G8" s="55">
        <f t="shared" si="1"/>
        <v>18553.55468948176</v>
      </c>
    </row>
    <row r="9" spans="1:7" x14ac:dyDescent="0.2">
      <c r="A9" s="72"/>
      <c r="C9" s="55"/>
      <c r="D9" s="55"/>
      <c r="E9" s="55"/>
      <c r="F9" s="55"/>
      <c r="G9" s="55"/>
    </row>
    <row r="10" spans="1:7" x14ac:dyDescent="0.2">
      <c r="A10" s="72"/>
      <c r="B10" t="s">
        <v>69</v>
      </c>
      <c r="C10" s="55">
        <f>'Ceres exhibits'!C24</f>
        <v>5024</v>
      </c>
      <c r="D10" s="55">
        <f>'Ceres exhibits'!D24</f>
        <v>6090.6903013587953</v>
      </c>
      <c r="E10" s="55">
        <f>'Ceres exhibits'!E24</f>
        <v>7145.8395043800147</v>
      </c>
      <c r="F10" s="55">
        <f>'Ceres exhibits'!F24</f>
        <v>8336.1413246143256</v>
      </c>
      <c r="G10" s="55">
        <f>'Ceres exhibits'!G24</f>
        <v>9563.4111211888885</v>
      </c>
    </row>
    <row r="11" spans="1:7" x14ac:dyDescent="0.2">
      <c r="A11" s="72"/>
      <c r="C11" s="54"/>
      <c r="D11" s="54"/>
      <c r="E11" s="54"/>
      <c r="F11" s="54"/>
      <c r="G11" s="54"/>
    </row>
    <row r="12" spans="1:7" ht="13.5" customHeight="1" x14ac:dyDescent="0.25">
      <c r="A12" s="72"/>
      <c r="B12" s="52" t="s">
        <v>70</v>
      </c>
      <c r="C12" s="55">
        <f>C8+C10</f>
        <v>10631</v>
      </c>
      <c r="D12" s="55">
        <f t="shared" ref="D12:G12" si="2">D8+D10</f>
        <v>13816.542291885646</v>
      </c>
      <c r="E12" s="55">
        <f t="shared" si="2"/>
        <v>18295.078691359897</v>
      </c>
      <c r="F12" s="55">
        <f t="shared" si="2"/>
        <v>22849.508559022608</v>
      </c>
      <c r="G12" s="55">
        <f t="shared" si="2"/>
        <v>28116.965810670648</v>
      </c>
    </row>
    <row r="13" spans="1:7" ht="14.25" customHeight="1" x14ac:dyDescent="0.25">
      <c r="B13" s="52"/>
    </row>
    <row r="14" spans="1:7" x14ac:dyDescent="0.2">
      <c r="A14" s="72" t="s">
        <v>71</v>
      </c>
      <c r="B14" t="s">
        <v>72</v>
      </c>
      <c r="C14" s="54">
        <f>'Ceres exhibits'!C30</f>
        <v>24652.188000000002</v>
      </c>
      <c r="D14" s="54">
        <f>'Ceres exhibits'!D30</f>
        <v>26796.928356</v>
      </c>
      <c r="E14" s="54">
        <f>'Ceres exhibits'!E30</f>
        <v>29289.042693108</v>
      </c>
      <c r="F14" s="54">
        <f>'Ceres exhibits'!F30</f>
        <v>35088.273146343381</v>
      </c>
      <c r="G14" s="54">
        <f>'Ceres exhibits'!G30</f>
        <v>42597.16359966086</v>
      </c>
    </row>
    <row r="15" spans="1:7" x14ac:dyDescent="0.2">
      <c r="A15" s="72"/>
      <c r="B15" t="s">
        <v>73</v>
      </c>
      <c r="C15" s="54">
        <f>'Ceres exhibits'!C37</f>
        <v>1641.4479600000004</v>
      </c>
      <c r="D15" s="54">
        <f>'Ceres exhibits'!D37</f>
        <v>2337.7961322055748</v>
      </c>
      <c r="E15" s="54">
        <f>'Ceres exhibits'!E37</f>
        <v>2407.7578041732631</v>
      </c>
      <c r="F15" s="54">
        <f>'Ceres exhibits'!F37</f>
        <v>2835.5778185663376</v>
      </c>
      <c r="G15" s="54">
        <f>'Ceres exhibits'!G37</f>
        <v>3018.2345220421948</v>
      </c>
    </row>
    <row r="16" spans="1:7" x14ac:dyDescent="0.2">
      <c r="A16" s="72"/>
      <c r="B16" t="s">
        <v>74</v>
      </c>
      <c r="C16" s="54"/>
      <c r="D16" s="54">
        <f>'Ceres exhibits'!C20*'Obligaciones Financieras'!C17</f>
        <v>30.735648406289826</v>
      </c>
      <c r="E16" s="54">
        <f>'Ceres exhibits'!D20*'Obligaciones Financieras'!D17</f>
        <v>32.601007610006818</v>
      </c>
      <c r="F16" s="54">
        <f>'Ceres exhibits'!E20*'Obligaciones Financieras'!E17</f>
        <v>45.865017124188022</v>
      </c>
      <c r="G16" s="54">
        <f>'Ceres exhibits'!F20*'Obligaciones Financieras'!F17</f>
        <v>61.203861312970773</v>
      </c>
    </row>
    <row r="17" spans="1:15" x14ac:dyDescent="0.2">
      <c r="A17" s="72"/>
      <c r="B17" t="s">
        <v>75</v>
      </c>
      <c r="C17" s="54"/>
      <c r="D17" s="54">
        <f>C7*'Obligaciones Financieras'!C17</f>
        <v>317.89442065934048</v>
      </c>
      <c r="E17" s="54">
        <f>D7*'Obligaciones Financieras'!D17</f>
        <v>407.512595125085</v>
      </c>
      <c r="F17" s="54">
        <f>E7*'Obligaciones Financieras'!E17</f>
        <v>500.67083945308747</v>
      </c>
      <c r="G17" s="54">
        <f>F7*'Obligaciones Financieras'!F17</f>
        <v>596.89643654737347</v>
      </c>
    </row>
    <row r="18" spans="1:15" x14ac:dyDescent="0.2">
      <c r="A18" s="72"/>
      <c r="B18" t="s">
        <v>76</v>
      </c>
      <c r="C18" s="54">
        <f>'Ceres exhibits'!C39</f>
        <v>187</v>
      </c>
      <c r="D18" s="54">
        <f>D16+D17</f>
        <v>348.63006906563032</v>
      </c>
      <c r="E18" s="54">
        <f t="shared" ref="E18:G18" si="3">E16+E17</f>
        <v>440.11360273509183</v>
      </c>
      <c r="F18" s="54">
        <f t="shared" si="3"/>
        <v>546.53585657727547</v>
      </c>
      <c r="G18" s="54">
        <f t="shared" si="3"/>
        <v>658.1002978603442</v>
      </c>
    </row>
    <row r="19" spans="1:15" x14ac:dyDescent="0.2">
      <c r="A19" s="72"/>
      <c r="B19" t="s">
        <v>77</v>
      </c>
      <c r="C19" s="54">
        <f>C15</f>
        <v>1641.4479600000004</v>
      </c>
      <c r="D19" s="54">
        <f>D15-D18</f>
        <v>1989.1660631399445</v>
      </c>
      <c r="E19" s="54">
        <f t="shared" ref="E19:G19" si="4">E15-E18</f>
        <v>1967.6442014381714</v>
      </c>
      <c r="F19" s="54">
        <f t="shared" si="4"/>
        <v>2289.0419619890622</v>
      </c>
      <c r="G19" s="54">
        <f t="shared" si="4"/>
        <v>2360.1342241818506</v>
      </c>
    </row>
    <row r="20" spans="1:15" x14ac:dyDescent="0.2">
      <c r="A20" s="72"/>
      <c r="B20" t="s">
        <v>78</v>
      </c>
      <c r="C20" s="54">
        <f>'Ceres exhibits'!C41</f>
        <v>263.73599999999999</v>
      </c>
      <c r="D20" s="54">
        <f>'Ceres exhibits'!D41</f>
        <v>696.20812209898054</v>
      </c>
      <c r="E20" s="54">
        <f>'Ceres exhibits'!E41</f>
        <v>688.67547050335997</v>
      </c>
      <c r="F20" s="54">
        <f>'Ceres exhibits'!F41</f>
        <v>801.16468669617177</v>
      </c>
      <c r="G20" s="54">
        <f>'Ceres exhibits'!G41</f>
        <v>826.04697846364763</v>
      </c>
    </row>
    <row r="21" spans="1:15" x14ac:dyDescent="0.2">
      <c r="A21" s="72"/>
      <c r="B21" t="s">
        <v>79</v>
      </c>
      <c r="C21" s="54">
        <f>C19-C20</f>
        <v>1377.7119600000005</v>
      </c>
      <c r="D21" s="54">
        <f t="shared" ref="D21:G21" si="5">D19-D20</f>
        <v>1292.957941040964</v>
      </c>
      <c r="E21" s="54">
        <f t="shared" si="5"/>
        <v>1278.9687309348114</v>
      </c>
      <c r="F21" s="54">
        <f t="shared" si="5"/>
        <v>1487.8772752928903</v>
      </c>
      <c r="G21" s="54">
        <f t="shared" si="5"/>
        <v>1534.0872457182031</v>
      </c>
    </row>
    <row r="23" spans="1:15" x14ac:dyDescent="0.2">
      <c r="A23" s="72" t="s">
        <v>80</v>
      </c>
      <c r="B23" t="s">
        <v>81</v>
      </c>
      <c r="C23" s="32">
        <f>C21/C4</f>
        <v>0.12959382560436464</v>
      </c>
      <c r="D23" s="32">
        <f t="shared" ref="D23:G23" si="6">D21/D4</f>
        <v>9.3580427991763804E-2</v>
      </c>
      <c r="E23" s="32">
        <f t="shared" si="6"/>
        <v>6.9907801573918474E-2</v>
      </c>
      <c r="F23" s="32">
        <f t="shared" si="6"/>
        <v>6.5116379700226448E-2</v>
      </c>
      <c r="G23" s="32">
        <f t="shared" si="6"/>
        <v>5.456091016534944E-2</v>
      </c>
      <c r="H23" t="s">
        <v>82</v>
      </c>
    </row>
    <row r="24" spans="1:15" x14ac:dyDescent="0.2">
      <c r="A24" s="72"/>
      <c r="B24" t="s">
        <v>83</v>
      </c>
      <c r="C24" s="32">
        <f>C21/C10</f>
        <v>0.27422610668789821</v>
      </c>
      <c r="D24" s="32">
        <f t="shared" ref="D24:G24" si="7">D21/D10</f>
        <v>0.21228430228220815</v>
      </c>
      <c r="E24" s="32">
        <f t="shared" si="7"/>
        <v>0.17898089232914796</v>
      </c>
      <c r="F24" s="32">
        <f t="shared" si="7"/>
        <v>0.17848513087219373</v>
      </c>
      <c r="G24" s="32">
        <f t="shared" si="7"/>
        <v>0.16041214021629252</v>
      </c>
      <c r="H24" s="64" t="s">
        <v>84</v>
      </c>
    </row>
    <row r="25" spans="1:15" ht="12.75" customHeight="1" x14ac:dyDescent="0.2">
      <c r="A25" s="72" t="s">
        <v>85</v>
      </c>
      <c r="B25" t="s">
        <v>86</v>
      </c>
      <c r="C25" s="58">
        <f>C2-C6</f>
        <v>4930</v>
      </c>
      <c r="D25" s="58">
        <f t="shared" ref="D25:G25" si="8">D2-D6</f>
        <v>5416.4550459827933</v>
      </c>
      <c r="E25" s="58">
        <f t="shared" si="8"/>
        <v>6415.6703090126948</v>
      </c>
      <c r="F25" s="58">
        <f t="shared" si="8"/>
        <v>8344.6885763726932</v>
      </c>
      <c r="G25" s="58">
        <f t="shared" si="8"/>
        <v>10199.246328501704</v>
      </c>
      <c r="H25" s="73" t="s">
        <v>87</v>
      </c>
      <c r="I25" s="73"/>
      <c r="J25" s="73"/>
      <c r="K25" s="73"/>
      <c r="L25" s="73"/>
      <c r="M25" s="73"/>
      <c r="N25" s="73"/>
      <c r="O25" s="73"/>
    </row>
    <row r="26" spans="1:15" x14ac:dyDescent="0.2">
      <c r="A26" s="72"/>
      <c r="B26" t="s">
        <v>88</v>
      </c>
      <c r="C26" s="57">
        <f>C2/C6</f>
        <v>3.0987654320987654</v>
      </c>
      <c r="D26" s="57">
        <f t="shared" ref="D26:F26" si="9">D2/D6</f>
        <v>2.6288158268388693</v>
      </c>
      <c r="E26" s="57">
        <f t="shared" si="9"/>
        <v>2.1829567376361476</v>
      </c>
      <c r="F26" s="57">
        <f t="shared" si="9"/>
        <v>2.1291907885889954</v>
      </c>
      <c r="G26" s="57">
        <f>G2/G6</f>
        <v>2.0124758344409566</v>
      </c>
      <c r="H26" s="73"/>
      <c r="I26" s="73"/>
      <c r="J26" s="73"/>
      <c r="K26" s="73"/>
      <c r="L26" s="73"/>
      <c r="M26" s="73"/>
      <c r="N26" s="73"/>
      <c r="O26" s="73"/>
    </row>
    <row r="30" spans="1:15" x14ac:dyDescent="0.2">
      <c r="B30" t="s">
        <v>89</v>
      </c>
      <c r="C30" s="59">
        <f>C20/C19</f>
        <v>0.16067277576073744</v>
      </c>
      <c r="D30" s="59">
        <f>D20/D19</f>
        <v>0.35</v>
      </c>
      <c r="E30" s="59">
        <f t="shared" ref="E30:G30" si="10">E20/E19</f>
        <v>0.35</v>
      </c>
      <c r="F30" s="59">
        <f t="shared" si="10"/>
        <v>0.35</v>
      </c>
      <c r="G30" s="59">
        <f t="shared" si="10"/>
        <v>0.35</v>
      </c>
    </row>
    <row r="31" spans="1:15" x14ac:dyDescent="0.2">
      <c r="B31" t="s">
        <v>90</v>
      </c>
      <c r="C31" s="32">
        <f>C8/C12</f>
        <v>0.52741980998965288</v>
      </c>
      <c r="D31" s="32">
        <f t="shared" ref="D31:G31" si="11">D8/D12</f>
        <v>0.55917405580296209</v>
      </c>
      <c r="E31" s="32">
        <f t="shared" si="11"/>
        <v>0.60941192847917425</v>
      </c>
      <c r="F31" s="32">
        <f t="shared" si="11"/>
        <v>0.63517196428618039</v>
      </c>
      <c r="G31" s="32">
        <f t="shared" si="11"/>
        <v>0.6598704431486172</v>
      </c>
    </row>
    <row r="32" spans="1:15" x14ac:dyDescent="0.2">
      <c r="B32" t="s">
        <v>91</v>
      </c>
      <c r="C32" s="32">
        <f>C10/C12</f>
        <v>0.47258019001034712</v>
      </c>
      <c r="D32" s="32">
        <f t="shared" ref="D32:G32" si="12">D10/D12</f>
        <v>0.44082594419703786</v>
      </c>
      <c r="E32" s="32">
        <f t="shared" si="12"/>
        <v>0.39058807152082575</v>
      </c>
      <c r="F32" s="32">
        <f t="shared" si="12"/>
        <v>0.36482803571381955</v>
      </c>
      <c r="G32" s="32">
        <f t="shared" si="12"/>
        <v>0.3401295568513828</v>
      </c>
    </row>
    <row r="34" spans="2:7" x14ac:dyDescent="0.2">
      <c r="B34" t="s">
        <v>92</v>
      </c>
      <c r="C34" s="32">
        <f>C24</f>
        <v>0.27422610668789821</v>
      </c>
      <c r="D34" s="32">
        <f t="shared" ref="D34:G34" si="13">D24</f>
        <v>0.21228430228220815</v>
      </c>
      <c r="E34" s="32">
        <f t="shared" si="13"/>
        <v>0.17898089232914796</v>
      </c>
      <c r="F34" s="32">
        <f t="shared" si="13"/>
        <v>0.17848513087219373</v>
      </c>
      <c r="G34" s="32">
        <f t="shared" si="13"/>
        <v>0.16041214021629252</v>
      </c>
    </row>
    <row r="35" spans="2:7" x14ac:dyDescent="0.2">
      <c r="B35" t="s">
        <v>93</v>
      </c>
      <c r="C35" s="32">
        <f>C18/C8*(1+C30)</f>
        <v>3.8709792949395021E-2</v>
      </c>
      <c r="D35" s="32">
        <f t="shared" ref="D35:G35" si="14">D18/D8*(1+D30)</f>
        <v>6.0918924387329078E-2</v>
      </c>
      <c r="E35" s="32">
        <f t="shared" si="14"/>
        <v>5.3290933464431214E-2</v>
      </c>
      <c r="F35" s="32">
        <f t="shared" si="14"/>
        <v>5.0837506862645265E-2</v>
      </c>
      <c r="G35" s="32">
        <f t="shared" si="14"/>
        <v>4.7884915693008942E-2</v>
      </c>
    </row>
    <row r="37" spans="2:7" x14ac:dyDescent="0.2">
      <c r="B37" t="s">
        <v>59</v>
      </c>
      <c r="C37" s="32">
        <f>C34*C32+C31*C35*(1+C30)</f>
        <v>0.15329048270880727</v>
      </c>
      <c r="D37" s="32">
        <f t="shared" ref="D37:G37" si="15">D34*D32+D31*D35*(1+D30)</f>
        <v>0.13956720872526646</v>
      </c>
      <c r="E37" s="32">
        <f t="shared" si="15"/>
        <v>0.11375057779348788</v>
      </c>
      <c r="F37" s="32">
        <f t="shared" si="15"/>
        <v>0.10870863447626052</v>
      </c>
      <c r="G37" s="32">
        <f t="shared" si="15"/>
        <v>9.7217994892297432E-2</v>
      </c>
    </row>
  </sheetData>
  <mergeCells count="5">
    <mergeCell ref="A2:A12"/>
    <mergeCell ref="A14:A21"/>
    <mergeCell ref="H25:O26"/>
    <mergeCell ref="A23:A24"/>
    <mergeCell ref="A25:A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3A6E4-DDA2-7345-928C-600919FC8694}">
  <dimension ref="A1:Y65"/>
  <sheetViews>
    <sheetView topLeftCell="K14" workbookViewId="0">
      <selection activeCell="F48" sqref="F48"/>
    </sheetView>
  </sheetViews>
  <sheetFormatPr baseColWidth="10" defaultColWidth="11.42578125" defaultRowHeight="12.75" x14ac:dyDescent="0.2"/>
  <cols>
    <col min="2" max="2" width="29.85546875" customWidth="1"/>
    <col min="14" max="14" width="13.140625" customWidth="1"/>
  </cols>
  <sheetData>
    <row r="1" spans="1:25" x14ac:dyDescent="0.2">
      <c r="A1" s="22"/>
      <c r="B1" s="22" t="s">
        <v>0</v>
      </c>
      <c r="C1" s="22"/>
      <c r="D1" s="22"/>
      <c r="E1" s="22"/>
      <c r="F1" s="22"/>
      <c r="G1" s="22"/>
      <c r="H1" s="22"/>
      <c r="I1" s="22"/>
      <c r="J1" s="22"/>
      <c r="K1" s="22"/>
      <c r="L1" s="22"/>
      <c r="M1" s="22"/>
      <c r="N1" s="22"/>
    </row>
    <row r="2" spans="1:25" ht="12.95" customHeight="1" x14ac:dyDescent="0.2">
      <c r="A2" s="23"/>
      <c r="B2" s="23"/>
      <c r="C2" s="23"/>
      <c r="D2" s="23"/>
      <c r="E2" s="23"/>
      <c r="F2" s="23"/>
      <c r="G2" s="23"/>
      <c r="H2" s="23"/>
      <c r="I2" s="23"/>
      <c r="J2" s="23"/>
      <c r="K2" s="23"/>
      <c r="L2" s="23"/>
      <c r="M2" s="23"/>
      <c r="N2" s="23"/>
      <c r="V2" s="75" t="s">
        <v>94</v>
      </c>
      <c r="W2" s="75"/>
      <c r="X2" s="75"/>
      <c r="Y2" s="75"/>
    </row>
    <row r="3" spans="1:25" x14ac:dyDescent="0.2">
      <c r="A3" s="23"/>
      <c r="B3" s="1" t="s">
        <v>1</v>
      </c>
      <c r="C3" s="2"/>
      <c r="D3" s="2"/>
      <c r="E3" s="2"/>
      <c r="F3" s="3"/>
      <c r="G3" s="2"/>
      <c r="H3" s="2"/>
      <c r="I3" s="2"/>
      <c r="J3" s="2"/>
      <c r="K3" s="23"/>
      <c r="L3" s="2"/>
      <c r="M3" s="24"/>
      <c r="N3" s="24"/>
      <c r="O3" s="74" t="s">
        <v>95</v>
      </c>
      <c r="P3" s="74"/>
      <c r="Q3" s="74"/>
      <c r="R3" s="74"/>
      <c r="S3" s="74"/>
    </row>
    <row r="4" spans="1:25" ht="24" thickTop="1" thickBot="1" x14ac:dyDescent="0.25">
      <c r="A4" s="23"/>
      <c r="B4" s="4" t="s">
        <v>2</v>
      </c>
      <c r="C4" s="5">
        <v>2002</v>
      </c>
      <c r="D4" s="6">
        <v>2003</v>
      </c>
      <c r="E4" s="6">
        <v>2004</v>
      </c>
      <c r="F4" s="6">
        <v>2005</v>
      </c>
      <c r="G4" s="7" t="s">
        <v>3</v>
      </c>
      <c r="H4" s="30" t="s">
        <v>4</v>
      </c>
      <c r="I4" s="30" t="s">
        <v>5</v>
      </c>
      <c r="J4" s="31" t="s">
        <v>6</v>
      </c>
      <c r="K4" s="23"/>
      <c r="L4" s="2"/>
      <c r="M4" s="24"/>
      <c r="N4" s="24"/>
      <c r="O4" s="5">
        <v>2002</v>
      </c>
      <c r="P4" s="6">
        <v>2003</v>
      </c>
      <c r="Q4" s="6">
        <v>2004</v>
      </c>
      <c r="R4" s="6">
        <v>2005</v>
      </c>
      <c r="S4" s="45" t="s">
        <v>3</v>
      </c>
      <c r="T4" s="47"/>
      <c r="U4" s="48"/>
      <c r="V4" s="48" t="s">
        <v>96</v>
      </c>
      <c r="W4" s="44" t="s">
        <v>97</v>
      </c>
      <c r="X4" s="49" t="s">
        <v>98</v>
      </c>
      <c r="Y4" s="50" t="s">
        <v>99</v>
      </c>
    </row>
    <row r="5" spans="1:25" ht="13.5" thickTop="1" x14ac:dyDescent="0.2">
      <c r="A5" s="23"/>
      <c r="B5" s="8" t="s">
        <v>7</v>
      </c>
      <c r="C5" s="2"/>
      <c r="D5" s="2"/>
      <c r="E5" s="2"/>
      <c r="F5" s="2"/>
      <c r="G5" s="2"/>
      <c r="H5" s="2"/>
      <c r="I5" s="2"/>
      <c r="J5" s="2"/>
      <c r="K5" s="2"/>
      <c r="L5" s="2"/>
      <c r="M5" s="24"/>
      <c r="N5" s="24"/>
    </row>
    <row r="6" spans="1:25" x14ac:dyDescent="0.2">
      <c r="A6" s="23"/>
      <c r="B6" s="9" t="s">
        <v>8</v>
      </c>
      <c r="C6" s="10">
        <v>705</v>
      </c>
      <c r="D6" s="10">
        <v>1541.9185963598354</v>
      </c>
      <c r="E6" s="10">
        <v>1817.7432680522618</v>
      </c>
      <c r="F6" s="10">
        <v>2157.9024107218947</v>
      </c>
      <c r="G6" s="10">
        <v>1954.8690703342404</v>
      </c>
      <c r="H6" s="10"/>
      <c r="I6" s="10"/>
      <c r="J6" s="10"/>
      <c r="K6" s="10"/>
      <c r="L6" s="2"/>
      <c r="M6" s="2"/>
      <c r="N6" s="2"/>
      <c r="O6" s="41">
        <f t="shared" ref="O6:O14" si="0">C6/C$16</f>
        <v>6.6315492427805475E-2</v>
      </c>
      <c r="P6" s="41">
        <f t="shared" ref="P6:P14" si="1">D6/D$16</f>
        <v>0.11159945547775675</v>
      </c>
      <c r="Q6" s="41">
        <f t="shared" ref="Q6:Q14" si="2">E6/E$16</f>
        <v>9.9356952693005721E-2</v>
      </c>
      <c r="R6" s="41">
        <f t="shared" ref="R6:R14" si="3">F6/F$16</f>
        <v>9.443977340465827E-2</v>
      </c>
      <c r="S6" s="41">
        <f t="shared" ref="S6:S14" si="4">G6/G$16</f>
        <v>6.9526316726264581E-2</v>
      </c>
      <c r="V6" s="46">
        <f>D6/C6-1</f>
        <v>1.1871185763969296</v>
      </c>
      <c r="W6" s="46">
        <f t="shared" ref="W6:Y6" si="5">E6/D6-1</f>
        <v>0.17888406842202542</v>
      </c>
      <c r="X6" s="46">
        <f t="shared" si="5"/>
        <v>0.18713266534834605</v>
      </c>
      <c r="Y6" s="46">
        <f t="shared" si="5"/>
        <v>-9.4088286559600443E-2</v>
      </c>
    </row>
    <row r="7" spans="1:25" x14ac:dyDescent="0.2">
      <c r="A7" s="23"/>
      <c r="B7" s="9" t="s">
        <v>9</v>
      </c>
      <c r="C7" s="10">
        <v>3485</v>
      </c>
      <c r="D7" s="10">
        <v>4404.9745242739727</v>
      </c>
      <c r="E7" s="10">
        <v>6820.7359696278909</v>
      </c>
      <c r="F7" s="10">
        <v>10286.151305914362</v>
      </c>
      <c r="G7" s="10">
        <v>14471.365168103963</v>
      </c>
      <c r="H7" s="10"/>
      <c r="I7" s="10"/>
      <c r="J7" s="10"/>
      <c r="K7" s="10"/>
      <c r="L7" s="2"/>
      <c r="M7" s="2"/>
      <c r="N7" s="2"/>
      <c r="O7" s="41">
        <f t="shared" si="0"/>
        <v>0.32781488100837175</v>
      </c>
      <c r="P7" s="41">
        <f t="shared" si="1"/>
        <v>0.31881887893622862</v>
      </c>
      <c r="Q7" s="41">
        <f t="shared" si="2"/>
        <v>0.37281807226383118</v>
      </c>
      <c r="R7" s="41">
        <f t="shared" si="3"/>
        <v>0.45016947648323313</v>
      </c>
      <c r="S7" s="41">
        <f t="shared" si="4"/>
        <v>0.51468445299357102</v>
      </c>
      <c r="V7" s="46">
        <f>D7/C7-1</f>
        <v>0.26398121213026471</v>
      </c>
      <c r="W7" s="46">
        <f t="shared" ref="W7:W14" si="6">E7/D7-1</f>
        <v>0.54841666666666677</v>
      </c>
      <c r="X7" s="46">
        <f t="shared" ref="X7:X16" si="7">F7/E7-1</f>
        <v>0.50807058823529405</v>
      </c>
      <c r="Y7" s="46">
        <f t="shared" ref="Y7:Y16" si="8">G7/F7-1</f>
        <v>0.40687850467289688</v>
      </c>
    </row>
    <row r="8" spans="1:25" x14ac:dyDescent="0.2">
      <c r="A8" s="23"/>
      <c r="B8" s="9" t="s">
        <v>10</v>
      </c>
      <c r="C8" s="10">
        <v>3089</v>
      </c>
      <c r="D8" s="10">
        <v>2794.9563356518361</v>
      </c>
      <c r="E8" s="10">
        <v>3200.6102927597417</v>
      </c>
      <c r="F8" s="10">
        <v>3290.6070953406406</v>
      </c>
      <c r="G8" s="10">
        <v>3846.5822253282795</v>
      </c>
      <c r="H8" s="10"/>
      <c r="I8" s="10"/>
      <c r="J8" s="10"/>
      <c r="K8" s="10"/>
      <c r="L8" s="2"/>
      <c r="M8" s="2"/>
      <c r="N8" s="2"/>
      <c r="O8" s="41">
        <f t="shared" si="0"/>
        <v>0.29056532781488104</v>
      </c>
      <c r="P8" s="41">
        <f t="shared" si="1"/>
        <v>0.20229057868503711</v>
      </c>
      <c r="Q8" s="41">
        <f t="shared" si="2"/>
        <v>0.17494378388606083</v>
      </c>
      <c r="R8" s="41">
        <f t="shared" si="3"/>
        <v>0.14401216056094454</v>
      </c>
      <c r="S8" s="41">
        <f t="shared" si="4"/>
        <v>0.13680644815054921</v>
      </c>
      <c r="V8" s="46">
        <f t="shared" ref="V8:V16" si="9">D8/C8-1</f>
        <v>-9.519056793401226E-2</v>
      </c>
      <c r="W8" s="46">
        <f t="shared" si="6"/>
        <v>0.14513785132650359</v>
      </c>
      <c r="X8" s="46">
        <f t="shared" si="7"/>
        <v>2.8118638118638017E-2</v>
      </c>
      <c r="Y8" s="46">
        <f t="shared" si="8"/>
        <v>0.16895822378030978</v>
      </c>
    </row>
    <row r="9" spans="1:25" x14ac:dyDescent="0.2">
      <c r="A9" s="23"/>
      <c r="B9" s="2" t="s">
        <v>11</v>
      </c>
      <c r="C9" s="10">
        <v>7279</v>
      </c>
      <c r="D9" s="10">
        <v>8741.8494562856449</v>
      </c>
      <c r="E9" s="10">
        <v>11839.089530439895</v>
      </c>
      <c r="F9" s="10">
        <v>15734.660811976897</v>
      </c>
      <c r="G9" s="10">
        <v>20272.816463766481</v>
      </c>
      <c r="H9" s="10">
        <f>SUM(H6:H8)</f>
        <v>0</v>
      </c>
      <c r="I9" s="10">
        <f>SUM(I6:I8)</f>
        <v>0</v>
      </c>
      <c r="J9" s="10">
        <f>SUM(J6:J8)</f>
        <v>0</v>
      </c>
      <c r="K9" s="10"/>
      <c r="L9" s="2"/>
      <c r="M9" s="2"/>
      <c r="N9" s="2"/>
      <c r="O9" s="41">
        <f t="shared" si="0"/>
        <v>0.68469570125105828</v>
      </c>
      <c r="P9" s="41">
        <f t="shared" si="1"/>
        <v>0.63270891309902255</v>
      </c>
      <c r="Q9" s="41">
        <f t="shared" si="2"/>
        <v>0.64711880884289774</v>
      </c>
      <c r="R9" s="41">
        <f t="shared" si="3"/>
        <v>0.68862141044883596</v>
      </c>
      <c r="S9" s="41">
        <f t="shared" si="4"/>
        <v>0.72101721787038475</v>
      </c>
      <c r="V9" s="46">
        <f t="shared" si="9"/>
        <v>0.20096846493826681</v>
      </c>
      <c r="W9" s="46">
        <f t="shared" si="6"/>
        <v>0.35430032164729663</v>
      </c>
      <c r="X9" s="46">
        <f t="shared" si="7"/>
        <v>0.32904314740765872</v>
      </c>
      <c r="Y9" s="46">
        <f t="shared" si="8"/>
        <v>0.28841776165490862</v>
      </c>
    </row>
    <row r="10" spans="1:25" x14ac:dyDescent="0.2">
      <c r="A10" s="23"/>
      <c r="B10" s="2"/>
      <c r="C10" s="2"/>
      <c r="D10" s="2"/>
      <c r="E10" s="2"/>
      <c r="F10" s="2"/>
      <c r="G10" s="2"/>
      <c r="H10" s="2"/>
      <c r="I10" s="2"/>
      <c r="J10" s="2"/>
      <c r="K10" s="2"/>
      <c r="L10" s="2"/>
      <c r="M10" s="2"/>
      <c r="N10" s="2"/>
      <c r="O10" s="41">
        <f t="shared" si="0"/>
        <v>0</v>
      </c>
      <c r="P10" s="41">
        <f t="shared" si="1"/>
        <v>0</v>
      </c>
      <c r="Q10" s="41">
        <f t="shared" si="2"/>
        <v>0</v>
      </c>
      <c r="R10" s="41">
        <f t="shared" si="3"/>
        <v>0</v>
      </c>
      <c r="S10" s="41">
        <f t="shared" si="4"/>
        <v>0</v>
      </c>
      <c r="V10" s="46"/>
      <c r="W10" s="46"/>
      <c r="X10" s="46"/>
      <c r="Y10" s="46"/>
    </row>
    <row r="11" spans="1:25" x14ac:dyDescent="0.2">
      <c r="A11" s="23"/>
      <c r="B11" s="9" t="s">
        <v>12</v>
      </c>
      <c r="C11" s="10">
        <v>2257</v>
      </c>
      <c r="D11" s="10">
        <v>2679.6928355999999</v>
      </c>
      <c r="E11" s="10">
        <v>2958.4891609199999</v>
      </c>
      <c r="F11" s="10">
        <v>3617.3477470457096</v>
      </c>
      <c r="G11" s="10">
        <v>4346.6493469041689</v>
      </c>
      <c r="H11" s="10">
        <f>G11</f>
        <v>4346.6493469041689</v>
      </c>
      <c r="I11" s="10">
        <f t="shared" ref="I11:J11" si="10">H11</f>
        <v>4346.6493469041689</v>
      </c>
      <c r="J11" s="10">
        <f t="shared" si="10"/>
        <v>4346.6493469041689</v>
      </c>
      <c r="K11" s="43" t="s">
        <v>13</v>
      </c>
      <c r="L11" s="2"/>
      <c r="M11" s="2"/>
      <c r="N11" s="2"/>
      <c r="O11" s="41">
        <f t="shared" si="0"/>
        <v>0.21230364029724391</v>
      </c>
      <c r="P11" s="41">
        <f t="shared" si="1"/>
        <v>0.19394815135287241</v>
      </c>
      <c r="Q11" s="41">
        <f t="shared" si="2"/>
        <v>0.16170956194450192</v>
      </c>
      <c r="R11" s="41">
        <f t="shared" si="3"/>
        <v>0.15831184017379332</v>
      </c>
      <c r="S11" s="41">
        <f t="shared" si="4"/>
        <v>0.15459169300745013</v>
      </c>
      <c r="V11" s="46">
        <f t="shared" si="9"/>
        <v>0.18728083101462101</v>
      </c>
      <c r="W11" s="46">
        <f t="shared" si="6"/>
        <v>0.10404040404040416</v>
      </c>
      <c r="X11" s="46">
        <f t="shared" si="7"/>
        <v>0.222701030927835</v>
      </c>
      <c r="Y11" s="46">
        <f t="shared" si="8"/>
        <v>0.20161224489795893</v>
      </c>
    </row>
    <row r="12" spans="1:25" x14ac:dyDescent="0.2">
      <c r="A12" s="23"/>
      <c r="B12" s="9" t="s">
        <v>14</v>
      </c>
      <c r="C12" s="10">
        <v>645</v>
      </c>
      <c r="D12" s="10">
        <v>645</v>
      </c>
      <c r="E12" s="10">
        <v>645</v>
      </c>
      <c r="F12" s="10">
        <v>645</v>
      </c>
      <c r="G12" s="10">
        <v>645</v>
      </c>
      <c r="H12" s="10">
        <v>645</v>
      </c>
      <c r="I12" s="10">
        <v>645</v>
      </c>
      <c r="J12" s="10">
        <v>645</v>
      </c>
      <c r="K12" s="10"/>
      <c r="L12" s="2"/>
      <c r="M12" s="2"/>
      <c r="N12" s="2"/>
      <c r="O12" s="41">
        <f t="shared" si="0"/>
        <v>6.0671620731822029E-2</v>
      </c>
      <c r="P12" s="41">
        <f t="shared" si="1"/>
        <v>4.668317053383203E-2</v>
      </c>
      <c r="Q12" s="41">
        <f t="shared" si="2"/>
        <v>3.5255382656791207E-2</v>
      </c>
      <c r="R12" s="41">
        <f t="shared" si="3"/>
        <v>2.8228178226848918E-2</v>
      </c>
      <c r="S12" s="41">
        <f t="shared" si="4"/>
        <v>2.2939886342758096E-2</v>
      </c>
      <c r="V12" s="46">
        <f t="shared" si="9"/>
        <v>0</v>
      </c>
      <c r="W12" s="46">
        <f t="shared" si="6"/>
        <v>0</v>
      </c>
      <c r="X12" s="46">
        <f t="shared" si="7"/>
        <v>0</v>
      </c>
      <c r="Y12" s="46">
        <f t="shared" si="8"/>
        <v>0</v>
      </c>
    </row>
    <row r="13" spans="1:25" x14ac:dyDescent="0.2">
      <c r="A13" s="23"/>
      <c r="B13" s="9" t="s">
        <v>15</v>
      </c>
      <c r="C13" s="10">
        <v>450</v>
      </c>
      <c r="D13" s="10">
        <v>1750</v>
      </c>
      <c r="E13" s="10">
        <v>2852.5</v>
      </c>
      <c r="F13" s="10">
        <v>2852.5</v>
      </c>
      <c r="G13" s="10">
        <v>2852.5</v>
      </c>
      <c r="H13" s="10">
        <f>G13</f>
        <v>2852.5</v>
      </c>
      <c r="I13" s="10">
        <f t="shared" ref="I13:J13" si="11">H13</f>
        <v>2852.5</v>
      </c>
      <c r="J13" s="10">
        <f t="shared" si="11"/>
        <v>2852.5</v>
      </c>
      <c r="K13" s="43" t="s">
        <v>16</v>
      </c>
      <c r="L13" s="2"/>
      <c r="M13" s="2"/>
      <c r="N13" s="2"/>
      <c r="O13" s="41">
        <f t="shared" si="0"/>
        <v>4.2329037719875832E-2</v>
      </c>
      <c r="P13" s="41">
        <f t="shared" si="1"/>
        <v>0.12665976501427295</v>
      </c>
      <c r="Q13" s="41">
        <f t="shared" si="2"/>
        <v>0.15591624655580918</v>
      </c>
      <c r="R13" s="41">
        <f t="shared" si="3"/>
        <v>0.12483857115052177</v>
      </c>
      <c r="S13" s="41">
        <f t="shared" si="4"/>
        <v>0.10145120277940693</v>
      </c>
      <c r="V13" s="46">
        <f t="shared" si="9"/>
        <v>2.8888888888888888</v>
      </c>
      <c r="W13" s="46">
        <f t="shared" si="6"/>
        <v>0.62999999999999989</v>
      </c>
      <c r="X13" s="46">
        <f t="shared" si="7"/>
        <v>0</v>
      </c>
      <c r="Y13" s="46">
        <f t="shared" si="8"/>
        <v>0</v>
      </c>
    </row>
    <row r="14" spans="1:25" x14ac:dyDescent="0.2">
      <c r="A14" s="23"/>
      <c r="B14" s="2" t="s">
        <v>17</v>
      </c>
      <c r="C14" s="11">
        <v>3352</v>
      </c>
      <c r="D14" s="11">
        <v>5074.6928356000008</v>
      </c>
      <c r="E14" s="11">
        <v>6455.9891609200004</v>
      </c>
      <c r="F14" s="11">
        <v>7114.8477470457101</v>
      </c>
      <c r="G14" s="11">
        <v>7844.1493469041698</v>
      </c>
      <c r="H14" s="11">
        <f>SUM(H11:H13)</f>
        <v>7844.1493469041689</v>
      </c>
      <c r="I14" s="11">
        <f>SUM(I11:I13)</f>
        <v>7844.1493469041689</v>
      </c>
      <c r="J14" s="11">
        <f>SUM(J11:J13)</f>
        <v>7844.1493469041689</v>
      </c>
      <c r="K14" s="11"/>
      <c r="L14" s="2"/>
      <c r="M14" s="24"/>
      <c r="N14" s="24"/>
      <c r="O14" s="41">
        <f t="shared" si="0"/>
        <v>0.31530429874894178</v>
      </c>
      <c r="P14" s="41">
        <f t="shared" si="1"/>
        <v>0.36729108690097745</v>
      </c>
      <c r="Q14" s="41">
        <f t="shared" si="2"/>
        <v>0.35288119115710237</v>
      </c>
      <c r="R14" s="41">
        <f t="shared" si="3"/>
        <v>0.31137858955116404</v>
      </c>
      <c r="S14" s="41">
        <f t="shared" si="4"/>
        <v>0.27898278212961519</v>
      </c>
      <c r="V14" s="46">
        <f t="shared" si="9"/>
        <v>0.51392984355608617</v>
      </c>
      <c r="W14" s="46">
        <f t="shared" si="6"/>
        <v>0.27219309031473293</v>
      </c>
      <c r="X14" s="46">
        <f t="shared" si="7"/>
        <v>0.10205385568395542</v>
      </c>
      <c r="Y14" s="46">
        <f t="shared" si="8"/>
        <v>0.10250417518228505</v>
      </c>
    </row>
    <row r="15" spans="1:25" x14ac:dyDescent="0.2">
      <c r="A15" s="23"/>
      <c r="B15" s="2"/>
      <c r="C15" s="2"/>
      <c r="D15" s="2"/>
      <c r="E15" s="2"/>
      <c r="F15" s="2"/>
      <c r="G15" s="2"/>
      <c r="H15" s="2"/>
      <c r="I15" s="2"/>
      <c r="J15" s="2"/>
      <c r="K15" s="2"/>
      <c r="L15" s="2"/>
      <c r="M15" s="24"/>
      <c r="N15" s="24"/>
      <c r="O15" s="41"/>
      <c r="P15" s="41"/>
      <c r="Q15" s="41"/>
      <c r="R15" s="41"/>
      <c r="S15" s="41"/>
      <c r="V15" s="46"/>
      <c r="W15" s="46"/>
      <c r="X15" s="46"/>
      <c r="Y15" s="46"/>
    </row>
    <row r="16" spans="1:25" x14ac:dyDescent="0.2">
      <c r="A16" s="23"/>
      <c r="B16" s="8" t="s">
        <v>18</v>
      </c>
      <c r="C16" s="12">
        <v>10631</v>
      </c>
      <c r="D16" s="12">
        <v>13816.542291885646</v>
      </c>
      <c r="E16" s="12">
        <v>18295.078691359893</v>
      </c>
      <c r="F16" s="12">
        <v>22849.508559022608</v>
      </c>
      <c r="G16" s="12">
        <v>28116.965810670652</v>
      </c>
      <c r="H16" s="12">
        <f>H14+H9</f>
        <v>7844.1493469041689</v>
      </c>
      <c r="I16" s="12">
        <f>I14+I9</f>
        <v>7844.1493469041689</v>
      </c>
      <c r="J16" s="12">
        <f>J14+J9</f>
        <v>7844.1493469041689</v>
      </c>
      <c r="K16" s="13"/>
      <c r="L16" s="2"/>
      <c r="M16" s="24"/>
      <c r="N16" s="24"/>
      <c r="O16" s="41">
        <f>C16/C$16</f>
        <v>1</v>
      </c>
      <c r="P16" s="41">
        <f>D16/D$16</f>
        <v>1</v>
      </c>
      <c r="Q16" s="41">
        <f>E16/E$16</f>
        <v>1</v>
      </c>
      <c r="R16" s="41">
        <f>F16/F$16</f>
        <v>1</v>
      </c>
      <c r="S16" s="41">
        <f>G16/G$16</f>
        <v>1</v>
      </c>
      <c r="V16" s="46">
        <f t="shared" si="9"/>
        <v>0.29964653295886046</v>
      </c>
      <c r="W16" s="46">
        <f>E16/D16-1</f>
        <v>0.32414306740872934</v>
      </c>
      <c r="X16" s="46">
        <f t="shared" si="7"/>
        <v>0.24894289576429141</v>
      </c>
      <c r="Y16" s="46">
        <f t="shared" si="8"/>
        <v>0.23052825132066479</v>
      </c>
    </row>
    <row r="17" spans="1:25" x14ac:dyDescent="0.2">
      <c r="A17" s="23"/>
      <c r="B17" s="2"/>
      <c r="C17" s="2"/>
      <c r="D17" s="2"/>
      <c r="E17" s="2"/>
      <c r="F17" s="2"/>
      <c r="G17" s="2"/>
      <c r="H17" s="2"/>
      <c r="I17" s="2"/>
      <c r="J17" s="2"/>
      <c r="K17" s="2"/>
      <c r="L17" s="2"/>
      <c r="M17" s="24"/>
      <c r="N17" s="24"/>
    </row>
    <row r="18" spans="1:25" x14ac:dyDescent="0.2">
      <c r="A18" s="23"/>
      <c r="B18" s="8" t="s">
        <v>19</v>
      </c>
      <c r="C18" s="2"/>
      <c r="D18" s="2"/>
      <c r="E18" s="2"/>
      <c r="F18" s="2"/>
      <c r="G18" s="2"/>
      <c r="H18" s="2"/>
      <c r="I18" s="2"/>
      <c r="J18" s="2"/>
      <c r="K18" s="2"/>
      <c r="L18" s="2"/>
      <c r="M18" s="24"/>
      <c r="N18" s="24"/>
    </row>
    <row r="19" spans="1:25" x14ac:dyDescent="0.2">
      <c r="A19" s="23"/>
      <c r="B19" s="9" t="s">
        <v>20</v>
      </c>
      <c r="C19" s="10">
        <v>2034</v>
      </c>
      <c r="D19" s="10">
        <v>2973.3578038849319</v>
      </c>
      <c r="E19" s="10">
        <v>4898.8933052445018</v>
      </c>
      <c r="F19" s="10">
        <v>6659.5619786655825</v>
      </c>
      <c r="G19" s="10">
        <v>9424.1264520542845</v>
      </c>
      <c r="H19" s="10"/>
      <c r="I19" s="10"/>
      <c r="J19" s="10"/>
      <c r="K19" s="10"/>
      <c r="L19" s="2"/>
      <c r="M19" s="2"/>
      <c r="N19" s="2"/>
      <c r="O19" s="46">
        <f>C19/C$26</f>
        <v>0.19132725049383878</v>
      </c>
      <c r="P19" s="46">
        <f t="shared" ref="P19:S21" si="12">D19/D$26</f>
        <v>0.21520274328195435</v>
      </c>
      <c r="Q19" s="46">
        <f t="shared" si="12"/>
        <v>0.26777109778478686</v>
      </c>
      <c r="R19" s="46">
        <f t="shared" si="12"/>
        <v>0.29145318208762588</v>
      </c>
      <c r="S19" s="46">
        <f t="shared" si="12"/>
        <v>0.33517579796884556</v>
      </c>
      <c r="V19" s="46">
        <f>D19/C19-1</f>
        <v>0.46182782885198215</v>
      </c>
      <c r="W19" s="46">
        <f t="shared" ref="W19:Y19" si="13">E19/D19-1</f>
        <v>0.64759629629629578</v>
      </c>
      <c r="X19" s="46">
        <f t="shared" si="13"/>
        <v>0.35940131040131051</v>
      </c>
      <c r="Y19" s="46">
        <f t="shared" si="13"/>
        <v>0.41512707325875131</v>
      </c>
    </row>
    <row r="20" spans="1:25" x14ac:dyDescent="0.2">
      <c r="A20" s="23"/>
      <c r="B20" s="9" t="s">
        <v>21</v>
      </c>
      <c r="C20" s="10">
        <v>315</v>
      </c>
      <c r="D20" s="10">
        <v>352.03660641791981</v>
      </c>
      <c r="E20" s="10">
        <v>524.52591618269832</v>
      </c>
      <c r="F20" s="10">
        <v>730.41025693862093</v>
      </c>
      <c r="G20" s="10">
        <v>649.44368321049353</v>
      </c>
      <c r="H20" s="10">
        <f>'Obligaciones Financieras'!G2</f>
        <v>695.85563486613148</v>
      </c>
      <c r="I20" s="10">
        <f>'Obligaciones Financieras'!H2</f>
        <v>638.75469777372223</v>
      </c>
      <c r="J20" s="10">
        <f>'Obligaciones Financieras'!I2</f>
        <v>586.33938346492164</v>
      </c>
      <c r="K20" s="10"/>
      <c r="L20" s="2"/>
      <c r="M20" s="2"/>
      <c r="N20" s="2"/>
      <c r="O20" s="46">
        <f t="shared" ref="O20:O26" si="14">C20/C$26</f>
        <v>2.9630326403913086E-2</v>
      </c>
      <c r="P20" s="46">
        <f t="shared" si="12"/>
        <v>2.5479356483037608E-2</v>
      </c>
      <c r="Q20" s="46">
        <f t="shared" si="12"/>
        <v>2.8670328509186077E-2</v>
      </c>
      <c r="R20" s="46">
        <f t="shared" si="12"/>
        <v>3.1966125444313029E-2</v>
      </c>
      <c r="S20" s="46">
        <f t="shared" si="12"/>
        <v>2.3097929114528553E-2</v>
      </c>
      <c r="V20" s="46">
        <f t="shared" ref="V20:V26" si="15">D20/C20-1</f>
        <v>0.11757652831085652</v>
      </c>
      <c r="W20" s="46">
        <f t="shared" ref="W20:W26" si="16">E20/D20-1</f>
        <v>0.48997549294634446</v>
      </c>
      <c r="X20" s="46">
        <f t="shared" ref="X20:X26" si="17">F20/E20-1</f>
        <v>0.39251509678353202</v>
      </c>
      <c r="Y20" s="46">
        <f t="shared" ref="Y20:Y26" si="18">G20/F20-1</f>
        <v>-0.11085081700178168</v>
      </c>
    </row>
    <row r="21" spans="1:25" x14ac:dyDescent="0.2">
      <c r="A21" s="23"/>
      <c r="B21" s="2" t="s">
        <v>22</v>
      </c>
      <c r="C21" s="11">
        <v>2349</v>
      </c>
      <c r="D21" s="11">
        <v>3325.3944103028516</v>
      </c>
      <c r="E21" s="11">
        <v>5423.4192214271998</v>
      </c>
      <c r="F21" s="11">
        <v>7389.9722356042039</v>
      </c>
      <c r="G21" s="11">
        <v>10073.570135264777</v>
      </c>
      <c r="H21" s="11">
        <f>SUM(H19:H20)</f>
        <v>695.85563486613148</v>
      </c>
      <c r="I21" s="11">
        <f>SUM(I19:I20)</f>
        <v>638.75469777372223</v>
      </c>
      <c r="J21" s="11">
        <f>SUM(J19:J20)</f>
        <v>586.33938346492164</v>
      </c>
      <c r="K21" s="11"/>
      <c r="L21" s="2"/>
      <c r="M21" s="2"/>
      <c r="N21" s="2"/>
      <c r="O21" s="46">
        <f t="shared" si="14"/>
        <v>0.22095757689775186</v>
      </c>
      <c r="P21" s="46">
        <f t="shared" si="12"/>
        <v>0.24068209976499197</v>
      </c>
      <c r="Q21" s="46">
        <f t="shared" si="12"/>
        <v>0.29644142629397296</v>
      </c>
      <c r="R21" s="46">
        <f t="shared" si="12"/>
        <v>0.32341930753193893</v>
      </c>
      <c r="S21" s="46">
        <f t="shared" si="12"/>
        <v>0.35827372708337407</v>
      </c>
      <c r="V21" s="46">
        <f t="shared" si="15"/>
        <v>0.41566386134646738</v>
      </c>
      <c r="W21" s="46">
        <f t="shared" si="16"/>
        <v>0.63091006727628329</v>
      </c>
      <c r="X21" s="46">
        <f t="shared" si="17"/>
        <v>0.36260390980055868</v>
      </c>
      <c r="Y21" s="46">
        <f t="shared" si="18"/>
        <v>0.36314045765033409</v>
      </c>
    </row>
    <row r="22" spans="1:25" x14ac:dyDescent="0.2">
      <c r="A22" s="23"/>
      <c r="B22" s="2"/>
      <c r="C22" s="2"/>
      <c r="D22" s="2"/>
      <c r="E22" s="2"/>
      <c r="F22" s="2"/>
      <c r="G22" s="2"/>
      <c r="H22" s="2"/>
      <c r="I22" s="2"/>
      <c r="J22" s="2"/>
      <c r="K22" s="2"/>
      <c r="L22" s="2"/>
      <c r="M22" s="2"/>
      <c r="N22" s="2"/>
      <c r="O22" s="46"/>
      <c r="P22" s="46"/>
      <c r="Q22" s="46"/>
      <c r="R22" s="46"/>
      <c r="S22" s="46"/>
      <c r="V22" s="46"/>
      <c r="W22" s="46"/>
      <c r="X22" s="46"/>
      <c r="Y22" s="46"/>
    </row>
    <row r="23" spans="1:25" x14ac:dyDescent="0.2">
      <c r="A23" s="23"/>
      <c r="B23" s="9" t="s">
        <v>23</v>
      </c>
      <c r="C23" s="11">
        <v>3258</v>
      </c>
      <c r="D23" s="11">
        <v>4400.4575802239979</v>
      </c>
      <c r="E23" s="11">
        <v>5725.8199655526805</v>
      </c>
      <c r="F23" s="11">
        <v>7123.3949988040767</v>
      </c>
      <c r="G23" s="11">
        <v>8479.9845542169842</v>
      </c>
      <c r="H23" s="11">
        <f>'Obligaciones Financieras'!G3</f>
        <v>7784.1289193508519</v>
      </c>
      <c r="I23" s="11">
        <f>'Obligaciones Financieras'!H3</f>
        <v>7145.3742215771299</v>
      </c>
      <c r="J23" s="11">
        <f>'Obligaciones Financieras'!I3</f>
        <v>6559.0348381122085</v>
      </c>
      <c r="K23" s="11"/>
      <c r="L23" s="2"/>
      <c r="M23" s="2"/>
      <c r="N23" s="2"/>
      <c r="O23" s="46">
        <f t="shared" si="14"/>
        <v>0.30646223309190107</v>
      </c>
      <c r="P23" s="46">
        <f t="shared" ref="P23:P24" si="19">D23/D$26</f>
        <v>0.31849195603797009</v>
      </c>
      <c r="Q23" s="46">
        <f t="shared" ref="Q23:Q24" si="20">E23/E$26</f>
        <v>0.31297050218520123</v>
      </c>
      <c r="R23" s="46">
        <f t="shared" ref="R23:R24" si="21">F23/F$26</f>
        <v>0.31175265675424141</v>
      </c>
      <c r="S23" s="46">
        <f t="shared" ref="S23:S24" si="22">G23/G$26</f>
        <v>0.30159671606524308</v>
      </c>
      <c r="V23" s="46">
        <f t="shared" si="15"/>
        <v>0.35066224070718177</v>
      </c>
      <c r="W23" s="46">
        <f t="shared" si="16"/>
        <v>0.30118740180225023</v>
      </c>
      <c r="X23" s="46">
        <f t="shared" si="17"/>
        <v>0.24408295085409604</v>
      </c>
      <c r="Y23" s="46">
        <f t="shared" si="18"/>
        <v>0.19044143356372367</v>
      </c>
    </row>
    <row r="24" spans="1:25" x14ac:dyDescent="0.2">
      <c r="A24" s="23"/>
      <c r="B24" s="9" t="s">
        <v>24</v>
      </c>
      <c r="C24" s="11">
        <v>5024</v>
      </c>
      <c r="D24" s="11">
        <v>6090.6903013587953</v>
      </c>
      <c r="E24" s="11">
        <v>7145.8395043800147</v>
      </c>
      <c r="F24" s="11">
        <v>8336.1413246143256</v>
      </c>
      <c r="G24" s="11">
        <v>9563.4111211888885</v>
      </c>
      <c r="H24" s="11"/>
      <c r="I24" s="11"/>
      <c r="J24" s="11"/>
      <c r="K24" s="11"/>
      <c r="L24" s="2"/>
      <c r="M24" s="2"/>
      <c r="N24" s="2"/>
      <c r="O24" s="46">
        <f t="shared" si="14"/>
        <v>0.47258019001034712</v>
      </c>
      <c r="P24" s="46">
        <f t="shared" si="19"/>
        <v>0.44082594419703786</v>
      </c>
      <c r="Q24" s="46">
        <f t="shared" si="20"/>
        <v>0.39058807152082575</v>
      </c>
      <c r="R24" s="46">
        <f t="shared" si="21"/>
        <v>0.36482803571381955</v>
      </c>
      <c r="S24" s="46">
        <f t="shared" si="22"/>
        <v>0.34012955685138274</v>
      </c>
      <c r="V24" s="46">
        <f t="shared" si="15"/>
        <v>0.21231892941058828</v>
      </c>
      <c r="W24" s="46">
        <f t="shared" si="16"/>
        <v>0.17323967412787722</v>
      </c>
      <c r="X24" s="46">
        <f t="shared" si="17"/>
        <v>0.16657270562887949</v>
      </c>
      <c r="Y24" s="46">
        <f t="shared" si="18"/>
        <v>0.14722276755922725</v>
      </c>
    </row>
    <row r="25" spans="1:25" x14ac:dyDescent="0.2">
      <c r="A25" s="23"/>
      <c r="B25" s="9"/>
      <c r="C25" s="2"/>
      <c r="D25" s="2"/>
      <c r="E25" s="2"/>
      <c r="F25" s="2"/>
      <c r="G25" s="2"/>
      <c r="H25" s="2"/>
      <c r="I25" s="2"/>
      <c r="J25" s="2"/>
      <c r="K25" s="2"/>
      <c r="L25" s="2"/>
      <c r="M25" s="24"/>
      <c r="N25" s="24"/>
      <c r="O25" s="46"/>
      <c r="P25" s="46"/>
      <c r="Q25" s="46"/>
      <c r="R25" s="46"/>
      <c r="S25" s="46"/>
      <c r="V25" s="46"/>
      <c r="W25" s="46"/>
      <c r="X25" s="46"/>
      <c r="Y25" s="46"/>
    </row>
    <row r="26" spans="1:25" x14ac:dyDescent="0.2">
      <c r="A26" s="2"/>
      <c r="B26" s="8" t="s">
        <v>25</v>
      </c>
      <c r="C26" s="12">
        <v>10631</v>
      </c>
      <c r="D26" s="12">
        <v>13816.542291885646</v>
      </c>
      <c r="E26" s="12">
        <v>18295.078691359897</v>
      </c>
      <c r="F26" s="12">
        <v>22849.508559022608</v>
      </c>
      <c r="G26" s="12">
        <v>28116.965810670652</v>
      </c>
      <c r="H26" s="12">
        <f>H24+H23+H21</f>
        <v>8479.9845542169842</v>
      </c>
      <c r="I26" s="12">
        <f>I24+I23+I21</f>
        <v>7784.1289193508519</v>
      </c>
      <c r="J26" s="12">
        <f>J24+J23+J21</f>
        <v>7145.3742215771299</v>
      </c>
      <c r="K26" s="13"/>
      <c r="L26" s="2"/>
      <c r="M26" s="24"/>
      <c r="N26" s="2"/>
      <c r="O26" s="46">
        <f t="shared" si="14"/>
        <v>1</v>
      </c>
      <c r="P26" s="46">
        <f t="shared" ref="P26" si="23">D26/D$26</f>
        <v>1</v>
      </c>
      <c r="Q26" s="46">
        <f t="shared" ref="Q26" si="24">E26/E$26</f>
        <v>1</v>
      </c>
      <c r="R26" s="46">
        <f t="shared" ref="R26" si="25">F26/F$26</f>
        <v>1</v>
      </c>
      <c r="S26" s="46">
        <f t="shared" ref="S26" si="26">G26/G$26</f>
        <v>1</v>
      </c>
      <c r="V26" s="46">
        <f t="shared" si="15"/>
        <v>0.29964653295886046</v>
      </c>
      <c r="W26" s="46">
        <f t="shared" si="16"/>
        <v>0.32414306740872956</v>
      </c>
      <c r="X26" s="46">
        <f t="shared" si="17"/>
        <v>0.24894289576429118</v>
      </c>
      <c r="Y26" s="46">
        <f t="shared" si="18"/>
        <v>0.23052825132066479</v>
      </c>
    </row>
    <row r="27" spans="1:25" x14ac:dyDescent="0.2">
      <c r="A27" s="2"/>
      <c r="B27" s="8"/>
      <c r="C27" s="13"/>
      <c r="D27" s="13"/>
      <c r="E27" s="13"/>
      <c r="F27" s="13"/>
      <c r="G27" s="13"/>
      <c r="H27" s="13"/>
      <c r="I27" s="13"/>
      <c r="J27" s="13"/>
      <c r="K27" s="13"/>
      <c r="L27" s="2"/>
      <c r="M27" s="24"/>
      <c r="N27" s="2"/>
    </row>
    <row r="28" spans="1:25" ht="13.5" thickBot="1" x14ac:dyDescent="0.25">
      <c r="A28" s="2"/>
      <c r="B28" s="1" t="s">
        <v>26</v>
      </c>
      <c r="C28" s="2"/>
      <c r="D28" s="2"/>
      <c r="E28" s="2"/>
      <c r="F28" s="2"/>
      <c r="G28" s="2"/>
      <c r="H28" s="2"/>
      <c r="I28" s="2"/>
      <c r="J28" s="2"/>
      <c r="K28" s="2"/>
      <c r="L28" s="2"/>
      <c r="M28" s="2"/>
      <c r="N28" s="2"/>
    </row>
    <row r="29" spans="1:25" ht="14.25" thickTop="1" thickBot="1" x14ac:dyDescent="0.25">
      <c r="A29" s="2"/>
      <c r="B29" s="4" t="s">
        <v>27</v>
      </c>
      <c r="C29" s="5">
        <v>2002</v>
      </c>
      <c r="D29" s="6">
        <v>2003</v>
      </c>
      <c r="E29" s="6">
        <v>2004</v>
      </c>
      <c r="F29" s="6">
        <v>2005</v>
      </c>
      <c r="G29" s="7" t="s">
        <v>3</v>
      </c>
      <c r="H29" s="30" t="s">
        <v>4</v>
      </c>
      <c r="I29" s="30" t="s">
        <v>5</v>
      </c>
      <c r="J29" s="31" t="s">
        <v>6</v>
      </c>
      <c r="K29" s="23"/>
      <c r="L29" s="3"/>
      <c r="M29" s="2"/>
      <c r="N29" s="2"/>
    </row>
    <row r="30" spans="1:25" ht="13.5" thickTop="1" x14ac:dyDescent="0.2">
      <c r="A30" s="2"/>
      <c r="B30" s="2" t="s">
        <v>28</v>
      </c>
      <c r="C30" s="10">
        <v>24652.188000000002</v>
      </c>
      <c r="D30" s="10">
        <v>26796.928356</v>
      </c>
      <c r="E30" s="10">
        <v>29289.042693108</v>
      </c>
      <c r="F30" s="10">
        <v>35088.273146343381</v>
      </c>
      <c r="G30" s="10">
        <v>42597.16359966086</v>
      </c>
      <c r="H30" s="10">
        <f>G30*(1+14.8%)</f>
        <v>48901.543812410673</v>
      </c>
      <c r="I30" s="10">
        <f t="shared" ref="I30:J30" si="27">H30*(1+14.8%)</f>
        <v>56138.972296647458</v>
      </c>
      <c r="J30" s="10">
        <f t="shared" si="27"/>
        <v>64447.540196551286</v>
      </c>
      <c r="K30" s="23"/>
      <c r="L30" s="2"/>
      <c r="M30" s="2"/>
      <c r="N30" s="2"/>
      <c r="O30" s="41">
        <f>C30/C$30</f>
        <v>1</v>
      </c>
      <c r="P30" s="41">
        <f t="shared" ref="P30:S32" si="28">D30/D$30</f>
        <v>1</v>
      </c>
      <c r="Q30" s="41">
        <f t="shared" si="28"/>
        <v>1</v>
      </c>
      <c r="R30" s="41">
        <f t="shared" si="28"/>
        <v>1</v>
      </c>
      <c r="S30" s="41">
        <f t="shared" si="28"/>
        <v>1</v>
      </c>
      <c r="V30" s="41">
        <f>D30/C30-1</f>
        <v>8.6999999999999966E-2</v>
      </c>
      <c r="W30" s="41">
        <f t="shared" ref="W30:Y30" si="29">E30/D30-1</f>
        <v>9.2999999999999972E-2</v>
      </c>
      <c r="X30" s="41">
        <f t="shared" si="29"/>
        <v>0.19799999999999995</v>
      </c>
      <c r="Y30" s="41">
        <f t="shared" si="29"/>
        <v>0.21399999999999997</v>
      </c>
    </row>
    <row r="31" spans="1:25" x14ac:dyDescent="0.2">
      <c r="A31" s="2"/>
      <c r="B31" s="9" t="s">
        <v>29</v>
      </c>
      <c r="C31" s="14">
        <v>20461.316040000002</v>
      </c>
      <c r="D31" s="14">
        <v>21705.511968360002</v>
      </c>
      <c r="E31" s="14">
        <v>23841.280752189912</v>
      </c>
      <c r="F31" s="14">
        <v>28596.942614269854</v>
      </c>
      <c r="G31" s="14">
        <v>35100.06280612055</v>
      </c>
      <c r="H31" s="14"/>
      <c r="I31" s="14"/>
      <c r="J31" s="14"/>
      <c r="K31" s="23"/>
      <c r="L31" s="2"/>
      <c r="M31" s="2"/>
      <c r="N31" s="2"/>
      <c r="O31" s="41">
        <f t="shared" ref="O31:O42" si="30">C31/C$30</f>
        <v>0.83</v>
      </c>
      <c r="P31" s="41">
        <f t="shared" si="28"/>
        <v>0.81</v>
      </c>
      <c r="Q31" s="41">
        <f t="shared" si="28"/>
        <v>0.81400000000000006</v>
      </c>
      <c r="R31" s="41">
        <f t="shared" si="28"/>
        <v>0.81499999999999995</v>
      </c>
      <c r="S31" s="41">
        <f t="shared" si="28"/>
        <v>0.82400000000000007</v>
      </c>
      <c r="V31" s="41">
        <f t="shared" ref="V31:V42" si="31">D31/C31-1</f>
        <v>6.0807228915662703E-2</v>
      </c>
      <c r="W31" s="41">
        <f t="shared" ref="W31:W42" si="32">E31/D31-1</f>
        <v>9.8397530864197336E-2</v>
      </c>
      <c r="X31" s="41">
        <f t="shared" ref="X31:X42" si="33">F31/E31-1</f>
        <v>0.19947174447174421</v>
      </c>
      <c r="Y31" s="41">
        <f t="shared" ref="Y31:Y42" si="34">G31/F31-1</f>
        <v>0.22740613496932505</v>
      </c>
    </row>
    <row r="32" spans="1:25" x14ac:dyDescent="0.2">
      <c r="A32" s="2"/>
      <c r="B32" s="8" t="s">
        <v>31</v>
      </c>
      <c r="C32" s="15">
        <v>4190.8719600000004</v>
      </c>
      <c r="D32" s="15">
        <v>5091.416387639998</v>
      </c>
      <c r="E32" s="15">
        <v>5447.7619409180879</v>
      </c>
      <c r="F32" s="15">
        <v>6491.3305320735271</v>
      </c>
      <c r="G32" s="15">
        <v>7497.1007935403104</v>
      </c>
      <c r="H32" s="15">
        <f>H30-H31</f>
        <v>48901.543812410673</v>
      </c>
      <c r="I32" s="15">
        <f>I30-I31</f>
        <v>56138.972296647458</v>
      </c>
      <c r="J32" s="15">
        <f>J30-J31</f>
        <v>64447.540196551286</v>
      </c>
      <c r="K32" s="23"/>
      <c r="L32" s="2"/>
      <c r="M32" s="2"/>
      <c r="N32" s="2"/>
      <c r="O32" s="41">
        <f t="shared" si="30"/>
        <v>0.17</v>
      </c>
      <c r="P32" s="41">
        <f t="shared" si="28"/>
        <v>0.18999999999999992</v>
      </c>
      <c r="Q32" s="41">
        <f t="shared" si="28"/>
        <v>0.186</v>
      </c>
      <c r="R32" s="41">
        <f t="shared" si="28"/>
        <v>0.18500000000000005</v>
      </c>
      <c r="S32" s="41">
        <f t="shared" si="28"/>
        <v>0.17599999999999999</v>
      </c>
      <c r="V32" s="41">
        <f t="shared" si="31"/>
        <v>0.21488235294117586</v>
      </c>
      <c r="W32" s="41">
        <f t="shared" si="32"/>
        <v>6.9989473684211045E-2</v>
      </c>
      <c r="X32" s="41">
        <f t="shared" si="33"/>
        <v>0.19155913978494654</v>
      </c>
      <c r="Y32" s="41">
        <f t="shared" si="34"/>
        <v>0.15494054054053996</v>
      </c>
    </row>
    <row r="33" spans="1:25" x14ac:dyDescent="0.2">
      <c r="A33" s="2"/>
      <c r="B33" s="2"/>
      <c r="C33" s="2"/>
      <c r="D33" s="2"/>
      <c r="E33" s="2"/>
      <c r="F33" s="2"/>
      <c r="G33" s="2"/>
      <c r="H33" s="2"/>
      <c r="I33" s="2"/>
      <c r="J33" s="2"/>
      <c r="K33" s="23"/>
      <c r="L33" s="2"/>
      <c r="M33" s="2"/>
      <c r="N33" s="2"/>
      <c r="O33" s="41"/>
      <c r="P33" s="41"/>
      <c r="Q33" s="41"/>
      <c r="R33" s="41"/>
      <c r="S33" s="41"/>
      <c r="V33" s="41"/>
      <c r="W33" s="41"/>
      <c r="X33" s="41"/>
      <c r="Y33" s="41"/>
    </row>
    <row r="34" spans="1:25" x14ac:dyDescent="0.2">
      <c r="A34" s="2"/>
      <c r="B34" s="9" t="s">
        <v>32</v>
      </c>
      <c r="C34" s="10">
        <v>1999</v>
      </c>
      <c r="D34" s="10">
        <v>2138.1303999999996</v>
      </c>
      <c r="E34" s="10">
        <v>2372.4124581417482</v>
      </c>
      <c r="F34" s="10">
        <v>2877.2383980001573</v>
      </c>
      <c r="G34" s="10">
        <v>3578.1617423715124</v>
      </c>
      <c r="H34" s="10"/>
      <c r="I34" s="10"/>
      <c r="J34" s="10"/>
      <c r="K34" s="23"/>
      <c r="L34" s="2"/>
      <c r="M34" s="2"/>
      <c r="N34" s="2"/>
      <c r="O34" s="41">
        <f t="shared" si="30"/>
        <v>8.1088137085438411E-2</v>
      </c>
      <c r="P34" s="41">
        <f t="shared" ref="P34:P37" si="35">D34/D$30</f>
        <v>7.9790130107253832E-2</v>
      </c>
      <c r="Q34" s="41">
        <f t="shared" ref="Q34:Q37" si="36">E34/E$30</f>
        <v>8.1000000000000003E-2</v>
      </c>
      <c r="R34" s="41">
        <f t="shared" ref="R34:R37" si="37">F34/F$30</f>
        <v>8.2000000000000003E-2</v>
      </c>
      <c r="S34" s="41">
        <f t="shared" ref="S34:S37" si="38">G34/G$30</f>
        <v>8.4000000000000005E-2</v>
      </c>
      <c r="V34" s="41">
        <f t="shared" si="31"/>
        <v>6.9599999999999884E-2</v>
      </c>
      <c r="W34" s="41">
        <f t="shared" si="32"/>
        <v>0.10957332543503839</v>
      </c>
      <c r="X34" s="41">
        <f t="shared" si="33"/>
        <v>0.21279012345678994</v>
      </c>
      <c r="Y34" s="41">
        <f t="shared" si="34"/>
        <v>0.24360975609756097</v>
      </c>
    </row>
    <row r="35" spans="1:25" x14ac:dyDescent="0.2">
      <c r="A35" s="2"/>
      <c r="B35" s="9" t="s">
        <v>33</v>
      </c>
      <c r="C35" s="10">
        <v>203</v>
      </c>
      <c r="D35" s="10">
        <v>203</v>
      </c>
      <c r="E35" s="10">
        <v>212.43950000000001</v>
      </c>
      <c r="F35" s="10">
        <v>221.99927750000001</v>
      </c>
      <c r="G35" s="10">
        <v>231.9892449875</v>
      </c>
      <c r="H35" s="10"/>
      <c r="I35" s="10"/>
      <c r="J35" s="10"/>
      <c r="K35" s="23"/>
      <c r="L35" s="2"/>
      <c r="M35" s="2"/>
      <c r="N35" s="2"/>
      <c r="O35" s="41">
        <f t="shared" si="30"/>
        <v>8.2345631957698832E-3</v>
      </c>
      <c r="P35" s="41">
        <f t="shared" si="35"/>
        <v>7.5754951203034814E-3</v>
      </c>
      <c r="Q35" s="41">
        <f t="shared" si="36"/>
        <v>7.2532073590096929E-3</v>
      </c>
      <c r="R35" s="41">
        <f t="shared" si="37"/>
        <v>6.3268795410393397E-3</v>
      </c>
      <c r="S35" s="41">
        <f t="shared" si="38"/>
        <v>5.4461195390330406E-3</v>
      </c>
      <c r="V35" s="41">
        <f t="shared" si="31"/>
        <v>0</v>
      </c>
      <c r="W35" s="41">
        <f t="shared" si="32"/>
        <v>4.6499999999999986E-2</v>
      </c>
      <c r="X35" s="41">
        <f t="shared" si="33"/>
        <v>4.4999999999999929E-2</v>
      </c>
      <c r="Y35" s="41">
        <f t="shared" si="34"/>
        <v>4.4999999999999929E-2</v>
      </c>
    </row>
    <row r="36" spans="1:25" x14ac:dyDescent="0.2">
      <c r="A36" s="2"/>
      <c r="B36" s="9" t="s">
        <v>34</v>
      </c>
      <c r="C36" s="14">
        <v>347.42399999999998</v>
      </c>
      <c r="D36" s="14">
        <v>412.4898554344237</v>
      </c>
      <c r="E36" s="14">
        <v>455.15217860307689</v>
      </c>
      <c r="F36" s="14">
        <v>556.51503800703222</v>
      </c>
      <c r="G36" s="14">
        <v>668.71528413910289</v>
      </c>
      <c r="H36" s="14"/>
      <c r="I36" s="14"/>
      <c r="J36" s="14"/>
      <c r="K36" s="23"/>
      <c r="L36" s="2"/>
      <c r="M36" s="2"/>
      <c r="N36" s="2"/>
      <c r="O36" s="41">
        <f t="shared" si="30"/>
        <v>1.4093028983877615E-2</v>
      </c>
      <c r="P36" s="41">
        <f t="shared" si="35"/>
        <v>1.5393176783340717E-2</v>
      </c>
      <c r="Q36" s="41">
        <f t="shared" si="36"/>
        <v>1.5540015540015538E-2</v>
      </c>
      <c r="R36" s="41">
        <f t="shared" si="37"/>
        <v>1.5860428231562251E-2</v>
      </c>
      <c r="S36" s="41">
        <f t="shared" si="38"/>
        <v>1.5698587127158554E-2</v>
      </c>
      <c r="V36" s="41">
        <f t="shared" si="31"/>
        <v>0.18728083101462123</v>
      </c>
      <c r="W36" s="41">
        <f t="shared" si="32"/>
        <v>0.1034263572948293</v>
      </c>
      <c r="X36" s="41">
        <f t="shared" si="33"/>
        <v>0.222701030927835</v>
      </c>
      <c r="Y36" s="41">
        <f t="shared" si="34"/>
        <v>0.20161224489795893</v>
      </c>
    </row>
    <row r="37" spans="1:25" x14ac:dyDescent="0.2">
      <c r="A37" s="2"/>
      <c r="B37" s="8" t="s">
        <v>35</v>
      </c>
      <c r="C37" s="13">
        <v>1641.4479600000004</v>
      </c>
      <c r="D37" s="13">
        <v>2337.7961322055748</v>
      </c>
      <c r="E37" s="13">
        <v>2407.7578041732631</v>
      </c>
      <c r="F37" s="13">
        <v>2835.5778185663376</v>
      </c>
      <c r="G37" s="13">
        <v>3018.2345220421948</v>
      </c>
      <c r="H37" s="13">
        <f>H32-SUM(H34:H36)</f>
        <v>48901.543812410673</v>
      </c>
      <c r="I37" s="13">
        <f>I32-SUM(I34:I36)</f>
        <v>56138.972296647458</v>
      </c>
      <c r="J37" s="13">
        <f>J32-SUM(J34:J36)</f>
        <v>64447.540196551286</v>
      </c>
      <c r="K37" s="23"/>
      <c r="L37" s="2"/>
      <c r="M37" s="2"/>
      <c r="N37" s="2"/>
      <c r="O37" s="41">
        <f t="shared" si="30"/>
        <v>6.6584270734914089E-2</v>
      </c>
      <c r="P37" s="41">
        <f t="shared" si="35"/>
        <v>8.7241197989101904E-2</v>
      </c>
      <c r="Q37" s="41">
        <f t="shared" si="36"/>
        <v>8.2206777100974765E-2</v>
      </c>
      <c r="R37" s="41">
        <f t="shared" si="37"/>
        <v>8.0812692227398453E-2</v>
      </c>
      <c r="S37" s="41">
        <f t="shared" si="38"/>
        <v>7.085529333380837E-2</v>
      </c>
      <c r="V37" s="41">
        <f t="shared" si="31"/>
        <v>0.42422799209886275</v>
      </c>
      <c r="W37" s="41">
        <f t="shared" si="32"/>
        <v>2.9926335750108057E-2</v>
      </c>
      <c r="X37" s="41">
        <f t="shared" si="33"/>
        <v>0.17768399032973847</v>
      </c>
      <c r="Y37" s="41">
        <f t="shared" si="34"/>
        <v>6.4416043276924739E-2</v>
      </c>
    </row>
    <row r="38" spans="1:25" x14ac:dyDescent="0.2">
      <c r="A38" s="2"/>
      <c r="B38" s="2"/>
      <c r="C38" s="11"/>
      <c r="D38" s="11"/>
      <c r="E38" s="2"/>
      <c r="F38" s="2"/>
      <c r="G38" s="2"/>
      <c r="H38" s="2"/>
      <c r="I38" s="2"/>
      <c r="J38" s="2"/>
      <c r="K38" s="23"/>
      <c r="L38" s="2"/>
      <c r="M38" s="2"/>
      <c r="N38" s="2"/>
      <c r="O38" s="41"/>
      <c r="P38" s="41"/>
      <c r="Q38" s="41"/>
      <c r="R38" s="41"/>
      <c r="S38" s="41"/>
      <c r="V38" s="41"/>
      <c r="W38" s="41"/>
      <c r="X38" s="41"/>
      <c r="Y38" s="41"/>
    </row>
    <row r="39" spans="1:25" x14ac:dyDescent="0.2">
      <c r="A39" s="2"/>
      <c r="B39" s="9" t="s">
        <v>36</v>
      </c>
      <c r="C39" s="14">
        <v>187</v>
      </c>
      <c r="D39" s="14">
        <v>348.63006906563032</v>
      </c>
      <c r="E39" s="14">
        <v>440.11360273509183</v>
      </c>
      <c r="F39" s="14">
        <v>546.53585657727547</v>
      </c>
      <c r="G39" s="14">
        <v>658.10029786034431</v>
      </c>
      <c r="H39" s="14"/>
      <c r="I39" s="14"/>
      <c r="J39" s="14"/>
      <c r="K39" s="23"/>
      <c r="L39" s="2"/>
      <c r="M39" s="2"/>
      <c r="N39" s="2"/>
      <c r="O39" s="41">
        <f t="shared" si="30"/>
        <v>7.5855335842806319E-3</v>
      </c>
      <c r="P39" s="41">
        <f t="shared" ref="P39:P42" si="39">D39/D$30</f>
        <v>1.3010075798018465E-2</v>
      </c>
      <c r="Q39" s="41">
        <f t="shared" ref="Q39:Q42" si="40">E39/E$30</f>
        <v>1.5026561548857139E-2</v>
      </c>
      <c r="R39" s="41">
        <f t="shared" ref="R39:R42" si="41">F39/F$30</f>
        <v>1.5576026050008991E-2</v>
      </c>
      <c r="S39" s="41">
        <f t="shared" ref="S39:S42" si="42">G39/G$30</f>
        <v>1.5449392453576035E-2</v>
      </c>
      <c r="V39" s="41">
        <f t="shared" si="31"/>
        <v>0.86433192013706051</v>
      </c>
      <c r="W39" s="41">
        <f t="shared" si="32"/>
        <v>0.26240861528280734</v>
      </c>
      <c r="X39" s="41">
        <f t="shared" si="33"/>
        <v>0.24180632723192641</v>
      </c>
      <c r="Y39" s="41">
        <f t="shared" si="34"/>
        <v>0.20413014066771407</v>
      </c>
    </row>
    <row r="40" spans="1:25" x14ac:dyDescent="0.2">
      <c r="A40" s="2"/>
      <c r="B40" s="8" t="s">
        <v>37</v>
      </c>
      <c r="C40" s="13">
        <v>1454.4479600000004</v>
      </c>
      <c r="D40" s="13">
        <v>1989.1660631399445</v>
      </c>
      <c r="E40" s="13">
        <v>1967.6442014381714</v>
      </c>
      <c r="F40" s="13">
        <v>2289.0419619890622</v>
      </c>
      <c r="G40" s="13">
        <v>2360.1342241818506</v>
      </c>
      <c r="H40" s="13">
        <f>H37-H39</f>
        <v>48901.543812410673</v>
      </c>
      <c r="I40" s="13">
        <f>I37-I39</f>
        <v>56138.972296647458</v>
      </c>
      <c r="J40" s="13">
        <f>J37-J39</f>
        <v>64447.540196551286</v>
      </c>
      <c r="K40" s="23"/>
      <c r="L40" s="2"/>
      <c r="M40" s="2"/>
      <c r="N40" s="2"/>
      <c r="O40" s="41">
        <f t="shared" si="30"/>
        <v>5.899873715063346E-2</v>
      </c>
      <c r="P40" s="41">
        <f t="shared" si="39"/>
        <v>7.4231122191083437E-2</v>
      </c>
      <c r="Q40" s="41">
        <f t="shared" si="40"/>
        <v>6.7180215552117631E-2</v>
      </c>
      <c r="R40" s="41">
        <f t="shared" si="41"/>
        <v>6.5236666177389463E-2</v>
      </c>
      <c r="S40" s="41">
        <f t="shared" si="42"/>
        <v>5.5405900880232339E-2</v>
      </c>
      <c r="V40" s="41">
        <f t="shared" si="31"/>
        <v>0.36764333812255745</v>
      </c>
      <c r="W40" s="41">
        <f t="shared" si="32"/>
        <v>-1.0819539957262481E-2</v>
      </c>
      <c r="X40" s="41">
        <f t="shared" si="33"/>
        <v>0.16334140100937855</v>
      </c>
      <c r="Y40" s="41">
        <f t="shared" si="34"/>
        <v>3.1057649170840307E-2</v>
      </c>
    </row>
    <row r="41" spans="1:25" x14ac:dyDescent="0.2">
      <c r="A41" s="2"/>
      <c r="B41" s="9" t="s">
        <v>38</v>
      </c>
      <c r="C41" s="14">
        <v>263.73599999999999</v>
      </c>
      <c r="D41" s="14">
        <v>696.20812209898054</v>
      </c>
      <c r="E41" s="14">
        <v>688.67547050335997</v>
      </c>
      <c r="F41" s="14">
        <v>801.16468669617177</v>
      </c>
      <c r="G41" s="14">
        <v>826.04697846364763</v>
      </c>
      <c r="H41" s="14"/>
      <c r="I41" s="14"/>
      <c r="J41" s="14"/>
      <c r="K41" s="23"/>
      <c r="L41" s="2"/>
      <c r="M41" s="2"/>
      <c r="N41" s="2"/>
      <c r="O41" s="41">
        <f t="shared" si="30"/>
        <v>1.0698279600983084E-2</v>
      </c>
      <c r="P41" s="41">
        <f t="shared" si="39"/>
        <v>2.5980892766879201E-2</v>
      </c>
      <c r="Q41" s="41">
        <f t="shared" si="40"/>
        <v>2.3513075443241171E-2</v>
      </c>
      <c r="R41" s="41">
        <f t="shared" si="41"/>
        <v>2.2832833162086313E-2</v>
      </c>
      <c r="S41" s="41">
        <f t="shared" si="42"/>
        <v>1.9392065308081317E-2</v>
      </c>
      <c r="V41" s="41">
        <f t="shared" si="31"/>
        <v>1.6397917694170707</v>
      </c>
      <c r="W41" s="41">
        <f t="shared" si="32"/>
        <v>-1.0819539957262481E-2</v>
      </c>
      <c r="X41" s="41">
        <f t="shared" si="33"/>
        <v>0.16334140100937855</v>
      </c>
      <c r="Y41" s="41">
        <f t="shared" si="34"/>
        <v>3.1057649170840307E-2</v>
      </c>
    </row>
    <row r="42" spans="1:25" ht="13.5" thickBot="1" x14ac:dyDescent="0.25">
      <c r="A42" s="2"/>
      <c r="B42" s="8" t="s">
        <v>39</v>
      </c>
      <c r="C42" s="16">
        <v>1190.7119600000005</v>
      </c>
      <c r="D42" s="16">
        <v>1292.957941040964</v>
      </c>
      <c r="E42" s="16">
        <v>1278.9687309348114</v>
      </c>
      <c r="F42" s="16">
        <v>1487.8772752928903</v>
      </c>
      <c r="G42" s="16">
        <v>1534.0872457182031</v>
      </c>
      <c r="H42" s="16">
        <f>H40-H41</f>
        <v>48901.543812410673</v>
      </c>
      <c r="I42" s="16">
        <f>I40-I41</f>
        <v>56138.972296647458</v>
      </c>
      <c r="J42" s="16">
        <f>J40-J41</f>
        <v>64447.540196551286</v>
      </c>
      <c r="K42" s="23"/>
      <c r="L42" s="2"/>
      <c r="M42" s="24"/>
      <c r="N42" s="24"/>
      <c r="O42" s="41">
        <f t="shared" si="30"/>
        <v>4.8300457549650379E-2</v>
      </c>
      <c r="P42" s="41">
        <f t="shared" si="39"/>
        <v>4.8250229424204233E-2</v>
      </c>
      <c r="Q42" s="41">
        <f t="shared" si="40"/>
        <v>4.3667140108876464E-2</v>
      </c>
      <c r="R42" s="41">
        <f t="shared" si="41"/>
        <v>4.240383301530315E-2</v>
      </c>
      <c r="S42" s="41">
        <f t="shared" si="42"/>
        <v>3.6013835572151029E-2</v>
      </c>
      <c r="V42" s="41">
        <f t="shared" si="31"/>
        <v>8.586961790571368E-2</v>
      </c>
      <c r="W42" s="41">
        <f t="shared" si="32"/>
        <v>-1.0819539957262481E-2</v>
      </c>
      <c r="X42" s="41">
        <f t="shared" si="33"/>
        <v>0.16334140100937833</v>
      </c>
      <c r="Y42" s="41">
        <f t="shared" si="34"/>
        <v>3.1057649170840529E-2</v>
      </c>
    </row>
    <row r="43" spans="1:25" ht="13.5" thickTop="1" x14ac:dyDescent="0.2">
      <c r="A43" s="2"/>
      <c r="B43" s="2"/>
      <c r="C43" s="2"/>
      <c r="D43" s="2"/>
      <c r="E43" s="2"/>
      <c r="F43" s="3"/>
      <c r="G43" s="2"/>
      <c r="H43" s="2"/>
      <c r="I43" s="2"/>
      <c r="J43" s="2"/>
      <c r="K43" s="23"/>
      <c r="L43" s="2"/>
      <c r="M43" s="24"/>
      <c r="N43" s="24"/>
    </row>
    <row r="44" spans="1:25" ht="13.5" thickBot="1" x14ac:dyDescent="0.25">
      <c r="A44" s="2"/>
      <c r="B44" s="1" t="s">
        <v>40</v>
      </c>
      <c r="C44" s="2"/>
      <c r="D44" s="2"/>
      <c r="E44" s="2"/>
      <c r="F44" s="2"/>
      <c r="G44" s="2"/>
      <c r="H44" s="2"/>
      <c r="I44" s="2"/>
      <c r="J44" s="2"/>
      <c r="K44" s="2"/>
      <c r="L44" s="2"/>
      <c r="M44" s="2"/>
      <c r="N44" s="2"/>
    </row>
    <row r="45" spans="1:25" ht="14.25" thickTop="1" thickBot="1" x14ac:dyDescent="0.25">
      <c r="A45" s="2"/>
      <c r="B45" s="4" t="s">
        <v>27</v>
      </c>
      <c r="C45" s="2"/>
      <c r="D45" s="6">
        <v>2003</v>
      </c>
      <c r="E45" s="6">
        <v>2004</v>
      </c>
      <c r="F45" s="6">
        <v>2005</v>
      </c>
      <c r="G45" s="7" t="s">
        <v>3</v>
      </c>
      <c r="H45" s="30" t="s">
        <v>4</v>
      </c>
      <c r="I45" s="30" t="s">
        <v>5</v>
      </c>
      <c r="J45" s="31" t="s">
        <v>6</v>
      </c>
      <c r="K45" s="2"/>
      <c r="L45" s="2"/>
      <c r="M45" s="2"/>
      <c r="N45" s="2"/>
    </row>
    <row r="46" spans="1:25" ht="13.5" thickTop="1" x14ac:dyDescent="0.2">
      <c r="A46" s="2"/>
      <c r="B46" s="2" t="s">
        <v>39</v>
      </c>
      <c r="C46" s="8"/>
      <c r="D46" s="13">
        <f>D42</f>
        <v>1292.957941040964</v>
      </c>
      <c r="E46" s="13">
        <f>E42</f>
        <v>1278.9687309348114</v>
      </c>
      <c r="F46" s="13">
        <f>F42</f>
        <v>1487.8772752928903</v>
      </c>
      <c r="G46" s="13">
        <f>G42</f>
        <v>1534.0872457182031</v>
      </c>
      <c r="H46" s="13"/>
      <c r="I46" s="13"/>
      <c r="J46" s="13"/>
      <c r="K46" s="13"/>
      <c r="L46" s="2"/>
      <c r="M46" s="2"/>
      <c r="N46" s="2"/>
    </row>
    <row r="47" spans="1:25" x14ac:dyDescent="0.2">
      <c r="A47" s="2"/>
      <c r="B47" s="9" t="s">
        <v>34</v>
      </c>
      <c r="C47" s="8"/>
      <c r="D47" s="11">
        <f>D36</f>
        <v>412.4898554344237</v>
      </c>
      <c r="E47" s="11">
        <f>E36</f>
        <v>455.15217860307689</v>
      </c>
      <c r="F47" s="11">
        <f>F36</f>
        <v>556.51503800703222</v>
      </c>
      <c r="G47" s="11">
        <f>G36</f>
        <v>668.71528413910289</v>
      </c>
      <c r="H47" s="11"/>
      <c r="I47" s="11"/>
      <c r="J47" s="11"/>
      <c r="K47" s="11"/>
      <c r="L47" s="2"/>
      <c r="M47" s="2"/>
      <c r="N47" s="2"/>
    </row>
    <row r="48" spans="1:25" x14ac:dyDescent="0.2">
      <c r="A48" s="2"/>
      <c r="B48" s="9" t="s">
        <v>41</v>
      </c>
      <c r="C48" s="2"/>
      <c r="D48" s="11">
        <f t="shared" ref="D48:G49" si="43">-(D7-C7)</f>
        <v>-919.97452427397275</v>
      </c>
      <c r="E48" s="11">
        <f t="shared" si="43"/>
        <v>-2415.7614453539181</v>
      </c>
      <c r="F48" s="11">
        <f t="shared" si="43"/>
        <v>-3465.4153362864708</v>
      </c>
      <c r="G48" s="11">
        <f t="shared" si="43"/>
        <v>-4185.2138621896011</v>
      </c>
      <c r="H48" s="11"/>
      <c r="I48" s="11"/>
      <c r="J48" s="11"/>
      <c r="K48" s="11"/>
      <c r="L48" s="2"/>
      <c r="M48" s="2"/>
      <c r="N48" s="2"/>
    </row>
    <row r="49" spans="1:14" x14ac:dyDescent="0.2">
      <c r="A49" s="2"/>
      <c r="B49" s="9" t="s">
        <v>42</v>
      </c>
      <c r="C49" s="11"/>
      <c r="D49" s="11">
        <f t="shared" si="43"/>
        <v>294.04366434816393</v>
      </c>
      <c r="E49" s="11">
        <f t="shared" si="43"/>
        <v>-405.65395710790563</v>
      </c>
      <c r="F49" s="11">
        <f t="shared" si="43"/>
        <v>-89.99680258089893</v>
      </c>
      <c r="G49" s="11">
        <f t="shared" si="43"/>
        <v>-555.97512998763887</v>
      </c>
      <c r="H49" s="11"/>
      <c r="I49" s="11"/>
      <c r="J49" s="11"/>
      <c r="K49" s="11"/>
      <c r="L49" s="2"/>
      <c r="M49" s="2"/>
      <c r="N49" s="2"/>
    </row>
    <row r="50" spans="1:14" x14ac:dyDescent="0.2">
      <c r="A50" s="2"/>
      <c r="B50" s="17" t="s">
        <v>43</v>
      </c>
      <c r="C50" s="18"/>
      <c r="D50" s="19">
        <f>D19-C19</f>
        <v>939.35780388493185</v>
      </c>
      <c r="E50" s="19">
        <f>E19-D19</f>
        <v>1925.5355013595699</v>
      </c>
      <c r="F50" s="19">
        <f>F19-E19</f>
        <v>1760.6686734210807</v>
      </c>
      <c r="G50" s="19">
        <f>G19-F19</f>
        <v>2764.564473388702</v>
      </c>
      <c r="H50" s="19"/>
      <c r="I50" s="19"/>
      <c r="J50" s="19"/>
      <c r="K50" s="11"/>
      <c r="L50" s="2"/>
      <c r="M50" s="2"/>
      <c r="N50" s="2"/>
    </row>
    <row r="51" spans="1:14" x14ac:dyDescent="0.2">
      <c r="A51" s="2"/>
      <c r="B51" s="8" t="s">
        <v>44</v>
      </c>
      <c r="C51" s="2"/>
      <c r="D51" s="13">
        <f t="shared" ref="D51:J51" si="44">SUM(D46:D50)</f>
        <v>2018.8747404345108</v>
      </c>
      <c r="E51" s="13">
        <f t="shared" si="44"/>
        <v>838.24100843563451</v>
      </c>
      <c r="F51" s="13">
        <f t="shared" si="44"/>
        <v>249.64884785363347</v>
      </c>
      <c r="G51" s="13">
        <f t="shared" si="44"/>
        <v>226.17801106876823</v>
      </c>
      <c r="H51" s="13">
        <f t="shared" si="44"/>
        <v>0</v>
      </c>
      <c r="I51" s="13">
        <f t="shared" si="44"/>
        <v>0</v>
      </c>
      <c r="J51" s="13">
        <f t="shared" si="44"/>
        <v>0</v>
      </c>
      <c r="K51" s="13"/>
      <c r="L51" s="2"/>
      <c r="M51" s="2"/>
      <c r="N51" s="2"/>
    </row>
    <row r="52" spans="1:14" x14ac:dyDescent="0.2">
      <c r="A52" s="2"/>
      <c r="B52" s="9"/>
      <c r="C52" s="2"/>
      <c r="D52" s="11"/>
      <c r="E52" s="2"/>
      <c r="F52" s="2"/>
      <c r="G52" s="2"/>
      <c r="H52" s="2"/>
      <c r="I52" s="2"/>
      <c r="J52" s="2"/>
      <c r="K52" s="2"/>
      <c r="L52" s="2"/>
      <c r="M52" s="2"/>
      <c r="N52" s="2"/>
    </row>
    <row r="53" spans="1:14" x14ac:dyDescent="0.2">
      <c r="A53" s="2"/>
      <c r="B53" s="25" t="s">
        <v>45</v>
      </c>
      <c r="C53" s="11"/>
      <c r="D53" s="11">
        <f>-(D11-(C11-D47))</f>
        <v>-835.18269103442344</v>
      </c>
      <c r="E53" s="11">
        <f>-(E11-(D11-E47))</f>
        <v>-733.94850392307717</v>
      </c>
      <c r="F53" s="11">
        <f>-(F11-(E11-F47))</f>
        <v>-1215.373624132742</v>
      </c>
      <c r="G53" s="11">
        <f>-(G11-(F11-G47))</f>
        <v>-1398.0168839975622</v>
      </c>
      <c r="H53" s="11"/>
      <c r="I53" s="11"/>
      <c r="J53" s="11"/>
      <c r="K53" s="11"/>
      <c r="L53" s="2"/>
      <c r="M53" s="2"/>
      <c r="N53" s="2"/>
    </row>
    <row r="54" spans="1:14" x14ac:dyDescent="0.2">
      <c r="A54" s="2"/>
      <c r="B54" s="25" t="s">
        <v>46</v>
      </c>
      <c r="C54" s="2"/>
      <c r="D54" s="11">
        <f t="shared" ref="D54:G55" si="45">-(D12-C12)</f>
        <v>0</v>
      </c>
      <c r="E54" s="11">
        <f t="shared" si="45"/>
        <v>0</v>
      </c>
      <c r="F54" s="11">
        <f t="shared" si="45"/>
        <v>0</v>
      </c>
      <c r="G54" s="11">
        <f t="shared" si="45"/>
        <v>0</v>
      </c>
      <c r="H54" s="11"/>
      <c r="I54" s="11"/>
      <c r="J54" s="11"/>
      <c r="K54" s="11"/>
      <c r="L54" s="2"/>
      <c r="M54" s="2"/>
      <c r="N54" s="2"/>
    </row>
    <row r="55" spans="1:14" x14ac:dyDescent="0.2">
      <c r="A55" s="2"/>
      <c r="B55" s="26" t="s">
        <v>47</v>
      </c>
      <c r="C55" s="18"/>
      <c r="D55" s="19">
        <f t="shared" si="45"/>
        <v>-1300</v>
      </c>
      <c r="E55" s="19">
        <f t="shared" si="45"/>
        <v>-1102.5</v>
      </c>
      <c r="F55" s="19">
        <f t="shared" si="45"/>
        <v>0</v>
      </c>
      <c r="G55" s="19">
        <f t="shared" si="45"/>
        <v>0</v>
      </c>
      <c r="H55" s="19"/>
      <c r="I55" s="19"/>
      <c r="J55" s="19"/>
      <c r="K55" s="11"/>
      <c r="L55" s="2"/>
      <c r="M55" s="2"/>
      <c r="N55" s="2"/>
    </row>
    <row r="56" spans="1:14" x14ac:dyDescent="0.2">
      <c r="A56" s="2"/>
      <c r="B56" s="8" t="s">
        <v>48</v>
      </c>
      <c r="C56" s="2"/>
      <c r="D56" s="13">
        <f t="shared" ref="D56:J56" si="46">SUM(D53:D55)</f>
        <v>-2135.1826910344234</v>
      </c>
      <c r="E56" s="13">
        <f t="shared" si="46"/>
        <v>-1836.4485039230772</v>
      </c>
      <c r="F56" s="13">
        <f t="shared" si="46"/>
        <v>-1215.373624132742</v>
      </c>
      <c r="G56" s="13">
        <f t="shared" si="46"/>
        <v>-1398.0168839975622</v>
      </c>
      <c r="H56" s="13">
        <f t="shared" si="46"/>
        <v>0</v>
      </c>
      <c r="I56" s="13">
        <f t="shared" si="46"/>
        <v>0</v>
      </c>
      <c r="J56" s="13">
        <f t="shared" si="46"/>
        <v>0</v>
      </c>
      <c r="K56" s="13"/>
      <c r="L56" s="2"/>
      <c r="M56" s="2"/>
      <c r="N56" s="2"/>
    </row>
    <row r="57" spans="1:14" x14ac:dyDescent="0.2">
      <c r="A57" s="2"/>
      <c r="B57" s="9"/>
      <c r="C57" s="2"/>
      <c r="D57" s="11"/>
      <c r="E57" s="2"/>
      <c r="F57" s="2"/>
      <c r="G57" s="2"/>
      <c r="H57" s="2"/>
      <c r="I57" s="2"/>
      <c r="J57" s="2"/>
      <c r="K57" s="2"/>
      <c r="L57" s="2"/>
      <c r="M57" s="2"/>
      <c r="N57" s="2"/>
    </row>
    <row r="58" spans="1:14" x14ac:dyDescent="0.2">
      <c r="A58" s="2"/>
      <c r="B58" s="9" t="s">
        <v>49</v>
      </c>
      <c r="C58" s="11"/>
      <c r="D58" s="11">
        <f>D23-(C23-D20)</f>
        <v>1494.4941866419176</v>
      </c>
      <c r="E58" s="11">
        <f>E23-(D23-E20)</f>
        <v>1849.8883015113811</v>
      </c>
      <c r="F58" s="11">
        <f>F23-(E23-F20)</f>
        <v>2127.9852901900176</v>
      </c>
      <c r="G58" s="11">
        <f>G23-(F23-G20)</f>
        <v>2006.0332386234013</v>
      </c>
      <c r="H58" s="11"/>
      <c r="I58" s="11"/>
      <c r="J58" s="11"/>
      <c r="K58" s="11"/>
      <c r="L58" s="2"/>
      <c r="M58" s="2"/>
      <c r="N58" s="2"/>
    </row>
    <row r="59" spans="1:14" x14ac:dyDescent="0.2">
      <c r="A59" s="2"/>
      <c r="B59" s="9" t="s">
        <v>50</v>
      </c>
      <c r="C59" s="2"/>
      <c r="D59" s="11">
        <f>-C20</f>
        <v>-315</v>
      </c>
      <c r="E59" s="11">
        <f>-D20</f>
        <v>-352.03660641791981</v>
      </c>
      <c r="F59" s="11">
        <f>-E20</f>
        <v>-524.52591618269832</v>
      </c>
      <c r="G59" s="11">
        <f>-F20</f>
        <v>-730.41025693862093</v>
      </c>
      <c r="H59" s="11"/>
      <c r="I59" s="11"/>
      <c r="J59" s="11"/>
      <c r="K59" s="11"/>
      <c r="L59" s="2"/>
      <c r="M59" s="2"/>
      <c r="N59" s="2"/>
    </row>
    <row r="60" spans="1:14" x14ac:dyDescent="0.2">
      <c r="A60" s="2"/>
      <c r="B60" s="17" t="s">
        <v>51</v>
      </c>
      <c r="C60" s="18"/>
      <c r="D60" s="19">
        <v>-226.26763968216869</v>
      </c>
      <c r="E60" s="19">
        <v>-223.819527913592</v>
      </c>
      <c r="F60" s="19">
        <v>-297.57545505857809</v>
      </c>
      <c r="G60" s="19">
        <v>-306.81744914364066</v>
      </c>
      <c r="H60" s="19"/>
      <c r="I60" s="19"/>
      <c r="J60" s="19"/>
      <c r="K60" s="11"/>
      <c r="L60" s="2"/>
      <c r="M60" s="2"/>
      <c r="N60" s="2"/>
    </row>
    <row r="61" spans="1:14" x14ac:dyDescent="0.2">
      <c r="A61" s="2"/>
      <c r="B61" s="8" t="s">
        <v>52</v>
      </c>
      <c r="C61" s="2"/>
      <c r="D61" s="13">
        <f t="shared" ref="D61:J61" si="47">SUM(D58:D60)</f>
        <v>953.22654695974893</v>
      </c>
      <c r="E61" s="13">
        <f t="shared" si="47"/>
        <v>1274.0321671798692</v>
      </c>
      <c r="F61" s="13">
        <f t="shared" si="47"/>
        <v>1305.8839189487412</v>
      </c>
      <c r="G61" s="13">
        <f t="shared" si="47"/>
        <v>968.80553254113966</v>
      </c>
      <c r="H61" s="13">
        <f t="shared" si="47"/>
        <v>0</v>
      </c>
      <c r="I61" s="13">
        <f t="shared" si="47"/>
        <v>0</v>
      </c>
      <c r="J61" s="13">
        <f t="shared" si="47"/>
        <v>0</v>
      </c>
      <c r="K61" s="13"/>
      <c r="L61" s="27"/>
      <c r="M61" s="2"/>
      <c r="N61" s="2"/>
    </row>
    <row r="62" spans="1:14" x14ac:dyDescent="0.2">
      <c r="A62" s="2"/>
      <c r="B62" s="2"/>
      <c r="C62" s="2"/>
      <c r="D62" s="2"/>
      <c r="E62" s="2"/>
      <c r="F62" s="2"/>
      <c r="G62" s="2"/>
      <c r="H62" s="2"/>
      <c r="I62" s="2"/>
      <c r="J62" s="2"/>
      <c r="K62" s="2"/>
      <c r="L62" s="2"/>
      <c r="M62" s="2"/>
      <c r="N62" s="2"/>
    </row>
    <row r="63" spans="1:14" x14ac:dyDescent="0.2">
      <c r="A63" s="2"/>
      <c r="B63" s="20" t="s">
        <v>53</v>
      </c>
      <c r="C63" s="21"/>
      <c r="D63" s="12">
        <f t="shared" ref="D63:J63" si="48">D51+D56+D61</f>
        <v>836.91859635983633</v>
      </c>
      <c r="E63" s="12">
        <f t="shared" si="48"/>
        <v>275.82467169242659</v>
      </c>
      <c r="F63" s="12">
        <f t="shared" si="48"/>
        <v>340.15914266963273</v>
      </c>
      <c r="G63" s="12">
        <f t="shared" si="48"/>
        <v>-203.03334038765433</v>
      </c>
      <c r="H63" s="12">
        <f t="shared" si="48"/>
        <v>0</v>
      </c>
      <c r="I63" s="12">
        <f t="shared" si="48"/>
        <v>0</v>
      </c>
      <c r="J63" s="12">
        <f t="shared" si="48"/>
        <v>0</v>
      </c>
      <c r="K63" s="13"/>
      <c r="L63" s="2"/>
      <c r="M63" s="2"/>
      <c r="N63" s="2"/>
    </row>
    <row r="64" spans="1:14" x14ac:dyDescent="0.2">
      <c r="A64" s="2"/>
      <c r="B64" s="2"/>
      <c r="C64" s="2"/>
      <c r="D64" s="2"/>
      <c r="E64" s="2"/>
      <c r="F64" s="2"/>
      <c r="G64" s="2"/>
      <c r="H64" s="2"/>
      <c r="I64" s="2"/>
      <c r="J64" s="2"/>
      <c r="K64" s="2"/>
      <c r="L64" s="2"/>
      <c r="M64" s="2"/>
      <c r="N64" s="2"/>
    </row>
    <row r="65" spans="1:1" x14ac:dyDescent="0.2">
      <c r="A65" s="2"/>
    </row>
  </sheetData>
  <mergeCells count="2">
    <mergeCell ref="O3:S3"/>
    <mergeCell ref="V2:Y2"/>
  </mergeCells>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489ED-03D2-49F9-B011-CB2B4E18A8D9}">
  <dimension ref="A2:P64"/>
  <sheetViews>
    <sheetView topLeftCell="H1" workbookViewId="0">
      <selection activeCell="P19" sqref="P19"/>
    </sheetView>
  </sheetViews>
  <sheetFormatPr baseColWidth="10" defaultColWidth="9.140625" defaultRowHeight="12.75" x14ac:dyDescent="0.2"/>
  <cols>
    <col min="1" max="1" width="38" bestFit="1" customWidth="1"/>
    <col min="11" max="11" width="18.7109375" customWidth="1"/>
    <col min="12" max="12" width="10.7109375" bestFit="1" customWidth="1"/>
    <col min="13" max="14" width="11" customWidth="1"/>
    <col min="15" max="15" width="10.42578125" customWidth="1"/>
    <col min="16" max="16" width="10.85546875" customWidth="1"/>
  </cols>
  <sheetData>
    <row r="2" spans="1:16" x14ac:dyDescent="0.2">
      <c r="A2" s="1" t="s">
        <v>1</v>
      </c>
      <c r="B2" s="2"/>
      <c r="C2" s="2"/>
      <c r="D2" s="2"/>
      <c r="E2" s="3"/>
      <c r="F2" s="2"/>
      <c r="G2" s="2"/>
      <c r="H2" s="2"/>
      <c r="I2" s="2"/>
      <c r="K2" s="76" t="s">
        <v>100</v>
      </c>
      <c r="L2" s="76"/>
      <c r="M2" s="76"/>
      <c r="N2" s="76"/>
      <c r="O2" s="76"/>
      <c r="P2" s="76"/>
    </row>
    <row r="3" spans="1:16" x14ac:dyDescent="0.2">
      <c r="A3" s="4" t="s">
        <v>2</v>
      </c>
      <c r="B3" s="5">
        <v>2002</v>
      </c>
      <c r="C3" s="6">
        <v>2003</v>
      </c>
      <c r="D3" s="6">
        <v>2004</v>
      </c>
      <c r="E3" s="6">
        <v>2005</v>
      </c>
      <c r="F3" s="7" t="s">
        <v>3</v>
      </c>
      <c r="G3" s="30" t="s">
        <v>4</v>
      </c>
      <c r="H3" s="30" t="s">
        <v>5</v>
      </c>
      <c r="I3" s="31" t="s">
        <v>6</v>
      </c>
      <c r="K3" s="65" t="s">
        <v>101</v>
      </c>
      <c r="L3" s="5">
        <v>2002</v>
      </c>
      <c r="M3" s="6">
        <v>2003</v>
      </c>
      <c r="N3" s="6">
        <v>2004</v>
      </c>
      <c r="O3" s="6">
        <v>2005</v>
      </c>
      <c r="P3" s="7" t="s">
        <v>3</v>
      </c>
    </row>
    <row r="4" spans="1:16" x14ac:dyDescent="0.2">
      <c r="A4" s="8" t="s">
        <v>7</v>
      </c>
      <c r="B4" s="2"/>
      <c r="C4" s="2"/>
      <c r="D4" s="2"/>
      <c r="E4" s="2"/>
      <c r="F4" s="2"/>
      <c r="G4" s="2"/>
      <c r="H4" s="2"/>
      <c r="I4" s="2"/>
      <c r="K4" s="77" t="s">
        <v>102</v>
      </c>
      <c r="L4" s="77"/>
      <c r="M4" s="77"/>
      <c r="N4" s="77"/>
      <c r="O4" s="77"/>
      <c r="P4" s="77"/>
    </row>
    <row r="5" spans="1:16" ht="15" x14ac:dyDescent="0.25">
      <c r="A5" s="9" t="s">
        <v>8</v>
      </c>
      <c r="B5" s="10">
        <v>705</v>
      </c>
      <c r="C5" s="10">
        <v>1541.9185963598354</v>
      </c>
      <c r="D5" s="10">
        <v>1817.7432680522618</v>
      </c>
      <c r="E5" s="10">
        <v>2157.9024107218947</v>
      </c>
      <c r="F5" s="10">
        <v>1954.8690703342404</v>
      </c>
      <c r="G5" s="10"/>
      <c r="H5" s="10"/>
      <c r="I5" s="10"/>
      <c r="K5" s="66" t="s">
        <v>103</v>
      </c>
      <c r="L5">
        <f>(360*B6)/B29</f>
        <v>50.892034410900969</v>
      </c>
      <c r="M5">
        <f t="shared" ref="M5:P5" si="0">(360*C6)/C29</f>
        <v>59.178082191780824</v>
      </c>
      <c r="N5">
        <f t="shared" si="0"/>
        <v>83.835616438356169</v>
      </c>
      <c r="O5">
        <f t="shared" si="0"/>
        <v>105.53424657534248</v>
      </c>
      <c r="P5">
        <f t="shared" si="0"/>
        <v>122.3013698630137</v>
      </c>
    </row>
    <row r="6" spans="1:16" ht="15" x14ac:dyDescent="0.25">
      <c r="A6" s="9" t="s">
        <v>9</v>
      </c>
      <c r="B6" s="10">
        <v>3485</v>
      </c>
      <c r="C6" s="10">
        <v>4404.9745242739727</v>
      </c>
      <c r="D6" s="10">
        <v>6820.7359696278909</v>
      </c>
      <c r="E6" s="10">
        <v>10286.151305914362</v>
      </c>
      <c r="F6" s="10">
        <v>14471.365168103963</v>
      </c>
      <c r="G6" s="10"/>
      <c r="H6" s="10"/>
      <c r="I6" s="10"/>
      <c r="K6" s="66" t="s">
        <v>104</v>
      </c>
      <c r="L6">
        <f>(360*B7)/B30</f>
        <v>54.348410328351484</v>
      </c>
      <c r="M6">
        <f t="shared" ref="M6:P6" si="1">(360*C7)/C30</f>
        <v>46.356164383561648</v>
      </c>
      <c r="N6">
        <f t="shared" si="1"/>
        <v>48.328767123287669</v>
      </c>
      <c r="O6">
        <f t="shared" si="1"/>
        <v>41.424657534246577</v>
      </c>
      <c r="P6">
        <f t="shared" si="1"/>
        <v>39.452054794520549</v>
      </c>
    </row>
    <row r="7" spans="1:16" ht="15" x14ac:dyDescent="0.25">
      <c r="A7" s="9" t="s">
        <v>10</v>
      </c>
      <c r="B7" s="10">
        <v>3089</v>
      </c>
      <c r="C7" s="10">
        <v>2794.9563356518361</v>
      </c>
      <c r="D7" s="10">
        <v>3200.6102927597417</v>
      </c>
      <c r="E7" s="10">
        <v>3290.6070953406406</v>
      </c>
      <c r="F7" s="10">
        <v>3846.5822253282795</v>
      </c>
      <c r="G7" s="10"/>
      <c r="H7" s="10"/>
      <c r="I7" s="10"/>
      <c r="K7" s="66" t="s">
        <v>105</v>
      </c>
      <c r="L7">
        <f>(360*B18)/B30</f>
        <v>35.78655442145255</v>
      </c>
      <c r="M7">
        <f>(360*C18)/C30</f>
        <v>49.315068493150683</v>
      </c>
      <c r="N7">
        <f t="shared" ref="N7:P7" si="2">(360*D18)/D30</f>
        <v>73.972602739726014</v>
      </c>
      <c r="O7">
        <f t="shared" si="2"/>
        <v>83.835616438356169</v>
      </c>
      <c r="P7">
        <f t="shared" si="2"/>
        <v>96.657534246575352</v>
      </c>
    </row>
    <row r="8" spans="1:16" ht="15" x14ac:dyDescent="0.25">
      <c r="A8" s="2" t="s">
        <v>11</v>
      </c>
      <c r="B8" s="10">
        <v>7279</v>
      </c>
      <c r="C8" s="10">
        <v>8741.8494562856449</v>
      </c>
      <c r="D8" s="10">
        <v>11839.089530439895</v>
      </c>
      <c r="E8" s="10">
        <v>15734.660811976897</v>
      </c>
      <c r="F8" s="10">
        <v>20272.816463766481</v>
      </c>
      <c r="G8" s="10">
        <f>SUM(G5:G7)</f>
        <v>0</v>
      </c>
      <c r="H8" s="10">
        <f>SUM(H5:H7)</f>
        <v>0</v>
      </c>
      <c r="I8" s="10">
        <f>SUM(I5:I7)</f>
        <v>0</v>
      </c>
      <c r="K8" s="66" t="s">
        <v>106</v>
      </c>
      <c r="L8">
        <f>B29/B6</f>
        <v>7.0737985652797706</v>
      </c>
      <c r="M8">
        <f>C29/C6</f>
        <v>6.083333333333333</v>
      </c>
      <c r="N8">
        <f t="shared" ref="N8:P8" si="3">D29/D6</f>
        <v>4.2941176470588234</v>
      </c>
      <c r="O8">
        <f t="shared" si="3"/>
        <v>3.4112149532710276</v>
      </c>
      <c r="P8">
        <f t="shared" si="3"/>
        <v>2.9435483870967745</v>
      </c>
    </row>
    <row r="9" spans="1:16" ht="15" x14ac:dyDescent="0.25">
      <c r="A9" s="2"/>
      <c r="B9" s="2"/>
      <c r="C9" s="2"/>
      <c r="D9" s="2"/>
      <c r="E9" s="2"/>
      <c r="F9" s="2"/>
      <c r="G9" s="2"/>
      <c r="H9" s="2"/>
      <c r="I9" s="2"/>
      <c r="K9" s="66" t="s">
        <v>107</v>
      </c>
      <c r="L9">
        <f>B30/B7</f>
        <v>6.6239287924894796</v>
      </c>
      <c r="M9">
        <f>C30/C7</f>
        <v>7.7659574468085104</v>
      </c>
      <c r="N9">
        <f t="shared" ref="N9:P9" si="4">D30/D7</f>
        <v>7.4489795918367347</v>
      </c>
      <c r="O9">
        <f t="shared" si="4"/>
        <v>8.6904761904761916</v>
      </c>
      <c r="P9">
        <f t="shared" si="4"/>
        <v>9.125</v>
      </c>
    </row>
    <row r="10" spans="1:16" ht="15" x14ac:dyDescent="0.25">
      <c r="A10" s="9" t="s">
        <v>12</v>
      </c>
      <c r="B10" s="10">
        <v>2257</v>
      </c>
      <c r="C10" s="10">
        <v>2679.6928355999999</v>
      </c>
      <c r="D10" s="10">
        <v>2958.4891609199999</v>
      </c>
      <c r="E10" s="10">
        <v>3617.3477470457096</v>
      </c>
      <c r="F10" s="10">
        <v>4346.6493469041689</v>
      </c>
      <c r="G10" s="10">
        <f>F10</f>
        <v>4346.6493469041689</v>
      </c>
      <c r="H10" s="10">
        <f t="shared" ref="H10:I10" si="5">G10</f>
        <v>4346.6493469041689</v>
      </c>
      <c r="I10" s="10">
        <f t="shared" si="5"/>
        <v>4346.6493469041689</v>
      </c>
      <c r="K10" s="66" t="s">
        <v>108</v>
      </c>
      <c r="L10">
        <f>B30/B18</f>
        <v>10.059644070796461</v>
      </c>
      <c r="M10">
        <f>C30/C18</f>
        <v>7.3</v>
      </c>
      <c r="N10">
        <f t="shared" ref="N10:P10" si="6">D30/D18</f>
        <v>4.8666666666666671</v>
      </c>
      <c r="O10">
        <f t="shared" si="6"/>
        <v>4.2941176470588234</v>
      </c>
      <c r="P10">
        <f t="shared" si="6"/>
        <v>3.7244897959183674</v>
      </c>
    </row>
    <row r="11" spans="1:16" ht="15" x14ac:dyDescent="0.25">
      <c r="A11" s="9" t="s">
        <v>14</v>
      </c>
      <c r="B11" s="10">
        <v>645</v>
      </c>
      <c r="C11" s="10">
        <v>645</v>
      </c>
      <c r="D11" s="10">
        <v>645</v>
      </c>
      <c r="E11" s="10">
        <v>645</v>
      </c>
      <c r="F11" s="10">
        <v>645</v>
      </c>
      <c r="G11" s="10">
        <v>645</v>
      </c>
      <c r="H11" s="10">
        <v>645</v>
      </c>
      <c r="I11" s="10">
        <v>645</v>
      </c>
      <c r="K11" s="66" t="s">
        <v>109</v>
      </c>
      <c r="L11">
        <f>L6+L8</f>
        <v>61.422208893631257</v>
      </c>
      <c r="M11">
        <f t="shared" ref="M11:P11" si="7">M6+M8</f>
        <v>52.439497716894984</v>
      </c>
      <c r="N11">
        <f t="shared" si="7"/>
        <v>52.622884770346495</v>
      </c>
      <c r="O11">
        <f t="shared" si="7"/>
        <v>44.835872487517605</v>
      </c>
      <c r="P11">
        <f t="shared" si="7"/>
        <v>42.395603181617325</v>
      </c>
    </row>
    <row r="12" spans="1:16" ht="15" x14ac:dyDescent="0.25">
      <c r="A12" s="9" t="s">
        <v>15</v>
      </c>
      <c r="B12" s="10">
        <v>450</v>
      </c>
      <c r="C12" s="10">
        <v>1750</v>
      </c>
      <c r="D12" s="10">
        <v>2852.5</v>
      </c>
      <c r="E12" s="10">
        <v>2852.5</v>
      </c>
      <c r="F12" s="10">
        <v>2852.5</v>
      </c>
      <c r="G12" s="10">
        <f>F12</f>
        <v>2852.5</v>
      </c>
      <c r="H12" s="10">
        <f t="shared" ref="H12:I12" si="8">G12</f>
        <v>2852.5</v>
      </c>
      <c r="I12" s="10">
        <f t="shared" si="8"/>
        <v>2852.5</v>
      </c>
      <c r="K12" s="66" t="s">
        <v>110</v>
      </c>
      <c r="L12">
        <f>L11-L7</f>
        <v>25.635654472178707</v>
      </c>
      <c r="M12">
        <f>M11-M7</f>
        <v>3.1244292237443005</v>
      </c>
      <c r="N12">
        <f t="shared" ref="N12:P12" si="9">N11-N7</f>
        <v>-21.349717969379519</v>
      </c>
      <c r="O12">
        <f t="shared" si="9"/>
        <v>-38.999743950838564</v>
      </c>
      <c r="P12">
        <f t="shared" si="9"/>
        <v>-54.261931064958027</v>
      </c>
    </row>
    <row r="13" spans="1:16" ht="15" x14ac:dyDescent="0.25">
      <c r="A13" s="2" t="s">
        <v>17</v>
      </c>
      <c r="B13" s="11">
        <v>3352</v>
      </c>
      <c r="C13" s="11">
        <v>5074.6928356000008</v>
      </c>
      <c r="D13" s="11">
        <v>6455.9891609200004</v>
      </c>
      <c r="E13" s="11">
        <v>7114.8477470457101</v>
      </c>
      <c r="F13" s="11">
        <v>7844.1493469041698</v>
      </c>
      <c r="G13" s="11">
        <f>SUM(G10:G12)</f>
        <v>7844.1493469041689</v>
      </c>
      <c r="H13" s="11">
        <f>SUM(H10:H12)</f>
        <v>7844.1493469041689</v>
      </c>
      <c r="I13" s="11">
        <f>SUM(I10:I12)</f>
        <v>7844.1493469041689</v>
      </c>
      <c r="K13" s="66" t="s">
        <v>111</v>
      </c>
      <c r="L13">
        <f>B29/B15</f>
        <v>2.3188964349543788</v>
      </c>
      <c r="M13">
        <f>C29/C15</f>
        <v>1.9394815135287242</v>
      </c>
      <c r="N13">
        <f t="shared" ref="N13:P13" si="10">D29/D15</f>
        <v>1.6009246632505691</v>
      </c>
      <c r="O13">
        <f t="shared" si="10"/>
        <v>1.5356248496857952</v>
      </c>
      <c r="P13">
        <f t="shared" si="10"/>
        <v>1.5149985914730115</v>
      </c>
    </row>
    <row r="14" spans="1:16" ht="15" x14ac:dyDescent="0.25">
      <c r="A14" s="2"/>
      <c r="B14" s="2"/>
      <c r="C14" s="2"/>
      <c r="D14" s="2"/>
      <c r="E14" s="2"/>
      <c r="F14" s="2"/>
      <c r="G14" s="2"/>
      <c r="H14" s="2"/>
      <c r="I14" s="2"/>
      <c r="K14" s="66" t="s">
        <v>112</v>
      </c>
      <c r="L14">
        <f>B29/B10</f>
        <v>10.922546743464776</v>
      </c>
      <c r="M14">
        <f>C29/C10</f>
        <v>10</v>
      </c>
      <c r="N14">
        <f>D29/D10</f>
        <v>9.9</v>
      </c>
      <c r="O14">
        <f t="shared" ref="O14:P14" si="11">E29/E10</f>
        <v>9.6999999999999993</v>
      </c>
      <c r="P14">
        <f t="shared" si="11"/>
        <v>9.8000000000000007</v>
      </c>
    </row>
    <row r="15" spans="1:16" x14ac:dyDescent="0.2">
      <c r="A15" s="8" t="s">
        <v>18</v>
      </c>
      <c r="B15" s="12">
        <v>10631</v>
      </c>
      <c r="C15" s="12">
        <v>13816.542291885646</v>
      </c>
      <c r="D15" s="12">
        <v>18295.078691359893</v>
      </c>
      <c r="E15" s="12">
        <v>22849.508559022608</v>
      </c>
      <c r="F15" s="12">
        <v>28116.965810670652</v>
      </c>
      <c r="G15" s="12">
        <f>G13+G8</f>
        <v>7844.1493469041689</v>
      </c>
      <c r="H15" s="12">
        <f>H13+H8</f>
        <v>7844.1493469041689</v>
      </c>
      <c r="I15" s="12">
        <f>I13+I8</f>
        <v>7844.1493469041689</v>
      </c>
    </row>
    <row r="16" spans="1:16" x14ac:dyDescent="0.2">
      <c r="A16" s="2"/>
      <c r="B16" s="2"/>
      <c r="C16" s="2"/>
      <c r="D16" s="2"/>
      <c r="E16" s="2"/>
      <c r="F16" s="2"/>
      <c r="G16" s="2"/>
      <c r="H16" s="2"/>
      <c r="I16" s="2"/>
      <c r="K16" s="77" t="s">
        <v>85</v>
      </c>
      <c r="L16" s="77"/>
      <c r="M16" s="77"/>
      <c r="N16" s="77"/>
      <c r="O16" s="77"/>
      <c r="P16" s="77"/>
    </row>
    <row r="17" spans="1:16" ht="15" x14ac:dyDescent="0.25">
      <c r="A17" s="8" t="s">
        <v>19</v>
      </c>
      <c r="B17" s="2"/>
      <c r="C17" s="2"/>
      <c r="D17" s="2"/>
      <c r="E17" s="2"/>
      <c r="F17" s="2"/>
      <c r="G17" s="2"/>
      <c r="H17" s="2"/>
      <c r="I17" s="2"/>
      <c r="K17" s="66" t="s">
        <v>113</v>
      </c>
      <c r="L17">
        <f>B8/B20</f>
        <v>3.0987654320987654</v>
      </c>
      <c r="M17">
        <f t="shared" ref="M17:P17" si="12">C8/C20</f>
        <v>2.6288158268388693</v>
      </c>
      <c r="N17">
        <f t="shared" si="12"/>
        <v>2.1829567376361476</v>
      </c>
      <c r="O17">
        <f t="shared" si="12"/>
        <v>2.1291907885889954</v>
      </c>
      <c r="P17">
        <f t="shared" si="12"/>
        <v>2.0124758344409566</v>
      </c>
    </row>
    <row r="18" spans="1:16" ht="15" x14ac:dyDescent="0.25">
      <c r="A18" s="9" t="s">
        <v>20</v>
      </c>
      <c r="B18" s="10">
        <v>2034</v>
      </c>
      <c r="C18" s="10">
        <v>2973.3578038849319</v>
      </c>
      <c r="D18" s="10">
        <v>4898.8933052445018</v>
      </c>
      <c r="E18" s="10">
        <v>6659.5619786655825</v>
      </c>
      <c r="F18" s="10">
        <v>9424.1264520542845</v>
      </c>
      <c r="G18" s="10"/>
      <c r="H18" s="10"/>
      <c r="I18" s="10"/>
      <c r="K18" s="66" t="s">
        <v>114</v>
      </c>
      <c r="L18">
        <f>(B8-B7)/B20</f>
        <v>1.7837377607492551</v>
      </c>
      <c r="M18">
        <f t="shared" ref="M18:P18" si="13">(C8-C7)/C20</f>
        <v>1.7883271536780541</v>
      </c>
      <c r="N18">
        <f t="shared" si="13"/>
        <v>1.5928105287436904</v>
      </c>
      <c r="O18">
        <f t="shared" si="13"/>
        <v>1.6839107536401765</v>
      </c>
      <c r="P18">
        <f t="shared" si="13"/>
        <v>1.6306268798322561</v>
      </c>
    </row>
    <row r="19" spans="1:16" ht="15" x14ac:dyDescent="0.25">
      <c r="A19" s="9" t="s">
        <v>21</v>
      </c>
      <c r="B19" s="10">
        <v>315</v>
      </c>
      <c r="C19" s="10">
        <v>352.03660641791981</v>
      </c>
      <c r="D19" s="10">
        <v>524.52591618269832</v>
      </c>
      <c r="E19" s="10">
        <v>730.41025693862093</v>
      </c>
      <c r="F19" s="10">
        <v>649.44368321049353</v>
      </c>
      <c r="G19" s="10" t="str">
        <f>'Obligaciones Financieras'!F1</f>
        <v>2006E</v>
      </c>
      <c r="H19" s="10" t="str">
        <f>'Obligaciones Financieras'!G1</f>
        <v>2007F</v>
      </c>
      <c r="I19" s="10" t="str">
        <f>'Obligaciones Financieras'!H1</f>
        <v>2008F</v>
      </c>
      <c r="K19" s="66" t="s">
        <v>55</v>
      </c>
      <c r="L19" s="67">
        <f>B6+B7-B18</f>
        <v>4540</v>
      </c>
      <c r="M19" s="67">
        <f t="shared" ref="M19:P19" si="14">C6+C7-C18</f>
        <v>4226.5730560408774</v>
      </c>
      <c r="N19" s="67">
        <f t="shared" si="14"/>
        <v>5122.4529571431312</v>
      </c>
      <c r="O19" s="67">
        <f t="shared" si="14"/>
        <v>6917.1964225894208</v>
      </c>
      <c r="P19" s="67">
        <f t="shared" si="14"/>
        <v>8893.8209413779568</v>
      </c>
    </row>
    <row r="20" spans="1:16" ht="15" x14ac:dyDescent="0.25">
      <c r="A20" s="2" t="s">
        <v>22</v>
      </c>
      <c r="B20" s="11">
        <v>2349</v>
      </c>
      <c r="C20" s="11">
        <v>3325.3944103028516</v>
      </c>
      <c r="D20" s="11">
        <v>5423.4192214271998</v>
      </c>
      <c r="E20" s="11">
        <v>7389.9722356042039</v>
      </c>
      <c r="F20" s="11">
        <v>10073.570135264777</v>
      </c>
      <c r="G20" s="11">
        <f>SUM(G18:G19)</f>
        <v>0</v>
      </c>
      <c r="H20" s="11">
        <f>SUM(H18:H19)</f>
        <v>0</v>
      </c>
      <c r="I20" s="11">
        <f>SUM(I18:I19)</f>
        <v>0</v>
      </c>
      <c r="K20" s="66" t="s">
        <v>115</v>
      </c>
      <c r="L20">
        <f>L19/B29</f>
        <v>0.18416215226007523</v>
      </c>
      <c r="M20">
        <f t="shared" ref="M20:P20" si="15">M19/C29</f>
        <v>0.1577260273972603</v>
      </c>
      <c r="N20">
        <f t="shared" si="15"/>
        <v>0.17489315068493155</v>
      </c>
      <c r="O20">
        <f t="shared" si="15"/>
        <v>0.19713698630136992</v>
      </c>
      <c r="P20">
        <f t="shared" si="15"/>
        <v>0.20878904109589036</v>
      </c>
    </row>
    <row r="21" spans="1:16" ht="15" x14ac:dyDescent="0.25">
      <c r="A21" s="2"/>
      <c r="B21" s="2"/>
      <c r="C21" s="2"/>
      <c r="D21" s="2"/>
      <c r="E21" s="2"/>
      <c r="F21" s="2"/>
      <c r="G21" s="2"/>
      <c r="H21" s="2"/>
      <c r="I21" s="2"/>
      <c r="K21" s="66" t="s">
        <v>116</v>
      </c>
      <c r="L21" s="67">
        <f>(B5+B6)/((B30+B33+B34)/360)</f>
        <v>66.556897381553696</v>
      </c>
      <c r="M21" s="67">
        <f t="shared" ref="M21:P21" si="16">(C5+C6)/((C30+C33+C34)/360)</f>
        <v>89.030372333606621</v>
      </c>
      <c r="N21" s="67">
        <f t="shared" si="16"/>
        <v>117.68095466912625</v>
      </c>
      <c r="O21" s="67">
        <f t="shared" si="16"/>
        <v>141.33751439554166</v>
      </c>
      <c r="P21" s="67">
        <f t="shared" si="16"/>
        <v>151.97665983600191</v>
      </c>
    </row>
    <row r="22" spans="1:16" x14ac:dyDescent="0.2">
      <c r="A22" s="9" t="s">
        <v>23</v>
      </c>
      <c r="B22" s="11">
        <v>3258</v>
      </c>
      <c r="C22" s="11">
        <v>4400.4575802239979</v>
      </c>
      <c r="D22" s="11">
        <v>5725.8199655526805</v>
      </c>
      <c r="E22" s="11">
        <v>7123.3949988040767</v>
      </c>
      <c r="F22" s="11">
        <v>8479.9845542169842</v>
      </c>
      <c r="G22" s="11">
        <f>'Obligaciones Financieras'!F2</f>
        <v>649.44368321049353</v>
      </c>
      <c r="H22" s="11">
        <f>'Obligaciones Financieras'!G2</f>
        <v>695.85563486613148</v>
      </c>
      <c r="I22" s="11">
        <f>'Obligaciones Financieras'!H2</f>
        <v>638.75469777372223</v>
      </c>
    </row>
    <row r="23" spans="1:16" x14ac:dyDescent="0.2">
      <c r="A23" s="9" t="s">
        <v>24</v>
      </c>
      <c r="B23" s="11">
        <v>5024</v>
      </c>
      <c r="C23" s="11">
        <v>6090.6903013587953</v>
      </c>
      <c r="D23" s="11">
        <v>7145.8395043800147</v>
      </c>
      <c r="E23" s="11">
        <v>8336.1413246143256</v>
      </c>
      <c r="F23" s="11">
        <v>9563.4111211888885</v>
      </c>
      <c r="G23" s="11"/>
      <c r="H23" s="11"/>
      <c r="I23" s="11"/>
      <c r="K23" s="77" t="s">
        <v>80</v>
      </c>
      <c r="L23" s="77"/>
      <c r="M23" s="77"/>
      <c r="N23" s="77"/>
      <c r="O23" s="77"/>
      <c r="P23" s="77"/>
    </row>
    <row r="24" spans="1:16" ht="15" x14ac:dyDescent="0.25">
      <c r="A24" s="9"/>
      <c r="B24" s="2"/>
      <c r="C24" s="2"/>
      <c r="D24" s="2"/>
      <c r="E24" s="2"/>
      <c r="F24" s="2"/>
      <c r="G24" s="2"/>
      <c r="H24" s="2"/>
      <c r="I24" s="2"/>
      <c r="K24" s="66" t="s">
        <v>117</v>
      </c>
      <c r="L24">
        <f>B31/B29</f>
        <v>0.17</v>
      </c>
      <c r="M24">
        <f t="shared" ref="M24:P24" si="17">C31/C29</f>
        <v>0.18999999999999992</v>
      </c>
      <c r="N24">
        <f t="shared" si="17"/>
        <v>0.186</v>
      </c>
      <c r="O24">
        <f t="shared" si="17"/>
        <v>0.18500000000000005</v>
      </c>
      <c r="P24">
        <f t="shared" si="17"/>
        <v>0.17599999999999999</v>
      </c>
    </row>
    <row r="25" spans="1:16" ht="15" x14ac:dyDescent="0.25">
      <c r="A25" s="8" t="s">
        <v>25</v>
      </c>
      <c r="B25" s="12">
        <v>10631</v>
      </c>
      <c r="C25" s="12">
        <v>13816.542291885646</v>
      </c>
      <c r="D25" s="12">
        <v>18295.078691359897</v>
      </c>
      <c r="E25" s="12">
        <v>22849.508559022608</v>
      </c>
      <c r="F25" s="12">
        <v>28116.965810670652</v>
      </c>
      <c r="G25" s="12">
        <f>G23+G22+G20</f>
        <v>649.44368321049353</v>
      </c>
      <c r="H25" s="12">
        <f>H23+H22+H20</f>
        <v>695.85563486613148</v>
      </c>
      <c r="I25" s="12">
        <f>I23+I22+I20</f>
        <v>638.75469777372223</v>
      </c>
      <c r="K25" s="66" t="s">
        <v>118</v>
      </c>
      <c r="L25" s="68">
        <f>B36/B29</f>
        <v>6.6584270734914089E-2</v>
      </c>
      <c r="M25" s="68">
        <f>C36/C29</f>
        <v>8.7241197989101904E-2</v>
      </c>
      <c r="N25" s="68">
        <f>D36/D29</f>
        <v>8.2206777100974765E-2</v>
      </c>
      <c r="O25" s="68">
        <f>E36/E29</f>
        <v>8.0812692227398453E-2</v>
      </c>
      <c r="P25" s="68">
        <f>F36/F29</f>
        <v>7.085529333380837E-2</v>
      </c>
    </row>
    <row r="26" spans="1:16" ht="15" x14ac:dyDescent="0.25">
      <c r="A26" s="8"/>
      <c r="B26" s="13"/>
      <c r="C26" s="13"/>
      <c r="D26" s="13"/>
      <c r="E26" s="13"/>
      <c r="F26" s="13"/>
      <c r="G26" s="13"/>
      <c r="H26" s="13"/>
      <c r="I26" s="13"/>
      <c r="K26" s="66" t="s">
        <v>119</v>
      </c>
      <c r="L26">
        <f>B41/B29</f>
        <v>4.8300457549650379E-2</v>
      </c>
      <c r="M26">
        <f t="shared" ref="M26:P26" si="18">C41/C29</f>
        <v>4.8250229424204233E-2</v>
      </c>
      <c r="N26">
        <f t="shared" si="18"/>
        <v>4.3667140108876464E-2</v>
      </c>
      <c r="O26">
        <f t="shared" si="18"/>
        <v>4.240383301530315E-2</v>
      </c>
      <c r="P26">
        <f t="shared" si="18"/>
        <v>3.6013835572151029E-2</v>
      </c>
    </row>
    <row r="27" spans="1:16" ht="15" x14ac:dyDescent="0.25">
      <c r="A27" s="1" t="s">
        <v>26</v>
      </c>
      <c r="B27" s="2"/>
      <c r="C27" s="2"/>
      <c r="D27" s="2"/>
      <c r="E27" s="2"/>
      <c r="F27" s="2"/>
      <c r="G27" s="2"/>
      <c r="H27" s="2"/>
      <c r="I27" s="2"/>
      <c r="K27" s="66" t="s">
        <v>81</v>
      </c>
      <c r="L27">
        <f>B41/B15</f>
        <v>0.11200375881854957</v>
      </c>
      <c r="M27">
        <f t="shared" ref="M27:P27" si="19">C41/C15</f>
        <v>9.3580427991763804E-2</v>
      </c>
      <c r="N27">
        <f t="shared" si="19"/>
        <v>6.9907801573918474E-2</v>
      </c>
      <c r="O27">
        <f t="shared" si="19"/>
        <v>6.5116379700226448E-2</v>
      </c>
      <c r="P27">
        <f t="shared" si="19"/>
        <v>5.456091016534944E-2</v>
      </c>
    </row>
    <row r="28" spans="1:16" ht="15" x14ac:dyDescent="0.25">
      <c r="A28" s="4" t="s">
        <v>27</v>
      </c>
      <c r="B28" s="5">
        <v>2002</v>
      </c>
      <c r="C28" s="6">
        <v>2003</v>
      </c>
      <c r="D28" s="6">
        <v>2004</v>
      </c>
      <c r="E28" s="6">
        <v>2005</v>
      </c>
      <c r="F28" s="7" t="s">
        <v>3</v>
      </c>
      <c r="G28" s="30" t="s">
        <v>4</v>
      </c>
      <c r="H28" s="30" t="s">
        <v>5</v>
      </c>
      <c r="I28" s="31" t="s">
        <v>6</v>
      </c>
      <c r="K28" s="66" t="s">
        <v>83</v>
      </c>
      <c r="L28">
        <f>B41/B23</f>
        <v>0.23700476910828036</v>
      </c>
      <c r="M28">
        <f t="shared" ref="M28:P28" si="20">C41/C23</f>
        <v>0.21228430228220815</v>
      </c>
      <c r="N28">
        <f t="shared" si="20"/>
        <v>0.17898089232914796</v>
      </c>
      <c r="O28">
        <f t="shared" si="20"/>
        <v>0.17848513087219373</v>
      </c>
      <c r="P28">
        <f t="shared" si="20"/>
        <v>0.16041214021629252</v>
      </c>
    </row>
    <row r="29" spans="1:16" ht="15" x14ac:dyDescent="0.25">
      <c r="A29" s="2" t="s">
        <v>28</v>
      </c>
      <c r="B29" s="10">
        <v>24652.188000000002</v>
      </c>
      <c r="C29" s="10">
        <v>26796.928356</v>
      </c>
      <c r="D29" s="10">
        <v>29289.042693108</v>
      </c>
      <c r="E29" s="10">
        <v>35088.273146343381</v>
      </c>
      <c r="F29" s="10">
        <v>42597.16359966086</v>
      </c>
      <c r="G29" s="10">
        <f>F29*(1+14.8%)</f>
        <v>48901.543812410673</v>
      </c>
      <c r="H29" s="10">
        <f t="shared" ref="H29:I29" si="21">G29*(1+14.8%)</f>
        <v>56138.972296647458</v>
      </c>
      <c r="I29" s="10">
        <f t="shared" si="21"/>
        <v>64447.540196551286</v>
      </c>
      <c r="K29" s="66" t="s">
        <v>58</v>
      </c>
      <c r="L29" s="69">
        <f>L31/L30</f>
        <v>0.19770532995082268</v>
      </c>
      <c r="M29" s="69">
        <f>M31/M30</f>
        <v>0.2200273649719828</v>
      </c>
      <c r="N29" s="69">
        <f>N31/N30</f>
        <v>0.19367080593416452</v>
      </c>
      <c r="O29" s="69">
        <f>O31/O30</f>
        <v>0.17496016461545266</v>
      </c>
      <c r="P29" s="69">
        <f>P31/P30</f>
        <v>0.14817090304289832</v>
      </c>
    </row>
    <row r="30" spans="1:16" ht="15" x14ac:dyDescent="0.25">
      <c r="A30" s="9" t="s">
        <v>29</v>
      </c>
      <c r="B30" s="14">
        <v>20461.316040000002</v>
      </c>
      <c r="C30" s="14">
        <v>21705.511968360002</v>
      </c>
      <c r="D30" s="14">
        <v>23841.280752189912</v>
      </c>
      <c r="E30" s="14">
        <v>28596.942614269854</v>
      </c>
      <c r="F30" s="14">
        <v>35100.06280612055</v>
      </c>
      <c r="G30" s="14"/>
      <c r="H30" s="14"/>
      <c r="I30" s="14"/>
      <c r="K30" s="66" t="s">
        <v>56</v>
      </c>
      <c r="L30" s="67">
        <f>B10+L19</f>
        <v>6797</v>
      </c>
      <c r="M30" s="67">
        <f t="shared" ref="M30:P30" si="22">C10+M19</f>
        <v>6906.2658916408773</v>
      </c>
      <c r="N30" s="67">
        <f t="shared" si="22"/>
        <v>8080.9421180631307</v>
      </c>
      <c r="O30" s="67">
        <f t="shared" si="22"/>
        <v>10534.54416963513</v>
      </c>
      <c r="P30" s="67">
        <f t="shared" si="22"/>
        <v>13240.470288282126</v>
      </c>
    </row>
    <row r="31" spans="1:16" ht="15" x14ac:dyDescent="0.25">
      <c r="A31" s="8" t="s">
        <v>31</v>
      </c>
      <c r="B31" s="15">
        <v>4190.8719600000004</v>
      </c>
      <c r="C31" s="15">
        <v>5091.416387639998</v>
      </c>
      <c r="D31" s="15">
        <v>5447.7619409180879</v>
      </c>
      <c r="E31" s="15">
        <v>6491.3305320735271</v>
      </c>
      <c r="F31" s="15">
        <v>7497.1007935403104</v>
      </c>
      <c r="G31" s="15">
        <f>G29-G30</f>
        <v>48901.543812410673</v>
      </c>
      <c r="H31" s="15">
        <f>H29-H30</f>
        <v>56138.972296647458</v>
      </c>
      <c r="I31" s="15">
        <f>I29-I30</f>
        <v>64447.540196551286</v>
      </c>
      <c r="K31" s="66" t="s">
        <v>57</v>
      </c>
      <c r="L31" s="63">
        <f>B36*(1-B64)</f>
        <v>1343.8031276757417</v>
      </c>
      <c r="M31" s="63">
        <f>C36*(1-C64)</f>
        <v>1519.5674859336236</v>
      </c>
      <c r="N31" s="63">
        <f>D36*(1-D64)</f>
        <v>1565.042572712621</v>
      </c>
      <c r="O31" s="63">
        <f>E36*(1-E64)</f>
        <v>1843.1255820681195</v>
      </c>
      <c r="P31" s="63">
        <f>F36*(1-F64)</f>
        <v>1961.8524393274267</v>
      </c>
    </row>
    <row r="32" spans="1:16" x14ac:dyDescent="0.2">
      <c r="A32" s="2"/>
      <c r="B32" s="2"/>
      <c r="C32" s="2"/>
      <c r="D32" s="2"/>
      <c r="E32" s="2"/>
      <c r="F32" s="2"/>
      <c r="G32" s="2"/>
      <c r="H32" s="2"/>
      <c r="I32" s="2"/>
    </row>
    <row r="33" spans="1:9" x14ac:dyDescent="0.2">
      <c r="A33" s="9" t="s">
        <v>32</v>
      </c>
      <c r="B33" s="10">
        <v>1999</v>
      </c>
      <c r="C33" s="10">
        <v>2138.1303999999996</v>
      </c>
      <c r="D33" s="10">
        <v>2372.4124581417482</v>
      </c>
      <c r="E33" s="10">
        <v>2877.2383980001573</v>
      </c>
      <c r="F33" s="10">
        <v>3578.1617423715124</v>
      </c>
      <c r="G33" s="10"/>
      <c r="H33" s="10"/>
      <c r="I33" s="10"/>
    </row>
    <row r="34" spans="1:9" x14ac:dyDescent="0.2">
      <c r="A34" s="9" t="s">
        <v>33</v>
      </c>
      <c r="B34" s="10">
        <v>203</v>
      </c>
      <c r="C34" s="10">
        <v>203</v>
      </c>
      <c r="D34" s="10">
        <v>212.43950000000001</v>
      </c>
      <c r="E34" s="10">
        <v>221.99927750000001</v>
      </c>
      <c r="F34" s="10">
        <v>231.9892449875</v>
      </c>
      <c r="G34" s="10"/>
      <c r="H34" s="10"/>
      <c r="I34" s="10"/>
    </row>
    <row r="35" spans="1:9" x14ac:dyDescent="0.2">
      <c r="A35" s="9" t="s">
        <v>34</v>
      </c>
      <c r="B35" s="14">
        <v>347.42399999999998</v>
      </c>
      <c r="C35" s="14">
        <v>412.4898554344237</v>
      </c>
      <c r="D35" s="14">
        <v>455.15217860307689</v>
      </c>
      <c r="E35" s="14">
        <v>556.51503800703222</v>
      </c>
      <c r="F35" s="14">
        <v>668.71528413910289</v>
      </c>
      <c r="G35" s="14"/>
      <c r="H35" s="14"/>
      <c r="I35" s="14"/>
    </row>
    <row r="36" spans="1:9" x14ac:dyDescent="0.2">
      <c r="A36" s="8" t="s">
        <v>35</v>
      </c>
      <c r="B36" s="13">
        <v>1641.4479600000004</v>
      </c>
      <c r="C36" s="13">
        <v>2337.7961322055748</v>
      </c>
      <c r="D36" s="13">
        <v>2407.7578041732631</v>
      </c>
      <c r="E36" s="13">
        <v>2835.5778185663376</v>
      </c>
      <c r="F36" s="13">
        <v>3018.2345220421948</v>
      </c>
      <c r="G36" s="13">
        <f>G31-SUM(G33:G35)</f>
        <v>48901.543812410673</v>
      </c>
      <c r="H36" s="13">
        <f>H31-SUM(H33:H35)</f>
        <v>56138.972296647458</v>
      </c>
      <c r="I36" s="13">
        <f>I31-SUM(I33:I35)</f>
        <v>64447.540196551286</v>
      </c>
    </row>
    <row r="37" spans="1:9" x14ac:dyDescent="0.2">
      <c r="A37" s="2"/>
      <c r="B37" s="11"/>
      <c r="C37" s="11"/>
      <c r="D37" s="2"/>
      <c r="E37" s="2"/>
      <c r="F37" s="2"/>
      <c r="G37" s="2"/>
      <c r="H37" s="2"/>
      <c r="I37" s="2"/>
    </row>
    <row r="38" spans="1:9" x14ac:dyDescent="0.2">
      <c r="A38" s="9" t="s">
        <v>36</v>
      </c>
      <c r="B38" s="14">
        <v>187</v>
      </c>
      <c r="C38" s="14">
        <v>348.63006906563032</v>
      </c>
      <c r="D38" s="14">
        <v>440.11360273509183</v>
      </c>
      <c r="E38" s="14">
        <v>546.53585657727547</v>
      </c>
      <c r="F38" s="14">
        <v>658.10029786034431</v>
      </c>
      <c r="G38" s="14"/>
      <c r="H38" s="14"/>
      <c r="I38" s="14"/>
    </row>
    <row r="39" spans="1:9" x14ac:dyDescent="0.2">
      <c r="A39" s="8" t="s">
        <v>37</v>
      </c>
      <c r="B39" s="13">
        <v>1454.4479600000004</v>
      </c>
      <c r="C39" s="13">
        <v>1989.1660631399445</v>
      </c>
      <c r="D39" s="13">
        <v>1967.6442014381714</v>
      </c>
      <c r="E39" s="13">
        <v>2289.0419619890622</v>
      </c>
      <c r="F39" s="13">
        <v>2360.1342241818506</v>
      </c>
      <c r="G39" s="13">
        <f>G36-G38</f>
        <v>48901.543812410673</v>
      </c>
      <c r="H39" s="13">
        <f>H36-H38</f>
        <v>56138.972296647458</v>
      </c>
      <c r="I39" s="13">
        <f>I36-I38</f>
        <v>64447.540196551286</v>
      </c>
    </row>
    <row r="40" spans="1:9" x14ac:dyDescent="0.2">
      <c r="A40" s="9" t="s">
        <v>38</v>
      </c>
      <c r="B40" s="14">
        <v>263.73599999999999</v>
      </c>
      <c r="C40" s="14">
        <v>696.20812209898054</v>
      </c>
      <c r="D40" s="14">
        <v>688.67547050335997</v>
      </c>
      <c r="E40" s="14">
        <v>801.16468669617177</v>
      </c>
      <c r="F40" s="14">
        <v>826.04697846364763</v>
      </c>
      <c r="G40" s="14"/>
      <c r="H40" s="14"/>
      <c r="I40" s="14"/>
    </row>
    <row r="41" spans="1:9" x14ac:dyDescent="0.2">
      <c r="A41" s="8" t="s">
        <v>39</v>
      </c>
      <c r="B41" s="16">
        <v>1190.7119600000005</v>
      </c>
      <c r="C41" s="16">
        <v>1292.957941040964</v>
      </c>
      <c r="D41" s="16">
        <v>1278.9687309348114</v>
      </c>
      <c r="E41" s="16">
        <v>1487.8772752928903</v>
      </c>
      <c r="F41" s="16">
        <v>1534.0872457182031</v>
      </c>
      <c r="G41" s="16">
        <f>G39-G40</f>
        <v>48901.543812410673</v>
      </c>
      <c r="H41" s="16">
        <f>H39-H40</f>
        <v>56138.972296647458</v>
      </c>
      <c r="I41" s="16">
        <f>I39-I40</f>
        <v>64447.540196551286</v>
      </c>
    </row>
    <row r="42" spans="1:9" x14ac:dyDescent="0.2">
      <c r="A42" s="2"/>
      <c r="B42" s="2"/>
      <c r="C42" s="2"/>
      <c r="D42" s="2"/>
      <c r="E42" s="3"/>
      <c r="F42" s="2"/>
      <c r="G42" s="2"/>
      <c r="H42" s="2"/>
      <c r="I42" s="2"/>
    </row>
    <row r="43" spans="1:9" x14ac:dyDescent="0.2">
      <c r="A43" s="1" t="s">
        <v>40</v>
      </c>
      <c r="B43" s="2"/>
      <c r="C43" s="2"/>
      <c r="D43" s="2"/>
      <c r="E43" s="2"/>
      <c r="F43" s="2"/>
      <c r="G43" s="2"/>
      <c r="H43" s="2"/>
      <c r="I43" s="2"/>
    </row>
    <row r="44" spans="1:9" x14ac:dyDescent="0.2">
      <c r="A44" s="4" t="s">
        <v>27</v>
      </c>
      <c r="B44" s="2"/>
      <c r="C44" s="6">
        <v>2003</v>
      </c>
      <c r="D44" s="6">
        <v>2004</v>
      </c>
      <c r="E44" s="6">
        <v>2005</v>
      </c>
      <c r="F44" s="7" t="s">
        <v>3</v>
      </c>
      <c r="G44" s="30" t="s">
        <v>4</v>
      </c>
      <c r="H44" s="30" t="s">
        <v>5</v>
      </c>
      <c r="I44" s="31" t="s">
        <v>6</v>
      </c>
    </row>
    <row r="45" spans="1:9" x14ac:dyDescent="0.2">
      <c r="A45" s="2" t="s">
        <v>39</v>
      </c>
      <c r="B45" s="8"/>
      <c r="C45" s="13">
        <f>C41</f>
        <v>1292.957941040964</v>
      </c>
      <c r="D45" s="13">
        <f>D41</f>
        <v>1278.9687309348114</v>
      </c>
      <c r="E45" s="13">
        <f>E41</f>
        <v>1487.8772752928903</v>
      </c>
      <c r="F45" s="13">
        <f>F41</f>
        <v>1534.0872457182031</v>
      </c>
      <c r="G45" s="13"/>
      <c r="H45" s="13"/>
      <c r="I45" s="13"/>
    </row>
    <row r="46" spans="1:9" x14ac:dyDescent="0.2">
      <c r="A46" s="9" t="s">
        <v>34</v>
      </c>
      <c r="B46" s="8"/>
      <c r="C46" s="11">
        <f>C35</f>
        <v>412.4898554344237</v>
      </c>
      <c r="D46" s="11">
        <f>D35</f>
        <v>455.15217860307689</v>
      </c>
      <c r="E46" s="11">
        <f>E35</f>
        <v>556.51503800703222</v>
      </c>
      <c r="F46" s="11">
        <f>F35</f>
        <v>668.71528413910289</v>
      </c>
      <c r="G46" s="11"/>
      <c r="H46" s="11"/>
      <c r="I46" s="11"/>
    </row>
    <row r="47" spans="1:9" x14ac:dyDescent="0.2">
      <c r="A47" s="9" t="s">
        <v>41</v>
      </c>
      <c r="B47" s="2"/>
      <c r="C47" s="11">
        <f t="shared" ref="C47:F48" si="23">-(C6-B6)</f>
        <v>-919.97452427397275</v>
      </c>
      <c r="D47" s="11">
        <f t="shared" si="23"/>
        <v>-2415.7614453539181</v>
      </c>
      <c r="E47" s="11">
        <f t="shared" si="23"/>
        <v>-3465.4153362864708</v>
      </c>
      <c r="F47" s="11">
        <f t="shared" si="23"/>
        <v>-4185.2138621896011</v>
      </c>
      <c r="G47" s="11"/>
      <c r="H47" s="11"/>
      <c r="I47" s="11"/>
    </row>
    <row r="48" spans="1:9" x14ac:dyDescent="0.2">
      <c r="A48" s="9" t="s">
        <v>42</v>
      </c>
      <c r="B48" s="11"/>
      <c r="C48" s="11">
        <f t="shared" si="23"/>
        <v>294.04366434816393</v>
      </c>
      <c r="D48" s="11">
        <f t="shared" si="23"/>
        <v>-405.65395710790563</v>
      </c>
      <c r="E48" s="11">
        <f t="shared" si="23"/>
        <v>-89.99680258089893</v>
      </c>
      <c r="F48" s="11">
        <f t="shared" si="23"/>
        <v>-555.97512998763887</v>
      </c>
      <c r="G48" s="11"/>
      <c r="H48" s="11"/>
      <c r="I48" s="11"/>
    </row>
    <row r="49" spans="1:9" x14ac:dyDescent="0.2">
      <c r="A49" s="17" t="s">
        <v>43</v>
      </c>
      <c r="B49" s="18"/>
      <c r="C49" s="19">
        <f>C18-B18</f>
        <v>939.35780388493185</v>
      </c>
      <c r="D49" s="19">
        <f>D18-C18</f>
        <v>1925.5355013595699</v>
      </c>
      <c r="E49" s="19">
        <f>E18-D18</f>
        <v>1760.6686734210807</v>
      </c>
      <c r="F49" s="19">
        <f>F18-E18</f>
        <v>2764.564473388702</v>
      </c>
      <c r="G49" s="19"/>
      <c r="H49" s="19"/>
      <c r="I49" s="19"/>
    </row>
    <row r="50" spans="1:9" x14ac:dyDescent="0.2">
      <c r="A50" s="8" t="s">
        <v>44</v>
      </c>
      <c r="B50" s="2"/>
      <c r="C50" s="13">
        <f t="shared" ref="C50:I50" si="24">SUM(C45:C49)</f>
        <v>2018.8747404345108</v>
      </c>
      <c r="D50" s="13">
        <f t="shared" si="24"/>
        <v>838.24100843563451</v>
      </c>
      <c r="E50" s="13">
        <f t="shared" si="24"/>
        <v>249.64884785363347</v>
      </c>
      <c r="F50" s="13">
        <f t="shared" si="24"/>
        <v>226.17801106876823</v>
      </c>
      <c r="G50" s="13">
        <f t="shared" si="24"/>
        <v>0</v>
      </c>
      <c r="H50" s="13">
        <f t="shared" si="24"/>
        <v>0</v>
      </c>
      <c r="I50" s="13">
        <f t="shared" si="24"/>
        <v>0</v>
      </c>
    </row>
    <row r="51" spans="1:9" x14ac:dyDescent="0.2">
      <c r="A51" s="9"/>
      <c r="B51" s="2"/>
      <c r="C51" s="11"/>
      <c r="D51" s="2"/>
      <c r="E51" s="2"/>
      <c r="F51" s="2"/>
      <c r="G51" s="2"/>
      <c r="H51" s="2"/>
      <c r="I51" s="2"/>
    </row>
    <row r="52" spans="1:9" x14ac:dyDescent="0.2">
      <c r="A52" s="25" t="s">
        <v>45</v>
      </c>
      <c r="B52" s="11"/>
      <c r="C52" s="11">
        <f>-(C10-(B10-C46))</f>
        <v>-835.18269103442344</v>
      </c>
      <c r="D52" s="11">
        <f>-(D10-(C10-D46))</f>
        <v>-733.94850392307717</v>
      </c>
      <c r="E52" s="11">
        <f>-(E10-(D10-E46))</f>
        <v>-1215.373624132742</v>
      </c>
      <c r="F52" s="11">
        <f>-(F10-(E10-F46))</f>
        <v>-1398.0168839975622</v>
      </c>
      <c r="G52" s="11"/>
      <c r="H52" s="11"/>
      <c r="I52" s="11"/>
    </row>
    <row r="53" spans="1:9" x14ac:dyDescent="0.2">
      <c r="A53" s="25" t="s">
        <v>46</v>
      </c>
      <c r="B53" s="2"/>
      <c r="C53" s="11">
        <f t="shared" ref="C53:F54" si="25">-(C11-B11)</f>
        <v>0</v>
      </c>
      <c r="D53" s="11">
        <f t="shared" si="25"/>
        <v>0</v>
      </c>
      <c r="E53" s="11">
        <f t="shared" si="25"/>
        <v>0</v>
      </c>
      <c r="F53" s="11">
        <f t="shared" si="25"/>
        <v>0</v>
      </c>
      <c r="G53" s="11"/>
      <c r="H53" s="11"/>
      <c r="I53" s="11"/>
    </row>
    <row r="54" spans="1:9" x14ac:dyDescent="0.2">
      <c r="A54" s="26" t="s">
        <v>47</v>
      </c>
      <c r="B54" s="18"/>
      <c r="C54" s="19">
        <f t="shared" si="25"/>
        <v>-1300</v>
      </c>
      <c r="D54" s="19">
        <f t="shared" si="25"/>
        <v>-1102.5</v>
      </c>
      <c r="E54" s="19">
        <f t="shared" si="25"/>
        <v>0</v>
      </c>
      <c r="F54" s="19">
        <f t="shared" si="25"/>
        <v>0</v>
      </c>
      <c r="G54" s="19"/>
      <c r="H54" s="19"/>
      <c r="I54" s="19"/>
    </row>
    <row r="55" spans="1:9" x14ac:dyDescent="0.2">
      <c r="A55" s="8" t="s">
        <v>48</v>
      </c>
      <c r="B55" s="2"/>
      <c r="C55" s="13">
        <f t="shared" ref="C55:I55" si="26">SUM(C52:C54)</f>
        <v>-2135.1826910344234</v>
      </c>
      <c r="D55" s="13">
        <f t="shared" si="26"/>
        <v>-1836.4485039230772</v>
      </c>
      <c r="E55" s="13">
        <f t="shared" si="26"/>
        <v>-1215.373624132742</v>
      </c>
      <c r="F55" s="13">
        <f t="shared" si="26"/>
        <v>-1398.0168839975622</v>
      </c>
      <c r="G55" s="13">
        <f t="shared" si="26"/>
        <v>0</v>
      </c>
      <c r="H55" s="13">
        <f t="shared" si="26"/>
        <v>0</v>
      </c>
      <c r="I55" s="13">
        <f t="shared" si="26"/>
        <v>0</v>
      </c>
    </row>
    <row r="56" spans="1:9" x14ac:dyDescent="0.2">
      <c r="A56" s="9"/>
      <c r="B56" s="2"/>
      <c r="C56" s="11"/>
      <c r="D56" s="2"/>
      <c r="E56" s="2"/>
      <c r="F56" s="2"/>
      <c r="G56" s="2"/>
      <c r="H56" s="2"/>
      <c r="I56" s="2"/>
    </row>
    <row r="57" spans="1:9" x14ac:dyDescent="0.2">
      <c r="A57" s="9" t="s">
        <v>49</v>
      </c>
      <c r="B57" s="11"/>
      <c r="C57" s="11">
        <f>C22-(B22-C19)</f>
        <v>1494.4941866419176</v>
      </c>
      <c r="D57" s="11">
        <f>D22-(C22-D19)</f>
        <v>1849.8883015113811</v>
      </c>
      <c r="E57" s="11">
        <f>E22-(D22-E19)</f>
        <v>2127.9852901900176</v>
      </c>
      <c r="F57" s="11">
        <f>F22-(E22-F19)</f>
        <v>2006.0332386234013</v>
      </c>
      <c r="G57" s="11"/>
      <c r="H57" s="11"/>
      <c r="I57" s="11"/>
    </row>
    <row r="58" spans="1:9" x14ac:dyDescent="0.2">
      <c r="A58" s="9" t="s">
        <v>50</v>
      </c>
      <c r="B58" s="2"/>
      <c r="C58" s="11">
        <f>-B19</f>
        <v>-315</v>
      </c>
      <c r="D58" s="11">
        <f>-C19</f>
        <v>-352.03660641791981</v>
      </c>
      <c r="E58" s="11">
        <f>-D19</f>
        <v>-524.52591618269832</v>
      </c>
      <c r="F58" s="11">
        <f>-E19</f>
        <v>-730.41025693862093</v>
      </c>
      <c r="G58" s="11"/>
      <c r="H58" s="11"/>
      <c r="I58" s="11"/>
    </row>
    <row r="59" spans="1:9" x14ac:dyDescent="0.2">
      <c r="A59" s="17" t="s">
        <v>51</v>
      </c>
      <c r="B59" s="18"/>
      <c r="C59" s="19">
        <v>-226.26763968216869</v>
      </c>
      <c r="D59" s="19">
        <v>-223.819527913592</v>
      </c>
      <c r="E59" s="19">
        <v>-297.57545505857809</v>
      </c>
      <c r="F59" s="19">
        <v>-306.81744914364066</v>
      </c>
      <c r="G59" s="19"/>
      <c r="H59" s="19"/>
      <c r="I59" s="19"/>
    </row>
    <row r="60" spans="1:9" x14ac:dyDescent="0.2">
      <c r="A60" s="8" t="s">
        <v>52</v>
      </c>
      <c r="B60" s="2"/>
      <c r="C60" s="13">
        <f t="shared" ref="C60:I60" si="27">SUM(C57:C59)</f>
        <v>953.22654695974893</v>
      </c>
      <c r="D60" s="13">
        <f t="shared" si="27"/>
        <v>1274.0321671798692</v>
      </c>
      <c r="E60" s="13">
        <f t="shared" si="27"/>
        <v>1305.8839189487412</v>
      </c>
      <c r="F60" s="13">
        <f t="shared" si="27"/>
        <v>968.80553254113966</v>
      </c>
      <c r="G60" s="13">
        <f t="shared" si="27"/>
        <v>0</v>
      </c>
      <c r="H60" s="13">
        <f t="shared" si="27"/>
        <v>0</v>
      </c>
      <c r="I60" s="13">
        <f t="shared" si="27"/>
        <v>0</v>
      </c>
    </row>
    <row r="61" spans="1:9" x14ac:dyDescent="0.2">
      <c r="A61" s="2"/>
      <c r="B61" s="2"/>
      <c r="C61" s="2"/>
      <c r="D61" s="2"/>
      <c r="E61" s="2"/>
      <c r="F61" s="2"/>
      <c r="G61" s="2"/>
      <c r="H61" s="2"/>
      <c r="I61" s="2"/>
    </row>
    <row r="62" spans="1:9" x14ac:dyDescent="0.2">
      <c r="A62" s="20" t="s">
        <v>53</v>
      </c>
      <c r="B62" s="21"/>
      <c r="C62" s="12">
        <f t="shared" ref="C62:I62" si="28">C50+C55+C60</f>
        <v>836.91859635983633</v>
      </c>
      <c r="D62" s="12">
        <f t="shared" si="28"/>
        <v>275.82467169242659</v>
      </c>
      <c r="E62" s="12">
        <f t="shared" si="28"/>
        <v>340.15914266963273</v>
      </c>
      <c r="F62" s="12">
        <f t="shared" si="28"/>
        <v>-203.03334038765433</v>
      </c>
      <c r="G62" s="12">
        <f t="shared" si="28"/>
        <v>0</v>
      </c>
      <c r="H62" s="12">
        <f t="shared" si="28"/>
        <v>0</v>
      </c>
      <c r="I62" s="12">
        <f t="shared" si="28"/>
        <v>0</v>
      </c>
    </row>
    <row r="63" spans="1:9" x14ac:dyDescent="0.2">
      <c r="A63" s="2"/>
      <c r="B63" s="2"/>
      <c r="C63" s="2"/>
      <c r="D63" s="2"/>
      <c r="E63" s="2"/>
      <c r="F63" s="2"/>
      <c r="G63" s="2"/>
      <c r="H63" s="2"/>
      <c r="I63" s="2"/>
    </row>
    <row r="64" spans="1:9" x14ac:dyDescent="0.2">
      <c r="A64" t="s">
        <v>120</v>
      </c>
      <c r="B64" s="32">
        <f>B40/B39</f>
        <v>0.18133065414042035</v>
      </c>
      <c r="C64" s="32">
        <f t="shared" ref="C64:F64" si="29">C40/C39</f>
        <v>0.35</v>
      </c>
      <c r="D64" s="32">
        <f t="shared" si="29"/>
        <v>0.35</v>
      </c>
      <c r="E64" s="32">
        <f t="shared" si="29"/>
        <v>0.35</v>
      </c>
      <c r="F64" s="32">
        <f t="shared" si="29"/>
        <v>0.35</v>
      </c>
    </row>
  </sheetData>
  <mergeCells count="4">
    <mergeCell ref="K2:P2"/>
    <mergeCell ref="K4:P4"/>
    <mergeCell ref="K16:P16"/>
    <mergeCell ref="K23:P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276A4-710E-A54A-A6D6-2A12BE0A3DC7}">
  <dimension ref="A1:J17"/>
  <sheetViews>
    <sheetView zoomScale="125" workbookViewId="0">
      <selection activeCell="H14" sqref="H14"/>
    </sheetView>
  </sheetViews>
  <sheetFormatPr baseColWidth="10" defaultColWidth="11.42578125" defaultRowHeight="12.75" x14ac:dyDescent="0.2"/>
  <cols>
    <col min="1" max="1" width="20.28515625" customWidth="1"/>
  </cols>
  <sheetData>
    <row r="1" spans="1:9" ht="14.25" thickTop="1" thickBot="1" x14ac:dyDescent="0.25">
      <c r="B1" s="5">
        <v>2002</v>
      </c>
      <c r="C1" s="6">
        <v>2003</v>
      </c>
      <c r="D1" s="6">
        <v>2004</v>
      </c>
      <c r="E1" s="6">
        <v>2005</v>
      </c>
      <c r="F1" s="7" t="s">
        <v>3</v>
      </c>
      <c r="G1" s="30" t="s">
        <v>4</v>
      </c>
      <c r="H1" s="30" t="s">
        <v>5</v>
      </c>
      <c r="I1" s="31" t="s">
        <v>6</v>
      </c>
    </row>
    <row r="2" spans="1:9" ht="13.5" thickTop="1" x14ac:dyDescent="0.2">
      <c r="A2" s="44" t="s">
        <v>121</v>
      </c>
      <c r="B2" s="35">
        <f>'Ceres exhibits'!C20</f>
        <v>315</v>
      </c>
      <c r="C2" s="35">
        <f>'Ceres exhibits'!D20</f>
        <v>352.03660641791998</v>
      </c>
      <c r="D2" s="35">
        <f>'Ceres exhibits'!E20</f>
        <v>524.52591618269832</v>
      </c>
      <c r="E2" s="35">
        <f>'Ceres exhibits'!F20</f>
        <v>730.41025693862093</v>
      </c>
      <c r="F2" s="35">
        <f>'Ceres exhibits'!G20</f>
        <v>649.44368321049353</v>
      </c>
      <c r="G2" s="35">
        <f>G6*G4</f>
        <v>695.85563486613148</v>
      </c>
      <c r="H2" s="35">
        <f>H6*H4</f>
        <v>638.75469777372223</v>
      </c>
      <c r="I2" s="35">
        <f>I4*I6</f>
        <v>586.33938346492164</v>
      </c>
    </row>
    <row r="3" spans="1:9" x14ac:dyDescent="0.2">
      <c r="A3" s="44" t="s">
        <v>122</v>
      </c>
      <c r="B3" s="35">
        <f>'Ceres exhibits'!C23</f>
        <v>3258</v>
      </c>
      <c r="C3" s="35">
        <f>'Ceres exhibits'!D23</f>
        <v>4400.4575802239979</v>
      </c>
      <c r="D3" s="35">
        <f>'Ceres exhibits'!E23</f>
        <v>5725.8199655526805</v>
      </c>
      <c r="E3" s="35">
        <f>'Ceres exhibits'!F23</f>
        <v>7123.3949988040767</v>
      </c>
      <c r="F3" s="35">
        <f>'Ceres exhibits'!G23</f>
        <v>8479.9845542169842</v>
      </c>
      <c r="G3" s="35">
        <f>G7*G4</f>
        <v>7784.1289193508519</v>
      </c>
      <c r="H3" s="35">
        <f>H4*H7</f>
        <v>7145.3742215771299</v>
      </c>
      <c r="I3" s="35">
        <f>I4*I7</f>
        <v>6559.0348381122085</v>
      </c>
    </row>
    <row r="4" spans="1:9" x14ac:dyDescent="0.2">
      <c r="A4" s="44" t="s">
        <v>123</v>
      </c>
      <c r="B4" s="36">
        <f>B2+B3</f>
        <v>3573</v>
      </c>
      <c r="C4" s="36">
        <f t="shared" ref="C4:F4" si="0">C2+C3</f>
        <v>4752.4941866419176</v>
      </c>
      <c r="D4" s="36">
        <f t="shared" si="0"/>
        <v>6250.3458817353785</v>
      </c>
      <c r="E4" s="36">
        <f t="shared" si="0"/>
        <v>7853.8052557426981</v>
      </c>
      <c r="F4" s="36">
        <f t="shared" si="0"/>
        <v>9129.4282374274771</v>
      </c>
      <c r="G4" s="36">
        <f>G12</f>
        <v>8479.9845542169842</v>
      </c>
      <c r="H4" s="36">
        <f>H12</f>
        <v>7784.1289193508528</v>
      </c>
      <c r="I4" s="36">
        <f>I12</f>
        <v>7145.3742215771308</v>
      </c>
    </row>
    <row r="6" spans="1:9" x14ac:dyDescent="0.2">
      <c r="A6" s="44" t="s">
        <v>124</v>
      </c>
      <c r="B6" s="41">
        <f>B2/B$4</f>
        <v>8.8161209068010074E-2</v>
      </c>
      <c r="C6" s="41">
        <f t="shared" ref="C6:F7" si="1">C2/C$4</f>
        <v>7.4074074074074112E-2</v>
      </c>
      <c r="D6" s="41">
        <f t="shared" si="1"/>
        <v>8.3919502393532533E-2</v>
      </c>
      <c r="E6" s="41">
        <f t="shared" si="1"/>
        <v>9.3000810836829109E-2</v>
      </c>
      <c r="F6" s="41">
        <f t="shared" si="1"/>
        <v>7.1137388489237535E-2</v>
      </c>
      <c r="G6" s="32">
        <f>AVERAGE($B6:$F6)</f>
        <v>8.2058596972336667E-2</v>
      </c>
      <c r="H6" s="32">
        <f t="shared" ref="H6:I7" si="2">AVERAGE($B6:$F6)</f>
        <v>8.2058596972336667E-2</v>
      </c>
      <c r="I6" s="32">
        <f t="shared" si="2"/>
        <v>8.2058596972336667E-2</v>
      </c>
    </row>
    <row r="7" spans="1:9" x14ac:dyDescent="0.2">
      <c r="A7" s="44" t="s">
        <v>125</v>
      </c>
      <c r="B7" s="41">
        <f>B3/B$4</f>
        <v>0.91183879093198994</v>
      </c>
      <c r="C7" s="41">
        <f t="shared" si="1"/>
        <v>0.92592592592592593</v>
      </c>
      <c r="D7" s="41">
        <f t="shared" si="1"/>
        <v>0.91608049760646748</v>
      </c>
      <c r="E7" s="41">
        <f t="shared" si="1"/>
        <v>0.90699918916317079</v>
      </c>
      <c r="F7" s="41">
        <f t="shared" si="1"/>
        <v>0.92886261151076255</v>
      </c>
      <c r="G7" s="32">
        <f>AVERAGE($B7:$F7)</f>
        <v>0.91794140302766325</v>
      </c>
      <c r="H7" s="32">
        <f t="shared" si="2"/>
        <v>0.91794140302766325</v>
      </c>
      <c r="I7" s="32">
        <f t="shared" si="2"/>
        <v>0.91794140302766325</v>
      </c>
    </row>
    <row r="9" spans="1:9" x14ac:dyDescent="0.2">
      <c r="A9" s="44" t="s">
        <v>126</v>
      </c>
      <c r="C9" s="35">
        <f>'Ceres exhibits'!D58</f>
        <v>1494.4941866419176</v>
      </c>
      <c r="D9" s="35">
        <f>'Ceres exhibits'!E58</f>
        <v>1849.8883015113811</v>
      </c>
      <c r="E9" s="35">
        <f>'Ceres exhibits'!F58</f>
        <v>2127.9852901900176</v>
      </c>
      <c r="F9" s="35">
        <f>'Ceres exhibits'!G58</f>
        <v>2006.0332386234013</v>
      </c>
      <c r="G9">
        <v>0</v>
      </c>
      <c r="H9">
        <v>0</v>
      </c>
      <c r="I9">
        <v>0</v>
      </c>
    </row>
    <row r="10" spans="1:9" x14ac:dyDescent="0.2">
      <c r="A10" s="44" t="s">
        <v>127</v>
      </c>
      <c r="C10" s="35">
        <f>'Ceres exhibits'!D59</f>
        <v>-315</v>
      </c>
      <c r="D10" s="35">
        <f>'Ceres exhibits'!E59</f>
        <v>-352.03660641791998</v>
      </c>
      <c r="E10" s="35">
        <f>'Ceres exhibits'!F59</f>
        <v>-524.52591618269832</v>
      </c>
      <c r="F10" s="35">
        <f>'Ceres exhibits'!G59</f>
        <v>-730.41025693862093</v>
      </c>
      <c r="G10" s="36">
        <f>-F2</f>
        <v>-649.44368321049353</v>
      </c>
      <c r="H10" s="35">
        <f>-G2</f>
        <v>-695.85563486613148</v>
      </c>
      <c r="I10" s="35">
        <f>-H2</f>
        <v>-638.75469777372223</v>
      </c>
    </row>
    <row r="12" spans="1:9" x14ac:dyDescent="0.2">
      <c r="A12" s="44" t="s">
        <v>128</v>
      </c>
      <c r="C12" s="36">
        <f>B4+C9+C10</f>
        <v>4752.4941866419176</v>
      </c>
      <c r="D12" s="36">
        <f t="shared" ref="D12:F12" si="3">C4+D9+D10</f>
        <v>6250.3458817353785</v>
      </c>
      <c r="E12" s="36">
        <f t="shared" si="3"/>
        <v>7853.8052557426981</v>
      </c>
      <c r="F12" s="36">
        <f t="shared" si="3"/>
        <v>9129.428237427479</v>
      </c>
      <c r="G12" s="36">
        <f>F4+G9+G10</f>
        <v>8479.9845542169842</v>
      </c>
      <c r="H12" s="36">
        <f>G4+H9+H10</f>
        <v>7784.1289193508528</v>
      </c>
      <c r="I12" s="36">
        <f>H4+I9+I10</f>
        <v>7145.3742215771308</v>
      </c>
    </row>
    <row r="14" spans="1:9" x14ac:dyDescent="0.2">
      <c r="A14" s="44" t="s">
        <v>129</v>
      </c>
      <c r="B14" s="35">
        <f>'Ceres exhibits'!C39</f>
        <v>187</v>
      </c>
      <c r="C14" s="35">
        <f>'Ceres exhibits'!D39</f>
        <v>348.63006906563032</v>
      </c>
      <c r="D14" s="35">
        <f>'Ceres exhibits'!E39</f>
        <v>440.11360273509183</v>
      </c>
      <c r="E14" s="35">
        <f>'Ceres exhibits'!F39</f>
        <v>546.53585657727547</v>
      </c>
      <c r="F14" s="35">
        <f>'Ceres exhibits'!G39</f>
        <v>658.10029786034431</v>
      </c>
      <c r="G14" s="36">
        <f>G17*F12</f>
        <v>821.64854136847305</v>
      </c>
      <c r="H14" s="36"/>
      <c r="I14" s="36"/>
    </row>
    <row r="16" spans="1:9" x14ac:dyDescent="0.2">
      <c r="A16" s="44" t="s">
        <v>130</v>
      </c>
      <c r="C16" s="41">
        <f>C14/C4</f>
        <v>7.335728469601141E-2</v>
      </c>
      <c r="D16" s="41">
        <f t="shared" ref="D16:F16" si="4">D14/D4</f>
        <v>7.0414279635496971E-2</v>
      </c>
      <c r="E16" s="41">
        <f t="shared" si="4"/>
        <v>6.9588669285840607E-2</v>
      </c>
      <c r="F16" s="41">
        <f t="shared" si="4"/>
        <v>7.2085598434561568E-2</v>
      </c>
    </row>
    <row r="17" spans="1:10" x14ac:dyDescent="0.2">
      <c r="A17" s="44" t="s">
        <v>131</v>
      </c>
      <c r="C17" s="41">
        <f>C14/B4</f>
        <v>9.7573487004094683E-2</v>
      </c>
      <c r="D17" s="41">
        <f t="shared" ref="D17:F17" si="5">D14/C4</f>
        <v>9.2606868193998423E-2</v>
      </c>
      <c r="E17" s="41">
        <f t="shared" si="5"/>
        <v>8.7440897978838319E-2</v>
      </c>
      <c r="F17" s="41">
        <f t="shared" si="5"/>
        <v>8.3793814136038286E-2</v>
      </c>
      <c r="G17" s="34">
        <v>0.09</v>
      </c>
      <c r="H17" s="34">
        <v>0.09</v>
      </c>
      <c r="I17" s="34">
        <v>0.09</v>
      </c>
      <c r="J17" s="44" t="s">
        <v>132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2FEFD-0704-9E4F-AAEC-8B580755A25E}">
  <dimension ref="A1:I18"/>
  <sheetViews>
    <sheetView workbookViewId="0">
      <selection activeCell="G6" sqref="G6"/>
    </sheetView>
  </sheetViews>
  <sheetFormatPr baseColWidth="10" defaultColWidth="11.42578125" defaultRowHeight="12.75" x14ac:dyDescent="0.2"/>
  <sheetData>
    <row r="1" spans="1:9" ht="13.5" thickBot="1" x14ac:dyDescent="0.25">
      <c r="A1" s="1" t="s">
        <v>26</v>
      </c>
      <c r="B1" s="2"/>
      <c r="C1" s="2"/>
      <c r="D1" s="2"/>
      <c r="E1" s="2"/>
      <c r="F1" s="2"/>
      <c r="G1" s="2"/>
      <c r="H1" s="2"/>
      <c r="I1" s="2"/>
    </row>
    <row r="2" spans="1:9" ht="14.25" thickTop="1" thickBot="1" x14ac:dyDescent="0.25">
      <c r="A2" s="4" t="s">
        <v>27</v>
      </c>
      <c r="B2" s="5">
        <v>2002</v>
      </c>
      <c r="C2" s="6">
        <v>2003</v>
      </c>
      <c r="D2" s="6">
        <v>2004</v>
      </c>
      <c r="E2" s="6">
        <v>2005</v>
      </c>
      <c r="F2" s="7" t="s">
        <v>3</v>
      </c>
      <c r="G2" s="30" t="s">
        <v>4</v>
      </c>
      <c r="H2" s="30" t="s">
        <v>5</v>
      </c>
      <c r="I2" s="31" t="s">
        <v>6</v>
      </c>
    </row>
    <row r="3" spans="1:9" ht="13.5" thickTop="1" x14ac:dyDescent="0.2">
      <c r="A3" s="2" t="s">
        <v>28</v>
      </c>
      <c r="B3" s="10">
        <v>24652.188000000002</v>
      </c>
      <c r="C3" s="10">
        <v>26796.928356</v>
      </c>
      <c r="D3" s="10">
        <v>29289.042693108</v>
      </c>
      <c r="E3" s="10">
        <v>35088.273146343381</v>
      </c>
      <c r="F3" s="10">
        <v>42597.16359966086</v>
      </c>
      <c r="G3" s="10">
        <f>G4+G5</f>
        <v>25556.371147801688</v>
      </c>
      <c r="H3" s="10"/>
      <c r="I3" s="10"/>
    </row>
    <row r="4" spans="1:9" x14ac:dyDescent="0.2">
      <c r="A4" s="2"/>
      <c r="B4" s="10" t="s">
        <v>133</v>
      </c>
      <c r="C4" s="10"/>
      <c r="D4" s="10"/>
      <c r="E4" s="10"/>
      <c r="F4" s="10">
        <f>F3*0.8</f>
        <v>34077.73087972869</v>
      </c>
      <c r="G4" s="10">
        <f>Supuestos!G7</f>
        <v>15550.297418241353</v>
      </c>
      <c r="H4" s="10"/>
      <c r="I4" s="10"/>
    </row>
    <row r="5" spans="1:9" x14ac:dyDescent="0.2">
      <c r="A5" s="2"/>
      <c r="B5" s="10" t="s">
        <v>134</v>
      </c>
      <c r="C5" s="10"/>
      <c r="D5" s="10"/>
      <c r="E5" s="10"/>
      <c r="F5" s="10">
        <f>F3-F4</f>
        <v>8519.4327199321706</v>
      </c>
      <c r="G5" s="10">
        <f>F5*(1+Supuestos!G2)</f>
        <v>10006.073729560336</v>
      </c>
      <c r="H5" s="10">
        <f>G5*(1+Supuestos!H2)</f>
        <v>11480.968997297528</v>
      </c>
      <c r="I5" s="10">
        <f>H5*(1+Supuestos!I2)</f>
        <v>12942.496350653504</v>
      </c>
    </row>
    <row r="6" spans="1:9" x14ac:dyDescent="0.2">
      <c r="A6" s="9" t="s">
        <v>29</v>
      </c>
      <c r="B6" s="14">
        <v>20461.316040000002</v>
      </c>
      <c r="C6" s="14">
        <v>21705.511968360002</v>
      </c>
      <c r="D6" s="14">
        <v>23841.280752189912</v>
      </c>
      <c r="E6" s="14">
        <v>28596.942614269854</v>
      </c>
      <c r="F6" s="14">
        <v>35100.06280612055</v>
      </c>
      <c r="G6" s="14">
        <f>G3*0.8</f>
        <v>20445.096918241354</v>
      </c>
      <c r="H6" s="14"/>
      <c r="I6" s="14"/>
    </row>
    <row r="7" spans="1:9" x14ac:dyDescent="0.2">
      <c r="A7" s="8" t="s">
        <v>31</v>
      </c>
      <c r="B7" s="15">
        <v>4190.8719600000004</v>
      </c>
      <c r="C7" s="15">
        <v>5091.416387639998</v>
      </c>
      <c r="D7" s="15">
        <v>5447.7619409180879</v>
      </c>
      <c r="E7" s="15">
        <v>6491.3305320735271</v>
      </c>
      <c r="F7" s="15">
        <v>7497.1007935403104</v>
      </c>
      <c r="G7" s="15">
        <f>G3-G6</f>
        <v>5111.2742295603348</v>
      </c>
      <c r="H7" s="15">
        <f>H3-H6</f>
        <v>0</v>
      </c>
      <c r="I7" s="15">
        <f>I3-I6</f>
        <v>0</v>
      </c>
    </row>
    <row r="8" spans="1:9" x14ac:dyDescent="0.2">
      <c r="A8" s="2"/>
      <c r="B8" s="2"/>
      <c r="C8" s="2"/>
      <c r="D8" s="2"/>
      <c r="E8" s="2"/>
      <c r="F8" s="2"/>
      <c r="G8" s="2"/>
      <c r="H8" s="2"/>
      <c r="I8" s="2"/>
    </row>
    <row r="9" spans="1:9" x14ac:dyDescent="0.2">
      <c r="A9" s="9" t="s">
        <v>32</v>
      </c>
      <c r="B9" s="10">
        <v>1999</v>
      </c>
      <c r="C9" s="10">
        <v>2138.1303999999996</v>
      </c>
      <c r="D9" s="10">
        <v>2372.4124581417482</v>
      </c>
      <c r="E9" s="10">
        <v>2877.2383980001573</v>
      </c>
      <c r="F9" s="10">
        <v>3578.1617423715124</v>
      </c>
      <c r="G9" s="10"/>
      <c r="H9" s="10"/>
      <c r="I9" s="10"/>
    </row>
    <row r="10" spans="1:9" x14ac:dyDescent="0.2">
      <c r="A10" s="9" t="s">
        <v>33</v>
      </c>
      <c r="B10" s="10">
        <v>203</v>
      </c>
      <c r="C10" s="10">
        <v>203</v>
      </c>
      <c r="D10" s="10">
        <v>212.43950000000001</v>
      </c>
      <c r="E10" s="10">
        <v>221.99927750000001</v>
      </c>
      <c r="F10" s="10">
        <v>231.9892449875</v>
      </c>
      <c r="G10" s="10"/>
      <c r="H10" s="10"/>
      <c r="I10" s="10"/>
    </row>
    <row r="11" spans="1:9" x14ac:dyDescent="0.2">
      <c r="A11" s="9" t="s">
        <v>34</v>
      </c>
      <c r="B11" s="14">
        <v>347.42399999999998</v>
      </c>
      <c r="C11" s="14">
        <v>412.4898554344237</v>
      </c>
      <c r="D11" s="14">
        <v>455.15217860307689</v>
      </c>
      <c r="E11" s="14">
        <v>556.51503800703222</v>
      </c>
      <c r="F11" s="14">
        <v>668.71528413910289</v>
      </c>
      <c r="G11" s="14"/>
      <c r="H11" s="14"/>
      <c r="I11" s="14"/>
    </row>
    <row r="12" spans="1:9" x14ac:dyDescent="0.2">
      <c r="A12" s="8" t="s">
        <v>35</v>
      </c>
      <c r="B12" s="13">
        <v>1641.4479600000004</v>
      </c>
      <c r="C12" s="13">
        <v>2337.7961322055748</v>
      </c>
      <c r="D12" s="13">
        <v>2407.7578041732631</v>
      </c>
      <c r="E12" s="13">
        <v>2835.5778185663376</v>
      </c>
      <c r="F12" s="13">
        <v>3018.2345220421948</v>
      </c>
      <c r="G12" s="13">
        <f>G7-SUM(G9:G11)</f>
        <v>5111.2742295603348</v>
      </c>
      <c r="H12" s="13">
        <f>H7-SUM(H9:H11)</f>
        <v>0</v>
      </c>
      <c r="I12" s="13">
        <f>I7-SUM(I9:I11)</f>
        <v>0</v>
      </c>
    </row>
    <row r="13" spans="1:9" x14ac:dyDescent="0.2">
      <c r="A13" s="2"/>
      <c r="B13" s="11"/>
      <c r="C13" s="11"/>
      <c r="D13" s="2"/>
      <c r="E13" s="2"/>
      <c r="F13" s="2"/>
      <c r="G13" s="2"/>
      <c r="H13" s="2"/>
      <c r="I13" s="2"/>
    </row>
    <row r="14" spans="1:9" x14ac:dyDescent="0.2">
      <c r="A14" s="9" t="s">
        <v>36</v>
      </c>
      <c r="B14" s="14">
        <v>187</v>
      </c>
      <c r="C14" s="14">
        <v>348.63006906563032</v>
      </c>
      <c r="D14" s="14">
        <v>440.11360273509183</v>
      </c>
      <c r="E14" s="14">
        <v>546.53585657727547</v>
      </c>
      <c r="F14" s="14">
        <v>658.10029786034431</v>
      </c>
      <c r="G14" s="14"/>
      <c r="H14" s="14"/>
      <c r="I14" s="14"/>
    </row>
    <row r="15" spans="1:9" x14ac:dyDescent="0.2">
      <c r="A15" s="8" t="s">
        <v>37</v>
      </c>
      <c r="B15" s="13">
        <v>1454.4479600000004</v>
      </c>
      <c r="C15" s="13">
        <v>1989.1660631399445</v>
      </c>
      <c r="D15" s="13">
        <v>1967.6442014381714</v>
      </c>
      <c r="E15" s="13">
        <v>2289.0419619890622</v>
      </c>
      <c r="F15" s="13">
        <v>2360.1342241818506</v>
      </c>
      <c r="G15" s="13">
        <f>G12-G14</f>
        <v>5111.2742295603348</v>
      </c>
      <c r="H15" s="13">
        <f>H12-H14</f>
        <v>0</v>
      </c>
      <c r="I15" s="13">
        <f>I12-I14</f>
        <v>0</v>
      </c>
    </row>
    <row r="16" spans="1:9" x14ac:dyDescent="0.2">
      <c r="A16" s="9" t="s">
        <v>38</v>
      </c>
      <c r="B16" s="14">
        <v>263.73599999999999</v>
      </c>
      <c r="C16" s="14">
        <v>696.20812209898054</v>
      </c>
      <c r="D16" s="14">
        <v>688.67547050335997</v>
      </c>
      <c r="E16" s="14">
        <v>801.16468669617177</v>
      </c>
      <c r="F16" s="14">
        <v>826.04697846364763</v>
      </c>
      <c r="G16" s="14"/>
      <c r="H16" s="14"/>
      <c r="I16" s="14"/>
    </row>
    <row r="17" spans="1:9" ht="13.5" thickBot="1" x14ac:dyDescent="0.25">
      <c r="A17" s="8" t="s">
        <v>39</v>
      </c>
      <c r="B17" s="16">
        <v>1190.7119600000005</v>
      </c>
      <c r="C17" s="16">
        <v>1292.957941040964</v>
      </c>
      <c r="D17" s="16">
        <v>1278.9687309348114</v>
      </c>
      <c r="E17" s="16">
        <v>1487.8772752928903</v>
      </c>
      <c r="F17" s="16">
        <v>1534.0872457182031</v>
      </c>
      <c r="G17" s="16">
        <f>G15-G16</f>
        <v>5111.2742295603348</v>
      </c>
      <c r="H17" s="16">
        <f>H15-H16</f>
        <v>0</v>
      </c>
      <c r="I17" s="16">
        <f>I15-I16</f>
        <v>0</v>
      </c>
    </row>
    <row r="18" spans="1:9" ht="13.5" thickTop="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D686-E65A-B04C-82C9-65A4F58F862E}">
  <dimension ref="A1:L21"/>
  <sheetViews>
    <sheetView workbookViewId="0">
      <selection activeCell="J5" sqref="J5"/>
    </sheetView>
  </sheetViews>
  <sheetFormatPr baseColWidth="10" defaultColWidth="11.42578125" defaultRowHeight="12.75" x14ac:dyDescent="0.2"/>
  <cols>
    <col min="1" max="1" width="27.7109375" customWidth="1"/>
    <col min="7" max="7" width="11.7109375" bestFit="1" customWidth="1"/>
  </cols>
  <sheetData>
    <row r="1" spans="1:12" x14ac:dyDescent="0.2">
      <c r="B1">
        <f>'Ceres exhibits'!C4</f>
        <v>2002</v>
      </c>
      <c r="C1">
        <f>'Ceres exhibits'!D4</f>
        <v>2003</v>
      </c>
      <c r="D1">
        <f>'Ceres exhibits'!E4</f>
        <v>2004</v>
      </c>
      <c r="E1">
        <f>'Ceres exhibits'!F4</f>
        <v>2005</v>
      </c>
      <c r="F1" t="str">
        <f>'Ceres exhibits'!G4</f>
        <v>2006E</v>
      </c>
      <c r="G1" t="str">
        <f>'Ceres exhibits'!H4</f>
        <v>2007F</v>
      </c>
      <c r="H1" t="str">
        <f>'Ceres exhibits'!I4</f>
        <v>2008F</v>
      </c>
      <c r="I1" t="str">
        <f>'Ceres exhibits'!J4</f>
        <v>2009F</v>
      </c>
    </row>
    <row r="2" spans="1:12" ht="12.95" customHeight="1" x14ac:dyDescent="0.2">
      <c r="A2" s="44" t="s">
        <v>135</v>
      </c>
      <c r="G2" s="32">
        <v>0.17449999999999999</v>
      </c>
      <c r="H2" s="32">
        <v>0.1474</v>
      </c>
      <c r="I2" s="32">
        <v>0.1273</v>
      </c>
      <c r="J2" s="78" t="s">
        <v>136</v>
      </c>
      <c r="K2" s="78"/>
      <c r="L2" s="78"/>
    </row>
    <row r="3" spans="1:12" x14ac:dyDescent="0.2">
      <c r="J3" s="78"/>
      <c r="K3" s="78"/>
      <c r="L3" s="78"/>
    </row>
    <row r="4" spans="1:12" x14ac:dyDescent="0.2">
      <c r="A4" s="60" t="s">
        <v>137</v>
      </c>
      <c r="B4" s="33"/>
      <c r="J4" s="78"/>
      <c r="K4" s="78"/>
      <c r="L4" s="78"/>
    </row>
    <row r="5" spans="1:12" x14ac:dyDescent="0.2">
      <c r="A5" s="44" t="s">
        <v>138</v>
      </c>
      <c r="F5" s="34">
        <v>0.8</v>
      </c>
      <c r="G5" s="34"/>
      <c r="H5" s="34"/>
      <c r="I5" s="34"/>
    </row>
    <row r="6" spans="1:12" x14ac:dyDescent="0.2">
      <c r="A6" s="44" t="s">
        <v>139</v>
      </c>
      <c r="F6" s="35">
        <v>10000</v>
      </c>
      <c r="G6" s="35">
        <v>23000</v>
      </c>
      <c r="H6" s="36">
        <f>G10</f>
        <v>13794.502500000004</v>
      </c>
      <c r="I6" s="36">
        <f>H10</f>
        <v>16201.643186250007</v>
      </c>
    </row>
    <row r="7" spans="1:12" x14ac:dyDescent="0.2">
      <c r="A7" s="44" t="s">
        <v>140</v>
      </c>
      <c r="F7" s="35">
        <f>F5*'Ceres exhibits'!G30</f>
        <v>34077.73087972869</v>
      </c>
      <c r="G7" s="35">
        <f>G8-G6</f>
        <v>15550.297418241353</v>
      </c>
      <c r="H7" s="63">
        <f>H8-H6</f>
        <v>30811.939775440129</v>
      </c>
      <c r="I7" s="63">
        <f>I8-I6</f>
        <v>34847.916749244658</v>
      </c>
    </row>
    <row r="8" spans="1:12" x14ac:dyDescent="0.2">
      <c r="A8" s="44" t="s">
        <v>141</v>
      </c>
      <c r="F8" s="36">
        <f>F6+F7</f>
        <v>44077.73087972869</v>
      </c>
      <c r="G8" s="40">
        <f>G9+G10</f>
        <v>38550.297418241353</v>
      </c>
      <c r="H8" s="63">
        <f>H9+H10</f>
        <v>44606.442275440131</v>
      </c>
      <c r="I8" s="63">
        <f>I9+I10</f>
        <v>51049.559935494661</v>
      </c>
    </row>
    <row r="9" spans="1:12" x14ac:dyDescent="0.2">
      <c r="A9" s="61" t="s">
        <v>142</v>
      </c>
      <c r="B9" s="37"/>
      <c r="C9" s="37"/>
      <c r="D9" s="37"/>
      <c r="E9" s="37"/>
      <c r="F9" s="38">
        <f>F8-F10</f>
        <v>21077.73087972869</v>
      </c>
      <c r="G9" s="39">
        <f>F9*(1+G2)</f>
        <v>24755.794918241347</v>
      </c>
      <c r="H9" s="62">
        <f>G9*(1+H2)</f>
        <v>28404.799089190121</v>
      </c>
      <c r="I9" s="62">
        <f>H9*(1+I2)</f>
        <v>32020.730013244021</v>
      </c>
    </row>
    <row r="10" spans="1:12" x14ac:dyDescent="0.2">
      <c r="A10" s="44" t="s">
        <v>143</v>
      </c>
      <c r="F10" s="35">
        <v>23000</v>
      </c>
      <c r="G10" s="36">
        <f>G12</f>
        <v>13794.502500000004</v>
      </c>
      <c r="H10" s="36">
        <f>H12</f>
        <v>16201.643186250007</v>
      </c>
      <c r="I10" s="36">
        <f>I12</f>
        <v>19028.829922250636</v>
      </c>
    </row>
    <row r="12" spans="1:12" x14ac:dyDescent="0.2">
      <c r="A12" s="44" t="s">
        <v>144</v>
      </c>
      <c r="E12" s="35">
        <v>10000</v>
      </c>
      <c r="F12" s="35">
        <f>E12*(1+$G$2)</f>
        <v>11745.000000000002</v>
      </c>
      <c r="G12" s="35">
        <f t="shared" ref="G12:I12" si="0">F12*(1+$G$2)</f>
        <v>13794.502500000004</v>
      </c>
      <c r="H12" s="35">
        <f>G12*(1+$G$2)</f>
        <v>16201.643186250007</v>
      </c>
      <c r="I12" s="35">
        <f t="shared" si="0"/>
        <v>19028.829922250636</v>
      </c>
    </row>
    <row r="14" spans="1:12" x14ac:dyDescent="0.2">
      <c r="A14" s="44" t="s">
        <v>145</v>
      </c>
      <c r="G14" s="34">
        <v>0.8</v>
      </c>
      <c r="H14" s="34">
        <v>0.8</v>
      </c>
      <c r="I14" s="34">
        <v>0.8</v>
      </c>
    </row>
    <row r="15" spans="1:12" x14ac:dyDescent="0.2">
      <c r="A15" s="44" t="s">
        <v>146</v>
      </c>
      <c r="G15" s="34">
        <v>0.2</v>
      </c>
      <c r="H15" s="34">
        <v>0.2</v>
      </c>
      <c r="I15" s="34">
        <v>0.2</v>
      </c>
    </row>
    <row r="17" spans="1:10" x14ac:dyDescent="0.2">
      <c r="A17" s="44" t="s">
        <v>147</v>
      </c>
    </row>
    <row r="18" spans="1:10" x14ac:dyDescent="0.2">
      <c r="A18" s="44" t="s">
        <v>148</v>
      </c>
      <c r="B18" s="41">
        <f>'Ceres exhibits'!C36/'Ceres exhibits'!C11</f>
        <v>0.15393176783340717</v>
      </c>
      <c r="C18" s="41">
        <f>'Ceres exhibits'!D36/'Ceres exhibits'!D11</f>
        <v>0.15393176783340717</v>
      </c>
      <c r="D18" s="41">
        <f>'Ceres exhibits'!E36/'Ceres exhibits'!E11</f>
        <v>0.15384615384615383</v>
      </c>
      <c r="E18" s="41">
        <f>'Ceres exhibits'!F36/'Ceres exhibits'!F11</f>
        <v>0.15384615384615383</v>
      </c>
      <c r="F18" s="41">
        <f>'Ceres exhibits'!G36/'Ceres exhibits'!G11</f>
        <v>0.15384615384615385</v>
      </c>
      <c r="G18" s="42">
        <f>F18</f>
        <v>0.15384615384615385</v>
      </c>
      <c r="H18" s="42">
        <f>G18</f>
        <v>0.15384615384615385</v>
      </c>
      <c r="I18" s="42">
        <f>H18</f>
        <v>0.15384615384615385</v>
      </c>
      <c r="J18" s="44" t="s">
        <v>149</v>
      </c>
    </row>
    <row r="19" spans="1:10" x14ac:dyDescent="0.2">
      <c r="A19" s="44" t="s">
        <v>54</v>
      </c>
    </row>
    <row r="21" spans="1:10" x14ac:dyDescent="0.2">
      <c r="A21" s="44" t="s">
        <v>150</v>
      </c>
      <c r="G21" s="35">
        <f>'Ceres exhibits'!H11*Supuestos!G18</f>
        <v>668.71528413910289</v>
      </c>
      <c r="H21" s="35">
        <f>'Ceres exhibits'!I11*Supuestos!H18</f>
        <v>668.71528413910289</v>
      </c>
      <c r="I21" s="35">
        <f>'Ceres exhibits'!J11*Supuestos!I18</f>
        <v>668.71528413910289</v>
      </c>
    </row>
  </sheetData>
  <mergeCells count="1">
    <mergeCell ref="J2:L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4E45FD67BBB0149976DBF4CF6745AFC" ma:contentTypeVersion="12" ma:contentTypeDescription="Crear nuevo documento." ma:contentTypeScope="" ma:versionID="15ed864f9dc46eeac5824f10f82b71a3">
  <xsd:schema xmlns:xsd="http://www.w3.org/2001/XMLSchema" xmlns:xs="http://www.w3.org/2001/XMLSchema" xmlns:p="http://schemas.microsoft.com/office/2006/metadata/properties" xmlns:ns2="bf9519bc-2e11-4657-b297-ece9c3d8e138" xmlns:ns3="37d10b09-cca8-4ed0-a5f1-fa35401466d1" targetNamespace="http://schemas.microsoft.com/office/2006/metadata/properties" ma:root="true" ma:fieldsID="86ad2a5e26498a97cf5958a995b043e6" ns2:_="" ns3:_="">
    <xsd:import namespace="bf9519bc-2e11-4657-b297-ece9c3d8e138"/>
    <xsd:import namespace="37d10b09-cca8-4ed0-a5f1-fa35401466d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519bc-2e11-4657-b297-ece9c3d8e1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2093fb0a-f3be-4120-808e-fc0c80b8c9c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7d10b09-cca8-4ed0-a5f1-fa35401466d1"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2cfb030-5ac5-478d-86fb-dfc9ba11eae5}" ma:internalName="TaxCatchAll" ma:showField="CatchAllData" ma:web="37d10b09-cca8-4ed0-a5f1-fa35401466d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61809B-BE09-4FE5-BBAE-3A31404F9624}">
  <ds:schemaRefs>
    <ds:schemaRef ds:uri="http://schemas.microsoft.com/sharepoint/v3/contenttype/forms"/>
  </ds:schemaRefs>
</ds:datastoreItem>
</file>

<file path=customXml/itemProps2.xml><?xml version="1.0" encoding="utf-8"?>
<ds:datastoreItem xmlns:ds="http://schemas.openxmlformats.org/officeDocument/2006/customXml" ds:itemID="{2FB45870-EA1C-43CA-999A-67E8068D6A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9519bc-2e11-4657-b297-ece9c3d8e138"/>
    <ds:schemaRef ds:uri="37d10b09-cca8-4ed0-a5f1-fa3540146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Ceres exhibits</vt:lpstr>
      <vt:lpstr>Inversion</vt:lpstr>
      <vt:lpstr>Financiacion</vt:lpstr>
      <vt:lpstr>AV y AH</vt:lpstr>
      <vt:lpstr>Indicadores</vt:lpstr>
      <vt:lpstr>Obligaciones Financieras</vt:lpstr>
      <vt:lpstr>ER</vt:lpstr>
      <vt:lpstr>Supuestos</vt:lpstr>
    </vt:vector>
  </TitlesOfParts>
  <Manager/>
  <Company>Bain &amp; Company,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Sunru Yong</dc:creator>
  <cp:keywords/>
  <dc:description/>
  <cp:lastModifiedBy>Juan Pablo Muñoz Gómez</cp:lastModifiedBy>
  <cp:revision/>
  <dcterms:created xsi:type="dcterms:W3CDTF">2009-03-04T19:33:48Z</dcterms:created>
  <dcterms:modified xsi:type="dcterms:W3CDTF">2025-05-14T02:19:32Z</dcterms:modified>
  <cp:category/>
  <cp:contentStatus/>
</cp:coreProperties>
</file>