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rubio/Desktop/Ingenieria Electronica Industrial/TFG/"/>
    </mc:Choice>
  </mc:AlternateContent>
  <xr:revisionPtr revIDLastSave="0" documentId="13_ncr:1_{23D707CD-3340-C34A-9CD9-7522CC70A456}" xr6:coauthVersionLast="46" xr6:coauthVersionMax="46" xr10:uidLastSave="{00000000-0000-0000-0000-000000000000}"/>
  <bookViews>
    <workbookView xWindow="0" yWindow="500" windowWidth="25600" windowHeight="14160" activeTab="1" xr2:uid="{30D2E87F-8100-AC45-8F3E-7B403C7CC074}"/>
  </bookViews>
  <sheets>
    <sheet name="ESCLAVO" sheetId="1" r:id="rId1"/>
    <sheet name="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9" i="2" l="1"/>
  <c r="H43" i="2"/>
  <c r="H41" i="2"/>
  <c r="D21" i="2"/>
  <c r="D20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2" i="2"/>
  <c r="H19" i="2"/>
  <c r="Q25" i="1"/>
  <c r="Q47" i="1"/>
  <c r="Q48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P48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25" i="1"/>
  <c r="P47" i="1"/>
  <c r="O48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25" i="1"/>
  <c r="O47" i="1"/>
  <c r="N48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25" i="1"/>
  <c r="N47" i="1"/>
  <c r="M48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25" i="1"/>
  <c r="M47" i="1"/>
  <c r="K41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2" i="2"/>
  <c r="K19" i="2"/>
  <c r="K43" i="2" s="1"/>
  <c r="K45" i="2" s="1"/>
  <c r="J19" i="2"/>
  <c r="J41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2" i="2"/>
  <c r="I42" i="2"/>
  <c r="I40" i="2"/>
  <c r="I41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19" i="2"/>
  <c r="I43" i="2" s="1"/>
  <c r="I45" i="2" s="1"/>
  <c r="H48" i="1"/>
  <c r="K48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25" i="1"/>
  <c r="J48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25" i="1"/>
  <c r="L48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I48" i="1"/>
  <c r="L47" i="1"/>
  <c r="K47" i="1"/>
  <c r="J47" i="1"/>
  <c r="I47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L25" i="1"/>
  <c r="I25" i="1"/>
  <c r="H47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25" i="1"/>
  <c r="H45" i="2" l="1"/>
  <c r="Q49" i="1"/>
  <c r="Q51" i="1" s="1"/>
  <c r="M49" i="1"/>
  <c r="M51" i="1" s="1"/>
  <c r="P49" i="1"/>
  <c r="P51" i="1" s="1"/>
  <c r="O49" i="1"/>
  <c r="O51" i="1" s="1"/>
  <c r="J43" i="2"/>
  <c r="J45" i="2" s="1"/>
  <c r="I49" i="1"/>
  <c r="I51" i="1" s="1"/>
  <c r="L49" i="1"/>
  <c r="L51" i="1" s="1"/>
  <c r="K49" i="1"/>
  <c r="K51" i="1" s="1"/>
  <c r="N49" i="1"/>
  <c r="N51" i="1" s="1"/>
  <c r="J49" i="1"/>
  <c r="J51" i="1" s="1"/>
  <c r="H49" i="1"/>
  <c r="H51" i="1" s="1"/>
</calcChain>
</file>

<file path=xl/sharedStrings.xml><?xml version="1.0" encoding="utf-8"?>
<sst xmlns="http://schemas.openxmlformats.org/spreadsheetml/2006/main" count="247" uniqueCount="129">
  <si>
    <t>Microcontrolador</t>
  </si>
  <si>
    <t>Marca</t>
  </si>
  <si>
    <t>Procesador</t>
  </si>
  <si>
    <t>Bluetooth Versión</t>
  </si>
  <si>
    <t>Data Rate</t>
  </si>
  <si>
    <t>32 bit ARM Cortex M0+</t>
  </si>
  <si>
    <t>1 Mbps</t>
  </si>
  <si>
    <t>Memoria Flash</t>
  </si>
  <si>
    <t>64 KB</t>
  </si>
  <si>
    <t>SRAM</t>
  </si>
  <si>
    <t>8 KB</t>
  </si>
  <si>
    <t>Puertos Serie</t>
  </si>
  <si>
    <t>I2C, SPI (FIFO), UART</t>
  </si>
  <si>
    <t>Alimentación</t>
  </si>
  <si>
    <t>3.3 V</t>
  </si>
  <si>
    <t>MAX32666</t>
  </si>
  <si>
    <t>BCM-32F7611-G01</t>
  </si>
  <si>
    <t>Holtek</t>
  </si>
  <si>
    <t>Maxim Integrated</t>
  </si>
  <si>
    <t>Dual ARM Cortex-M4F</t>
  </si>
  <si>
    <t>560 KB</t>
  </si>
  <si>
    <t>I2C, SPI, UART …</t>
  </si>
  <si>
    <t>1 MB</t>
  </si>
  <si>
    <t>2 Mbps</t>
  </si>
  <si>
    <t>ESP32-WROOM-32E</t>
  </si>
  <si>
    <t>Espressif</t>
  </si>
  <si>
    <t>Xtensa dual-core 32-bit LX6</t>
  </si>
  <si>
    <t>-</t>
  </si>
  <si>
    <t>4 MB</t>
  </si>
  <si>
    <t>3 - 3,6 V</t>
  </si>
  <si>
    <t>ESP32- SOLO-1</t>
  </si>
  <si>
    <t>Xtensa 32-bit LX6</t>
  </si>
  <si>
    <t>520 KB</t>
  </si>
  <si>
    <t>V4.2 y BLE</t>
  </si>
  <si>
    <t>V5 y BLE</t>
  </si>
  <si>
    <t>V4,1 y BLE</t>
  </si>
  <si>
    <t>Simulación del consumo</t>
  </si>
  <si>
    <t>Horas</t>
  </si>
  <si>
    <t>Personas</t>
  </si>
  <si>
    <t>Suponiendo que el módulo de LoRa está activado durante 5 segundos, por cada persona que usa la máquina. El resto del tiempo está apagado.</t>
  </si>
  <si>
    <t>Suponiendo que el microcontrolador está en modo activo durante 5 segundos, por cada persona que usa la máquina. El resto del tiempo está en modo standby.</t>
  </si>
  <si>
    <t>Tiempo MCU por persona (s)</t>
  </si>
  <si>
    <t>Consumo Medio (mA)</t>
  </si>
  <si>
    <t>MICROCONTROLADOR CON BLUETOOTH</t>
  </si>
  <si>
    <t>Precio (€)</t>
  </si>
  <si>
    <t>Módulo Bluetooth recogiendo los datos</t>
  </si>
  <si>
    <t>Módulo Bluetooth enviando los datos</t>
  </si>
  <si>
    <t>DISPOSITIVO NODO</t>
  </si>
  <si>
    <t>Tiempo Bluetooth (RX) (s)</t>
  </si>
  <si>
    <t>Tiempo Bluetooth (TX) (s)</t>
  </si>
  <si>
    <t>Tiempo LoRa (s)</t>
  </si>
  <si>
    <t>Cypress</t>
  </si>
  <si>
    <t>Arm Cortex-M4</t>
  </si>
  <si>
    <t>V5.0 y BLE</t>
  </si>
  <si>
    <t>RAK</t>
  </si>
  <si>
    <t>Arm Cortex-M4F</t>
  </si>
  <si>
    <t>I2C, UART, GPIO</t>
  </si>
  <si>
    <t>2 - 3,6 V</t>
  </si>
  <si>
    <t>RAK4600 MCU (nRF52832) + LoRa (sx1276) +BLE</t>
  </si>
  <si>
    <t>512 KB</t>
  </si>
  <si>
    <t>Consumo Rx (Max mA)</t>
  </si>
  <si>
    <t>Consumo TX (Max mA)</t>
  </si>
  <si>
    <t>Consumo Activo (Max mA)</t>
  </si>
  <si>
    <t>Consumo Sleep (Max mA)</t>
  </si>
  <si>
    <t>Consumo Deep-Sleep (Max. mA)</t>
  </si>
  <si>
    <t>Consumo Backup mode (Max. mA)</t>
  </si>
  <si>
    <t>Consumo Light Sleep (Max. mA)</t>
  </si>
  <si>
    <t>Consumo Hibernation mode (Max. mA)</t>
  </si>
  <si>
    <t>Consumo Power off (Max. mA)</t>
  </si>
  <si>
    <t>Consumo medio en la hora (mA) Mic 1</t>
  </si>
  <si>
    <t>Consumo medio en la hora (mA) Mic 2</t>
  </si>
  <si>
    <t>Consumo medio en la hora (mA) Mic 3</t>
  </si>
  <si>
    <t>Consumo medio en la hora (mA) Mic 4</t>
  </si>
  <si>
    <t>Duración AÑOS</t>
  </si>
  <si>
    <t>Batería mAh</t>
  </si>
  <si>
    <t>Ublox</t>
  </si>
  <si>
    <t>BMD300 (nRF52832)</t>
  </si>
  <si>
    <t>RN4020</t>
  </si>
  <si>
    <t>Microchip</t>
  </si>
  <si>
    <t>V4.1 y BLE</t>
  </si>
  <si>
    <t>1,8 - 3,6 V</t>
  </si>
  <si>
    <t>I2C, SPI, UART .…</t>
  </si>
  <si>
    <t>Microcontrolador con Bluetooth y LoRa</t>
  </si>
  <si>
    <t>Módulos de LoRa</t>
  </si>
  <si>
    <t>ESP32-C3-WROOM</t>
  </si>
  <si>
    <t>RISC-V Single Core</t>
  </si>
  <si>
    <t>400KB</t>
  </si>
  <si>
    <t>Módulo LoRa</t>
  </si>
  <si>
    <t>RFM95W</t>
  </si>
  <si>
    <t>Hoperf</t>
  </si>
  <si>
    <t>Conexión</t>
  </si>
  <si>
    <t>Consumo Sleep Mode</t>
  </si>
  <si>
    <t>Consumo Idle Mode</t>
  </si>
  <si>
    <t>Consumo Standby mode</t>
  </si>
  <si>
    <t>RX mode</t>
  </si>
  <si>
    <t>TX mode</t>
  </si>
  <si>
    <t>Eric-LoRa</t>
  </si>
  <si>
    <t>LPRS</t>
  </si>
  <si>
    <t>Tamaño (mm)</t>
  </si>
  <si>
    <t>SPI</t>
  </si>
  <si>
    <t>15,24 x 20,32</t>
  </si>
  <si>
    <t>UART</t>
  </si>
  <si>
    <t>RFM69HCW</t>
  </si>
  <si>
    <t>16 x 16</t>
  </si>
  <si>
    <t>Consumo TX BLE (Max mA)</t>
  </si>
  <si>
    <t>Consumo Rx BLE(Max mA)</t>
  </si>
  <si>
    <t>Consumo TX LoRa (Max. mA)</t>
  </si>
  <si>
    <t>Consumo RX LoRa (Max. mA)</t>
  </si>
  <si>
    <t>Suponiendo que se esta usando el módulo número 8 con Bluetooth y el módulo LoRA:</t>
  </si>
  <si>
    <t>CYBT-413034-02</t>
  </si>
  <si>
    <t>MDBT42Q-512KV2 (nRF52832)</t>
  </si>
  <si>
    <t>Raytac</t>
  </si>
  <si>
    <t>Consumo medio (mA) BCM-32F7611-G01</t>
  </si>
  <si>
    <t>Consumo medio (mA) MAX32666</t>
  </si>
  <si>
    <t>Consumo medio (mA) ESP32-WROOM-32E</t>
  </si>
  <si>
    <t>Consumo medio (mA) ESP32-SOLO-1</t>
  </si>
  <si>
    <t>Consumo medio (mA) CYBT-413034-02</t>
  </si>
  <si>
    <t>Consumo medio (mA) RAK4600</t>
  </si>
  <si>
    <t>Consumo medio (mA) BMD300</t>
  </si>
  <si>
    <t>Consumo medio (mA) RN4020</t>
  </si>
  <si>
    <t>Consumo medio (mA) ESP32-C3-WROOM</t>
  </si>
  <si>
    <t>Consumo medio (mA) MDBT42Q-512KV2</t>
  </si>
  <si>
    <t>tiempo activo</t>
  </si>
  <si>
    <t>Tiempo lora</t>
  </si>
  <si>
    <t>tiempo bluetooth (1Mbps)</t>
  </si>
  <si>
    <t>s</t>
  </si>
  <si>
    <t>Tiempo de sensor medición</t>
  </si>
  <si>
    <t>ADXL345</t>
  </si>
  <si>
    <t>Consumo medición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</si>
</sst>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3" borderId="2" xfId="0" applyFont="1" applyFill="1" applyBorder="1"/>
    <xf numFmtId="20" fontId="0" fillId="4" borderId="2" xfId="0" applyNumberFormat="1" applyFill="1" applyBorder="1"/>
    <xf numFmtId="0" fontId="0" fillId="4" borderId="2" xfId="0" applyFill="1" applyBorder="1"/>
    <xf numFmtId="0" fontId="0" fillId="0" borderId="0" xfId="0" applyAlignment="1">
      <alignment wrapText="1"/>
    </xf>
    <xf numFmtId="0" fontId="0" fillId="6" borderId="2" xfId="0" applyFill="1" applyBorder="1"/>
    <xf numFmtId="0" fontId="0" fillId="4" borderId="12" xfId="0" applyFill="1" applyBorder="1"/>
    <xf numFmtId="0" fontId="0" fillId="0" borderId="2" xfId="0" applyBorder="1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/>
    <xf numFmtId="0" fontId="2" fillId="3" borderId="2" xfId="0" applyFont="1" applyFill="1" applyBorder="1" applyAlignment="1">
      <alignment wrapText="1"/>
    </xf>
    <xf numFmtId="0" fontId="0" fillId="8" borderId="3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2" fillId="7" borderId="6" xfId="0" applyFont="1" applyFill="1" applyBorder="1"/>
    <xf numFmtId="0" fontId="2" fillId="7" borderId="14" xfId="0" applyFont="1" applyFill="1" applyBorder="1"/>
    <xf numFmtId="0" fontId="2" fillId="7" borderId="15" xfId="0" applyFont="1" applyFill="1" applyBorder="1"/>
    <xf numFmtId="0" fontId="0" fillId="9" borderId="12" xfId="0" applyFill="1" applyBorder="1"/>
    <xf numFmtId="0" fontId="2" fillId="8" borderId="4" xfId="0" applyFont="1" applyFill="1" applyBorder="1"/>
    <xf numFmtId="0" fontId="2" fillId="8" borderId="3" xfId="0" applyFont="1" applyFill="1" applyBorder="1"/>
    <xf numFmtId="0" fontId="2" fillId="8" borderId="13" xfId="0" applyFont="1" applyFill="1" applyBorder="1"/>
    <xf numFmtId="0" fontId="2" fillId="8" borderId="5" xfId="0" applyFont="1" applyFill="1" applyBorder="1"/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20" fontId="0" fillId="0" borderId="0" xfId="0" applyNumberFormat="1" applyFill="1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7" borderId="3" xfId="0" applyFill="1" applyBorder="1"/>
    <xf numFmtId="0" fontId="0" fillId="9" borderId="16" xfId="0" applyFill="1" applyBorder="1"/>
    <xf numFmtId="0" fontId="0" fillId="9" borderId="3" xfId="0" applyFill="1" applyBorder="1"/>
    <xf numFmtId="0" fontId="0" fillId="8" borderId="3" xfId="0" applyFill="1" applyBorder="1"/>
    <xf numFmtId="0" fontId="0" fillId="7" borderId="18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3" borderId="19" xfId="0" applyFont="1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4" borderId="19" xfId="0" applyFill="1" applyBorder="1"/>
    <xf numFmtId="0" fontId="2" fillId="7" borderId="8" xfId="0" applyFont="1" applyFill="1" applyBorder="1"/>
    <xf numFmtId="0" fontId="0" fillId="0" borderId="20" xfId="0" applyFill="1" applyBorder="1"/>
    <xf numFmtId="0" fontId="0" fillId="0" borderId="0" xfId="0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wrapText="1"/>
    </xf>
    <xf numFmtId="0" fontId="2" fillId="5" borderId="7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9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AB89-11D3-0A40-B054-E739496E2873}">
  <dimension ref="A1:T86"/>
  <sheetViews>
    <sheetView workbookViewId="0">
      <selection activeCell="M51" sqref="M51"/>
    </sheetView>
  </sheetViews>
  <sheetFormatPr baseColWidth="10" defaultRowHeight="16" x14ac:dyDescent="0.2"/>
  <cols>
    <col min="2" max="2" width="30.33203125" customWidth="1"/>
    <col min="3" max="3" width="34" customWidth="1"/>
    <col min="4" max="4" width="25.5" customWidth="1"/>
    <col min="5" max="5" width="19.1640625" customWidth="1"/>
    <col min="6" max="6" width="19.33203125" customWidth="1"/>
    <col min="7" max="7" width="26.5" customWidth="1"/>
    <col min="8" max="8" width="25.33203125" customWidth="1"/>
    <col min="9" max="9" width="19.6640625" customWidth="1"/>
    <col min="10" max="10" width="23.33203125" customWidth="1"/>
    <col min="11" max="11" width="23.1640625" customWidth="1"/>
    <col min="12" max="12" width="25.33203125" customWidth="1"/>
    <col min="13" max="15" width="23.1640625" customWidth="1"/>
    <col min="16" max="16" width="17.5" customWidth="1"/>
    <col min="17" max="18" width="19.6640625" customWidth="1"/>
    <col min="19" max="19" width="17" customWidth="1"/>
  </cols>
  <sheetData>
    <row r="1" spans="1:20" ht="17" thickBot="1" x14ac:dyDescent="0.25">
      <c r="A1" s="60" t="s">
        <v>43</v>
      </c>
      <c r="B1" s="61"/>
      <c r="C1" s="61"/>
      <c r="D1" s="61"/>
    </row>
    <row r="2" spans="1:20" ht="34" customHeight="1" thickBot="1" x14ac:dyDescent="0.25"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61</v>
      </c>
      <c r="H2" s="9" t="s">
        <v>60</v>
      </c>
      <c r="I2" s="10" t="s">
        <v>62</v>
      </c>
      <c r="J2" s="9" t="s">
        <v>63</v>
      </c>
      <c r="K2" s="10" t="s">
        <v>64</v>
      </c>
      <c r="L2" s="9" t="s">
        <v>65</v>
      </c>
      <c r="M2" s="10" t="s">
        <v>66</v>
      </c>
      <c r="N2" s="11" t="s">
        <v>67</v>
      </c>
      <c r="O2" s="12" t="s">
        <v>68</v>
      </c>
      <c r="P2" s="9" t="s">
        <v>7</v>
      </c>
      <c r="Q2" s="10" t="s">
        <v>9</v>
      </c>
      <c r="R2" s="9" t="s">
        <v>11</v>
      </c>
      <c r="S2" s="13" t="s">
        <v>13</v>
      </c>
      <c r="T2" s="14" t="s">
        <v>44</v>
      </c>
    </row>
    <row r="3" spans="1:20" ht="26" customHeight="1" x14ac:dyDescent="0.2">
      <c r="A3" s="7">
        <v>1</v>
      </c>
      <c r="B3" s="8" t="s">
        <v>16</v>
      </c>
      <c r="C3" s="8" t="s">
        <v>17</v>
      </c>
      <c r="D3" s="8" t="s">
        <v>5</v>
      </c>
      <c r="E3" s="8" t="s">
        <v>35</v>
      </c>
      <c r="F3" s="8" t="s">
        <v>6</v>
      </c>
      <c r="G3" s="8">
        <v>9</v>
      </c>
      <c r="H3" s="8">
        <v>15.5</v>
      </c>
      <c r="I3" s="8">
        <v>12</v>
      </c>
      <c r="J3" s="8">
        <v>7.5</v>
      </c>
      <c r="K3" s="8">
        <v>3.5000000000000003E-2</v>
      </c>
      <c r="L3" s="8" t="s">
        <v>27</v>
      </c>
      <c r="M3" s="8" t="s">
        <v>27</v>
      </c>
      <c r="N3" s="8" t="s">
        <v>27</v>
      </c>
      <c r="O3" s="8" t="s">
        <v>27</v>
      </c>
      <c r="P3" s="8" t="s">
        <v>8</v>
      </c>
      <c r="Q3" s="8" t="s">
        <v>10</v>
      </c>
      <c r="R3" s="8" t="s">
        <v>12</v>
      </c>
      <c r="S3" s="8" t="s">
        <v>14</v>
      </c>
      <c r="T3" s="8">
        <v>4.09</v>
      </c>
    </row>
    <row r="4" spans="1:20" ht="28" customHeight="1" x14ac:dyDescent="0.2">
      <c r="A4" s="7">
        <v>2</v>
      </c>
      <c r="B4" s="7" t="s">
        <v>15</v>
      </c>
      <c r="C4" s="7" t="s">
        <v>18</v>
      </c>
      <c r="D4" s="7" t="s">
        <v>19</v>
      </c>
      <c r="E4" s="7" t="s">
        <v>34</v>
      </c>
      <c r="F4" s="7" t="s">
        <v>23</v>
      </c>
      <c r="G4" s="7">
        <v>4.3</v>
      </c>
      <c r="H4" s="7">
        <v>3.2</v>
      </c>
      <c r="I4" s="7">
        <v>3.3</v>
      </c>
      <c r="J4" s="7">
        <v>2.1</v>
      </c>
      <c r="K4" s="7">
        <v>0.01</v>
      </c>
      <c r="L4" s="7">
        <v>8.6E-3</v>
      </c>
      <c r="M4" s="7" t="s">
        <v>27</v>
      </c>
      <c r="N4" s="7" t="s">
        <v>27</v>
      </c>
      <c r="O4" s="7" t="s">
        <v>27</v>
      </c>
      <c r="P4" s="7" t="s">
        <v>22</v>
      </c>
      <c r="Q4" s="7" t="s">
        <v>20</v>
      </c>
      <c r="R4" s="7" t="s">
        <v>21</v>
      </c>
      <c r="S4" s="7"/>
      <c r="T4" s="7">
        <v>5.99</v>
      </c>
    </row>
    <row r="5" spans="1:20" ht="33" customHeight="1" x14ac:dyDescent="0.2">
      <c r="A5" s="7">
        <v>3</v>
      </c>
      <c r="B5" s="7" t="s">
        <v>24</v>
      </c>
      <c r="C5" s="7" t="s">
        <v>25</v>
      </c>
      <c r="D5" s="7" t="s">
        <v>26</v>
      </c>
      <c r="E5" s="7" t="s">
        <v>33</v>
      </c>
      <c r="F5" s="7" t="s">
        <v>6</v>
      </c>
      <c r="G5" s="7">
        <v>130</v>
      </c>
      <c r="H5" s="7">
        <v>100</v>
      </c>
      <c r="I5" s="7" t="s">
        <v>27</v>
      </c>
      <c r="J5" s="7">
        <v>30</v>
      </c>
      <c r="K5" s="7">
        <v>0.15</v>
      </c>
      <c r="L5" s="7" t="s">
        <v>27</v>
      </c>
      <c r="M5" s="7">
        <v>0.8</v>
      </c>
      <c r="N5" s="7">
        <v>5.0000000000000001E-3</v>
      </c>
      <c r="O5" s="7">
        <v>1E-3</v>
      </c>
      <c r="P5" s="7" t="s">
        <v>28</v>
      </c>
      <c r="Q5" s="7"/>
      <c r="R5" s="7" t="s">
        <v>21</v>
      </c>
      <c r="S5" s="7" t="s">
        <v>29</v>
      </c>
      <c r="T5" s="7">
        <v>2.42</v>
      </c>
    </row>
    <row r="6" spans="1:20" ht="28" customHeight="1" x14ac:dyDescent="0.2">
      <c r="A6" s="7">
        <v>4</v>
      </c>
      <c r="B6" s="7" t="s">
        <v>30</v>
      </c>
      <c r="C6" s="7" t="s">
        <v>25</v>
      </c>
      <c r="D6" s="7" t="s">
        <v>31</v>
      </c>
      <c r="E6" s="7" t="s">
        <v>33</v>
      </c>
      <c r="F6" s="7" t="s">
        <v>6</v>
      </c>
      <c r="G6" s="7">
        <v>130</v>
      </c>
      <c r="H6" s="7">
        <v>100</v>
      </c>
      <c r="I6" s="7" t="s">
        <v>27</v>
      </c>
      <c r="J6" s="7">
        <v>30</v>
      </c>
      <c r="K6" s="7">
        <v>0.15</v>
      </c>
      <c r="L6" s="7" t="s">
        <v>27</v>
      </c>
      <c r="M6" s="7">
        <v>0.8</v>
      </c>
      <c r="N6" s="7">
        <v>5.0000000000000001E-3</v>
      </c>
      <c r="O6" s="7">
        <v>1E-3</v>
      </c>
      <c r="P6" s="7"/>
      <c r="Q6" s="7" t="s">
        <v>32</v>
      </c>
      <c r="R6" s="7" t="s">
        <v>21</v>
      </c>
      <c r="S6" s="7" t="s">
        <v>29</v>
      </c>
      <c r="T6" s="7">
        <v>2.88</v>
      </c>
    </row>
    <row r="7" spans="1:20" ht="25" customHeight="1" x14ac:dyDescent="0.2">
      <c r="A7" s="7">
        <v>5</v>
      </c>
      <c r="B7" s="20" t="s">
        <v>109</v>
      </c>
      <c r="C7" s="20" t="s">
        <v>51</v>
      </c>
      <c r="D7" s="20" t="s">
        <v>52</v>
      </c>
      <c r="E7" s="20" t="s">
        <v>53</v>
      </c>
      <c r="F7" s="20" t="s">
        <v>23</v>
      </c>
      <c r="G7" s="20">
        <v>5.6</v>
      </c>
      <c r="H7" s="20">
        <v>5.9</v>
      </c>
      <c r="I7" s="20">
        <v>2.2000000000000002</v>
      </c>
      <c r="J7" s="20" t="s">
        <v>27</v>
      </c>
      <c r="K7" s="20">
        <v>1.6000000000000001E-3</v>
      </c>
      <c r="L7" s="20" t="s">
        <v>27</v>
      </c>
      <c r="M7" s="20" t="s">
        <v>27</v>
      </c>
      <c r="N7" s="20" t="s">
        <v>27</v>
      </c>
      <c r="O7" s="20" t="s">
        <v>27</v>
      </c>
      <c r="P7" s="20" t="s">
        <v>22</v>
      </c>
      <c r="Q7" s="20" t="s">
        <v>59</v>
      </c>
      <c r="R7" s="20" t="s">
        <v>21</v>
      </c>
      <c r="S7" s="7"/>
      <c r="T7" s="7">
        <v>9.9700000000000006</v>
      </c>
    </row>
    <row r="8" spans="1:20" ht="30" customHeight="1" x14ac:dyDescent="0.2">
      <c r="A8" s="7">
        <v>6</v>
      </c>
      <c r="B8" s="21" t="s">
        <v>58</v>
      </c>
      <c r="C8" s="20" t="s">
        <v>54</v>
      </c>
      <c r="D8" s="20" t="s">
        <v>55</v>
      </c>
      <c r="E8" s="20" t="s">
        <v>53</v>
      </c>
      <c r="F8" s="20" t="s">
        <v>23</v>
      </c>
      <c r="G8" s="20">
        <v>9</v>
      </c>
      <c r="H8" s="20">
        <v>11.5</v>
      </c>
      <c r="I8" s="20">
        <v>6</v>
      </c>
      <c r="J8" s="20">
        <v>1.12E-2</v>
      </c>
      <c r="K8" s="20" t="s">
        <v>27</v>
      </c>
      <c r="L8" s="20" t="s">
        <v>27</v>
      </c>
      <c r="M8" s="20" t="s">
        <v>27</v>
      </c>
      <c r="N8" s="20" t="s">
        <v>27</v>
      </c>
      <c r="O8" s="20" t="s">
        <v>27</v>
      </c>
      <c r="P8" s="7" t="s">
        <v>59</v>
      </c>
      <c r="Q8" s="7" t="s">
        <v>8</v>
      </c>
      <c r="R8" s="20" t="s">
        <v>56</v>
      </c>
      <c r="S8" s="20" t="s">
        <v>57</v>
      </c>
      <c r="T8" s="7">
        <v>9.8000000000000007</v>
      </c>
    </row>
    <row r="9" spans="1:20" ht="33" customHeight="1" x14ac:dyDescent="0.2">
      <c r="A9" s="7">
        <v>7</v>
      </c>
      <c r="B9" s="20" t="s">
        <v>76</v>
      </c>
      <c r="C9" s="20" t="s">
        <v>75</v>
      </c>
      <c r="D9" s="20" t="s">
        <v>55</v>
      </c>
      <c r="E9" s="20" t="s">
        <v>53</v>
      </c>
      <c r="F9" s="20" t="s">
        <v>23</v>
      </c>
      <c r="G9" s="20">
        <v>16.600000000000001</v>
      </c>
      <c r="H9" s="20">
        <v>11.7</v>
      </c>
      <c r="I9" s="20">
        <v>7.4</v>
      </c>
      <c r="J9" s="20">
        <v>1.1999999999999999E-3</v>
      </c>
      <c r="K9" s="7" t="s">
        <v>27</v>
      </c>
      <c r="L9" s="20" t="s">
        <v>27</v>
      </c>
      <c r="M9" s="20" t="s">
        <v>27</v>
      </c>
      <c r="N9" s="20" t="s">
        <v>27</v>
      </c>
      <c r="O9" s="20" t="s">
        <v>27</v>
      </c>
      <c r="P9" s="20" t="s">
        <v>59</v>
      </c>
      <c r="Q9" s="20" t="s">
        <v>8</v>
      </c>
      <c r="R9" s="20" t="s">
        <v>21</v>
      </c>
      <c r="S9" s="20" t="s">
        <v>57</v>
      </c>
      <c r="T9" s="20">
        <v>7.9</v>
      </c>
    </row>
    <row r="10" spans="1:20" ht="29" customHeight="1" x14ac:dyDescent="0.2">
      <c r="A10" s="7">
        <v>8</v>
      </c>
      <c r="B10" s="20" t="s">
        <v>77</v>
      </c>
      <c r="C10" s="20" t="s">
        <v>78</v>
      </c>
      <c r="D10" s="7"/>
      <c r="E10" s="20" t="s">
        <v>79</v>
      </c>
      <c r="F10" s="20" t="s">
        <v>6</v>
      </c>
      <c r="G10" s="20">
        <v>16</v>
      </c>
      <c r="H10" s="20">
        <v>16</v>
      </c>
      <c r="I10" s="20">
        <v>1.5</v>
      </c>
      <c r="J10" s="20">
        <v>5.0000000000000001E-3</v>
      </c>
      <c r="K10" s="20">
        <v>8.9999999999999998E-4</v>
      </c>
      <c r="L10" s="20" t="s">
        <v>27</v>
      </c>
      <c r="M10" s="20" t="s">
        <v>27</v>
      </c>
      <c r="N10" s="20" t="s">
        <v>27</v>
      </c>
      <c r="O10" s="20" t="s">
        <v>27</v>
      </c>
      <c r="P10" s="20" t="s">
        <v>8</v>
      </c>
      <c r="Q10" s="7"/>
      <c r="R10" s="20" t="s">
        <v>81</v>
      </c>
      <c r="S10" s="20" t="s">
        <v>80</v>
      </c>
      <c r="T10" s="7">
        <v>8.8699999999999992</v>
      </c>
    </row>
    <row r="11" spans="1:20" ht="29" customHeight="1" x14ac:dyDescent="0.2">
      <c r="A11" s="7">
        <v>9</v>
      </c>
      <c r="B11" s="20" t="s">
        <v>84</v>
      </c>
      <c r="C11" s="20" t="s">
        <v>25</v>
      </c>
      <c r="D11" s="20" t="s">
        <v>85</v>
      </c>
      <c r="E11" s="20" t="s">
        <v>53</v>
      </c>
      <c r="F11" s="20" t="s">
        <v>23</v>
      </c>
      <c r="G11" s="20">
        <v>325</v>
      </c>
      <c r="H11" s="20">
        <v>87</v>
      </c>
      <c r="I11" s="20" t="s">
        <v>27</v>
      </c>
      <c r="J11" s="20">
        <v>20</v>
      </c>
      <c r="K11" s="20">
        <v>5.0000000000000001E-3</v>
      </c>
      <c r="L11" s="20" t="s">
        <v>27</v>
      </c>
      <c r="M11" s="20">
        <v>0.13</v>
      </c>
      <c r="N11" s="20" t="s">
        <v>27</v>
      </c>
      <c r="O11" s="20">
        <v>1E-3</v>
      </c>
      <c r="P11" s="7"/>
      <c r="Q11" s="20" t="s">
        <v>86</v>
      </c>
      <c r="R11" s="20" t="s">
        <v>21</v>
      </c>
      <c r="S11" s="20" t="s">
        <v>57</v>
      </c>
      <c r="T11" s="7"/>
    </row>
    <row r="12" spans="1:20" ht="29" customHeight="1" x14ac:dyDescent="0.2">
      <c r="A12" s="51">
        <v>10</v>
      </c>
      <c r="B12" s="51" t="s">
        <v>110</v>
      </c>
      <c r="C12" s="51" t="s">
        <v>111</v>
      </c>
      <c r="D12" s="51" t="s">
        <v>55</v>
      </c>
      <c r="E12" s="51" t="s">
        <v>53</v>
      </c>
      <c r="F12" s="51" t="s">
        <v>23</v>
      </c>
      <c r="G12" s="51">
        <v>16.600000000000001</v>
      </c>
      <c r="H12" s="51">
        <v>11.7</v>
      </c>
      <c r="I12" s="51">
        <v>7.4</v>
      </c>
      <c r="J12" s="51">
        <v>1.1999999999999999E-3</v>
      </c>
      <c r="K12" t="s">
        <v>27</v>
      </c>
      <c r="L12" s="51" t="s">
        <v>27</v>
      </c>
      <c r="M12" s="51" t="s">
        <v>27</v>
      </c>
      <c r="N12" s="51" t="s">
        <v>27</v>
      </c>
      <c r="O12" s="51" t="s">
        <v>27</v>
      </c>
      <c r="P12" s="51" t="s">
        <v>59</v>
      </c>
      <c r="Q12" s="51" t="s">
        <v>8</v>
      </c>
      <c r="R12" s="51" t="s">
        <v>21</v>
      </c>
      <c r="S12" s="51" t="s">
        <v>57</v>
      </c>
      <c r="T12" s="51">
        <v>8.9499999999999993</v>
      </c>
    </row>
    <row r="14" spans="1:20" ht="17" thickBot="1" x14ac:dyDescent="0.25"/>
    <row r="15" spans="1:20" x14ac:dyDescent="0.2">
      <c r="B15" s="54" t="s">
        <v>46</v>
      </c>
      <c r="C15" s="55"/>
      <c r="D15" s="4"/>
    </row>
    <row r="16" spans="1:20" x14ac:dyDescent="0.2">
      <c r="B16" s="56"/>
      <c r="C16" s="57"/>
      <c r="D16" s="4"/>
    </row>
    <row r="17" spans="2:18" ht="17" thickBot="1" x14ac:dyDescent="0.25">
      <c r="B17" s="58"/>
      <c r="C17" s="59"/>
      <c r="D17" s="4"/>
      <c r="E17" s="16"/>
      <c r="F17" s="16"/>
      <c r="G17" s="16"/>
      <c r="H17" s="16"/>
    </row>
    <row r="18" spans="2:18" x14ac:dyDescent="0.2">
      <c r="E18" s="17"/>
      <c r="F18" s="17"/>
      <c r="G18" s="17"/>
      <c r="H18" s="17"/>
    </row>
    <row r="19" spans="2:18" ht="17" thickBot="1" x14ac:dyDescent="0.25">
      <c r="C19" s="5" t="s">
        <v>49</v>
      </c>
      <c r="D19" s="5">
        <v>5</v>
      </c>
      <c r="E19" s="16"/>
      <c r="F19" s="16"/>
      <c r="G19" s="16"/>
      <c r="H19" s="16"/>
    </row>
    <row r="20" spans="2:18" ht="17" thickBot="1" x14ac:dyDescent="0.25">
      <c r="C20" s="16"/>
      <c r="D20" s="16"/>
      <c r="E20" s="16"/>
      <c r="F20" s="19" t="s">
        <v>47</v>
      </c>
      <c r="G20" s="16"/>
      <c r="H20" s="16"/>
      <c r="I20" s="15"/>
    </row>
    <row r="21" spans="2:18" ht="17" thickBot="1" x14ac:dyDescent="0.25">
      <c r="B21" s="54" t="s">
        <v>45</v>
      </c>
      <c r="C21" s="55"/>
      <c r="D21" s="4"/>
    </row>
    <row r="22" spans="2:18" ht="17" thickBot="1" x14ac:dyDescent="0.25">
      <c r="B22" s="56"/>
      <c r="C22" s="57"/>
      <c r="D22" s="4"/>
      <c r="G22" s="62" t="s">
        <v>36</v>
      </c>
      <c r="H22" s="63"/>
      <c r="Q22" s="16"/>
    </row>
    <row r="23" spans="2:18" ht="17" thickBot="1" x14ac:dyDescent="0.25">
      <c r="B23" s="58"/>
      <c r="C23" s="59"/>
      <c r="D23" s="4"/>
      <c r="Q23" s="16"/>
      <c r="R23" s="16"/>
    </row>
    <row r="24" spans="2:18" ht="31" customHeight="1" x14ac:dyDescent="0.2">
      <c r="F24" s="1" t="s">
        <v>37</v>
      </c>
      <c r="G24" s="1" t="s">
        <v>38</v>
      </c>
      <c r="H24" s="18" t="s">
        <v>112</v>
      </c>
      <c r="I24" s="18" t="s">
        <v>113</v>
      </c>
      <c r="J24" s="18" t="s">
        <v>114</v>
      </c>
      <c r="K24" s="18" t="s">
        <v>115</v>
      </c>
      <c r="L24" s="18" t="s">
        <v>116</v>
      </c>
      <c r="M24" s="18" t="s">
        <v>117</v>
      </c>
      <c r="N24" s="18" t="s">
        <v>118</v>
      </c>
      <c r="O24" s="18" t="s">
        <v>119</v>
      </c>
      <c r="P24" s="47" t="s">
        <v>120</v>
      </c>
      <c r="Q24" s="47" t="s">
        <v>121</v>
      </c>
      <c r="R24" s="32"/>
    </row>
    <row r="25" spans="2:18" x14ac:dyDescent="0.2">
      <c r="C25" s="5" t="s">
        <v>48</v>
      </c>
      <c r="D25" s="5">
        <v>5</v>
      </c>
      <c r="F25" s="2">
        <v>4.1666666666666664E-2</v>
      </c>
      <c r="G25" s="3">
        <v>0</v>
      </c>
      <c r="H25" s="3">
        <f t="shared" ref="H25:H46" si="0">(($D$37*G25)/3600)*$I$3+(1-(($D$37*G25)/3600))*$K$3</f>
        <v>3.5000000000000003E-2</v>
      </c>
      <c r="I25" s="3">
        <f t="shared" ref="I25:I46" si="1">(($D$37*G25)/3600)*$I$4+(1-(($D$37*G25)/3600))*$K$4</f>
        <v>0.01</v>
      </c>
      <c r="J25" s="22">
        <f t="shared" ref="J25:J46" si="2">(($D$37*G25)/3600)*$J$5+(1-(($D$37*G25)/3600))*$K$5</f>
        <v>0.15</v>
      </c>
      <c r="K25" s="22">
        <f t="shared" ref="K25:K46" si="3">(($D$37*G25)/3600)*$J$6+(1-(($D$37*G25)/3600))*$K$6</f>
        <v>0.15</v>
      </c>
      <c r="L25" s="22">
        <f t="shared" ref="L25:L46" si="4">(($D$37*G25)/3600)*$I$7+(1-(($D$37*G25)/3600))*$K$7</f>
        <v>1.6000000000000001E-3</v>
      </c>
      <c r="M25" s="22">
        <f>(($D$37*G25)/3600)*$I$8+(1-(($D$37*G25)/3600))*$J$8</f>
        <v>1.12E-2</v>
      </c>
      <c r="N25" s="22">
        <f>(($D$37*G25)/3600)*$I$9+(1-(($D$37*G25)/3600))*$J$9</f>
        <v>1.1999999999999999E-3</v>
      </c>
      <c r="O25" s="22">
        <f>(($D$37*G25)/3600)*$I$10+(1-(($D$37*G25)/3600))*$J$10</f>
        <v>5.0000000000000001E-3</v>
      </c>
      <c r="P25" s="48">
        <f>(($D$37*G25)/3600)*$J$11+(1-(($D$37*G25)/3600))*$K$11</f>
        <v>5.0000000000000001E-3</v>
      </c>
      <c r="Q25" s="48">
        <f>(($D$37*G25)/3600)*$I$12+(1-(($D$37*G25)/3600))*$J$12</f>
        <v>1.1999999999999999E-3</v>
      </c>
      <c r="R25" s="31"/>
    </row>
    <row r="26" spans="2:18" ht="17" thickBot="1" x14ac:dyDescent="0.25">
      <c r="F26" s="2">
        <v>8.3333333333333301E-2</v>
      </c>
      <c r="G26" s="3">
        <v>0</v>
      </c>
      <c r="H26" s="3">
        <f t="shared" si="0"/>
        <v>3.5000000000000003E-2</v>
      </c>
      <c r="I26" s="3">
        <f t="shared" si="1"/>
        <v>0.01</v>
      </c>
      <c r="J26" s="22">
        <f t="shared" si="2"/>
        <v>0.15</v>
      </c>
      <c r="K26" s="22">
        <f t="shared" si="3"/>
        <v>0.15</v>
      </c>
      <c r="L26" s="22">
        <f t="shared" si="4"/>
        <v>1.6000000000000001E-3</v>
      </c>
      <c r="M26" s="22">
        <f t="shared" ref="M26:M46" si="5">(($D$37*G26)/3600)*$I$8+(1-(($D$37*G26)/3600))*$J$8</f>
        <v>1.12E-2</v>
      </c>
      <c r="N26" s="22">
        <f t="shared" ref="N26:N46" si="6">(($D$37*G26)/3600)*$I$9+(1-(($D$37*G26)/3600))*$J$9</f>
        <v>1.1999999999999999E-3</v>
      </c>
      <c r="O26" s="22">
        <f t="shared" ref="O26:O46" si="7">(($D$37*G26)/3600)*$I$10+(1-(($D$37*G26)/3600))*$J$10</f>
        <v>5.0000000000000001E-3</v>
      </c>
      <c r="P26" s="48">
        <f t="shared" ref="P26:P46" si="8">(($D$37*G26)/3600)*$J$11+(1-(($D$37*G26)/3600))*$K$11</f>
        <v>5.0000000000000001E-3</v>
      </c>
      <c r="Q26" s="48">
        <f t="shared" ref="Q26:Q48" si="9">(($D$37*G26)/3600)*$I$12+(1-(($D$37*G26)/3600))*$J$12</f>
        <v>1.1999999999999999E-3</v>
      </c>
    </row>
    <row r="27" spans="2:18" x14ac:dyDescent="0.2">
      <c r="B27" s="54" t="s">
        <v>39</v>
      </c>
      <c r="C27" s="55"/>
      <c r="D27" s="4"/>
      <c r="E27" s="4"/>
      <c r="F27" s="2">
        <v>0.125</v>
      </c>
      <c r="G27" s="3">
        <v>0</v>
      </c>
      <c r="H27" s="3">
        <f t="shared" si="0"/>
        <v>3.5000000000000003E-2</v>
      </c>
      <c r="I27" s="3">
        <f t="shared" si="1"/>
        <v>0.01</v>
      </c>
      <c r="J27" s="22">
        <f t="shared" si="2"/>
        <v>0.15</v>
      </c>
      <c r="K27" s="22">
        <f t="shared" si="3"/>
        <v>0.15</v>
      </c>
      <c r="L27" s="22">
        <f t="shared" si="4"/>
        <v>1.6000000000000001E-3</v>
      </c>
      <c r="M27" s="22">
        <f t="shared" si="5"/>
        <v>1.12E-2</v>
      </c>
      <c r="N27" s="22">
        <f t="shared" si="6"/>
        <v>1.1999999999999999E-3</v>
      </c>
      <c r="O27" s="22">
        <f t="shared" si="7"/>
        <v>5.0000000000000001E-3</v>
      </c>
      <c r="P27" s="48">
        <f t="shared" si="8"/>
        <v>5.0000000000000001E-3</v>
      </c>
      <c r="Q27" s="48">
        <f t="shared" si="9"/>
        <v>1.1999999999999999E-3</v>
      </c>
    </row>
    <row r="28" spans="2:18" x14ac:dyDescent="0.2">
      <c r="B28" s="56"/>
      <c r="C28" s="57"/>
      <c r="D28" s="4"/>
      <c r="E28" s="4"/>
      <c r="F28" s="2">
        <v>0.16666666666666699</v>
      </c>
      <c r="G28" s="3">
        <v>0</v>
      </c>
      <c r="H28" s="3">
        <f t="shared" si="0"/>
        <v>3.5000000000000003E-2</v>
      </c>
      <c r="I28" s="3">
        <f t="shared" si="1"/>
        <v>0.01</v>
      </c>
      <c r="J28" s="22">
        <f t="shared" si="2"/>
        <v>0.15</v>
      </c>
      <c r="K28" s="22">
        <f t="shared" si="3"/>
        <v>0.15</v>
      </c>
      <c r="L28" s="22">
        <f t="shared" si="4"/>
        <v>1.6000000000000001E-3</v>
      </c>
      <c r="M28" s="22">
        <f t="shared" si="5"/>
        <v>1.12E-2</v>
      </c>
      <c r="N28" s="22">
        <f t="shared" si="6"/>
        <v>1.1999999999999999E-3</v>
      </c>
      <c r="O28" s="22">
        <f t="shared" si="7"/>
        <v>5.0000000000000001E-3</v>
      </c>
      <c r="P28" s="48">
        <f t="shared" si="8"/>
        <v>5.0000000000000001E-3</v>
      </c>
      <c r="Q28" s="48">
        <f t="shared" si="9"/>
        <v>1.1999999999999999E-3</v>
      </c>
    </row>
    <row r="29" spans="2:18" ht="17" thickBot="1" x14ac:dyDescent="0.25">
      <c r="B29" s="58"/>
      <c r="C29" s="59"/>
      <c r="D29" s="4"/>
      <c r="E29" s="4"/>
      <c r="F29" s="2">
        <v>0.20833333333333301</v>
      </c>
      <c r="G29" s="3">
        <v>0</v>
      </c>
      <c r="H29" s="3">
        <f t="shared" si="0"/>
        <v>3.5000000000000003E-2</v>
      </c>
      <c r="I29" s="3">
        <f t="shared" si="1"/>
        <v>0.01</v>
      </c>
      <c r="J29" s="22">
        <f t="shared" si="2"/>
        <v>0.15</v>
      </c>
      <c r="K29" s="22">
        <f t="shared" si="3"/>
        <v>0.15</v>
      </c>
      <c r="L29" s="22">
        <f t="shared" si="4"/>
        <v>1.6000000000000001E-3</v>
      </c>
      <c r="M29" s="22">
        <f t="shared" si="5"/>
        <v>1.12E-2</v>
      </c>
      <c r="N29" s="22">
        <f t="shared" si="6"/>
        <v>1.1999999999999999E-3</v>
      </c>
      <c r="O29" s="22">
        <f t="shared" si="7"/>
        <v>5.0000000000000001E-3</v>
      </c>
      <c r="P29" s="48">
        <f t="shared" si="8"/>
        <v>5.0000000000000001E-3</v>
      </c>
      <c r="Q29" s="48">
        <f t="shared" si="9"/>
        <v>1.1999999999999999E-3</v>
      </c>
    </row>
    <row r="30" spans="2:18" x14ac:dyDescent="0.2">
      <c r="F30" s="2">
        <v>0.25</v>
      </c>
      <c r="G30" s="3">
        <v>0</v>
      </c>
      <c r="H30" s="3">
        <f t="shared" si="0"/>
        <v>3.5000000000000003E-2</v>
      </c>
      <c r="I30" s="3">
        <f t="shared" si="1"/>
        <v>0.01</v>
      </c>
      <c r="J30" s="22">
        <f t="shared" si="2"/>
        <v>0.15</v>
      </c>
      <c r="K30" s="22">
        <f t="shared" si="3"/>
        <v>0.15</v>
      </c>
      <c r="L30" s="22">
        <f t="shared" si="4"/>
        <v>1.6000000000000001E-3</v>
      </c>
      <c r="M30" s="22">
        <f t="shared" si="5"/>
        <v>1.12E-2</v>
      </c>
      <c r="N30" s="22">
        <f t="shared" si="6"/>
        <v>1.1999999999999999E-3</v>
      </c>
      <c r="O30" s="22">
        <f t="shared" si="7"/>
        <v>5.0000000000000001E-3</v>
      </c>
      <c r="P30" s="48">
        <f t="shared" si="8"/>
        <v>5.0000000000000001E-3</v>
      </c>
      <c r="Q30" s="48">
        <f t="shared" si="9"/>
        <v>1.1999999999999999E-3</v>
      </c>
    </row>
    <row r="31" spans="2:18" x14ac:dyDescent="0.2">
      <c r="C31" s="5" t="s">
        <v>50</v>
      </c>
      <c r="D31" s="5">
        <v>5</v>
      </c>
      <c r="F31" s="2">
        <v>0.29166666666666702</v>
      </c>
      <c r="G31" s="3">
        <v>20</v>
      </c>
      <c r="H31" s="3">
        <f t="shared" si="0"/>
        <v>0.36736111111111108</v>
      </c>
      <c r="I31" s="3">
        <f t="shared" si="1"/>
        <v>0.10138888888888889</v>
      </c>
      <c r="J31" s="22">
        <f t="shared" si="2"/>
        <v>0.97916666666666652</v>
      </c>
      <c r="K31" s="22">
        <f t="shared" si="3"/>
        <v>0.97916666666666652</v>
      </c>
      <c r="L31" s="22">
        <f t="shared" si="4"/>
        <v>6.2666666666666676E-2</v>
      </c>
      <c r="M31" s="22">
        <f t="shared" si="5"/>
        <v>0.17755555555555555</v>
      </c>
      <c r="N31" s="22">
        <f t="shared" si="6"/>
        <v>0.20672222222222222</v>
      </c>
      <c r="O31" s="22">
        <f t="shared" si="7"/>
        <v>4.6527777777777779E-2</v>
      </c>
      <c r="P31" s="48">
        <f t="shared" si="8"/>
        <v>0.56041666666666667</v>
      </c>
      <c r="Q31" s="48">
        <f t="shared" si="9"/>
        <v>0.20672222222222222</v>
      </c>
    </row>
    <row r="32" spans="2:18" ht="17" thickBot="1" x14ac:dyDescent="0.25">
      <c r="F32" s="2">
        <v>0.33333333333333298</v>
      </c>
      <c r="G32" s="3">
        <v>25</v>
      </c>
      <c r="H32" s="3">
        <f t="shared" si="0"/>
        <v>0.45045138888888892</v>
      </c>
      <c r="I32" s="3">
        <f t="shared" si="1"/>
        <v>0.1242361111111111</v>
      </c>
      <c r="J32" s="22">
        <f t="shared" si="2"/>
        <v>1.1864583333333334</v>
      </c>
      <c r="K32" s="22">
        <f t="shared" si="3"/>
        <v>1.1864583333333334</v>
      </c>
      <c r="L32" s="22">
        <f t="shared" si="4"/>
        <v>7.7933333333333341E-2</v>
      </c>
      <c r="M32" s="22">
        <f t="shared" si="5"/>
        <v>0.21914444444444445</v>
      </c>
      <c r="N32" s="22">
        <f t="shared" si="6"/>
        <v>0.25810277777777779</v>
      </c>
      <c r="O32" s="22">
        <f t="shared" si="7"/>
        <v>5.6909722222222223E-2</v>
      </c>
      <c r="P32" s="48">
        <f t="shared" si="8"/>
        <v>0.69927083333333329</v>
      </c>
      <c r="Q32" s="48">
        <f t="shared" si="9"/>
        <v>0.25810277777777779</v>
      </c>
    </row>
    <row r="33" spans="2:17" x14ac:dyDescent="0.2">
      <c r="B33" s="54" t="s">
        <v>40</v>
      </c>
      <c r="C33" s="55"/>
      <c r="D33" s="4"/>
      <c r="E33" s="4"/>
      <c r="F33" s="2">
        <v>0.375</v>
      </c>
      <c r="G33" s="3">
        <v>16</v>
      </c>
      <c r="H33" s="3">
        <f t="shared" si="0"/>
        <v>0.30088888888888887</v>
      </c>
      <c r="I33" s="3">
        <f t="shared" si="1"/>
        <v>8.3111111111111108E-2</v>
      </c>
      <c r="J33" s="22">
        <f t="shared" si="2"/>
        <v>0.81333333333333346</v>
      </c>
      <c r="K33" s="22">
        <f t="shared" si="3"/>
        <v>0.81333333333333346</v>
      </c>
      <c r="L33" s="22">
        <f t="shared" si="4"/>
        <v>5.0453333333333336E-2</v>
      </c>
      <c r="M33" s="22">
        <f t="shared" si="5"/>
        <v>0.14428444444444444</v>
      </c>
      <c r="N33" s="22">
        <f t="shared" si="6"/>
        <v>0.16561777777777778</v>
      </c>
      <c r="O33" s="22">
        <f t="shared" si="7"/>
        <v>3.822222222222222E-2</v>
      </c>
      <c r="P33" s="48">
        <f t="shared" si="8"/>
        <v>0.44933333333333336</v>
      </c>
      <c r="Q33" s="48">
        <f t="shared" si="9"/>
        <v>0.16561777777777778</v>
      </c>
    </row>
    <row r="34" spans="2:17" x14ac:dyDescent="0.2">
      <c r="B34" s="56"/>
      <c r="C34" s="57"/>
      <c r="D34" s="4"/>
      <c r="E34" s="4"/>
      <c r="F34" s="2">
        <v>0.41666666666666702</v>
      </c>
      <c r="G34" s="3">
        <v>7</v>
      </c>
      <c r="H34" s="3">
        <f t="shared" si="0"/>
        <v>0.15132638888888889</v>
      </c>
      <c r="I34" s="3">
        <f t="shared" si="1"/>
        <v>4.1986111111111113E-2</v>
      </c>
      <c r="J34" s="22">
        <f t="shared" si="2"/>
        <v>0.44020833333333331</v>
      </c>
      <c r="K34" s="22">
        <f t="shared" si="3"/>
        <v>0.44020833333333331</v>
      </c>
      <c r="L34" s="22">
        <f t="shared" si="4"/>
        <v>2.2973333333333335E-2</v>
      </c>
      <c r="M34" s="22">
        <f t="shared" si="5"/>
        <v>6.9424444444444441E-2</v>
      </c>
      <c r="N34" s="22">
        <f t="shared" si="6"/>
        <v>7.3132777777777783E-2</v>
      </c>
      <c r="O34" s="22">
        <f t="shared" si="7"/>
        <v>1.9534722222222224E-2</v>
      </c>
      <c r="P34" s="48">
        <f t="shared" si="8"/>
        <v>0.19939583333333333</v>
      </c>
      <c r="Q34" s="48">
        <f t="shared" si="9"/>
        <v>7.3132777777777783E-2</v>
      </c>
    </row>
    <row r="35" spans="2:17" ht="17" thickBot="1" x14ac:dyDescent="0.25">
      <c r="B35" s="58"/>
      <c r="C35" s="59"/>
      <c r="D35" s="4"/>
      <c r="E35" s="4"/>
      <c r="F35" s="2">
        <v>0.45833333333333298</v>
      </c>
      <c r="G35" s="3">
        <v>7</v>
      </c>
      <c r="H35" s="3">
        <f t="shared" si="0"/>
        <v>0.15132638888888889</v>
      </c>
      <c r="I35" s="3">
        <f t="shared" si="1"/>
        <v>4.1986111111111113E-2</v>
      </c>
      <c r="J35" s="22">
        <f t="shared" si="2"/>
        <v>0.44020833333333331</v>
      </c>
      <c r="K35" s="22">
        <f t="shared" si="3"/>
        <v>0.44020833333333331</v>
      </c>
      <c r="L35" s="22">
        <f t="shared" si="4"/>
        <v>2.2973333333333335E-2</v>
      </c>
      <c r="M35" s="22">
        <f t="shared" si="5"/>
        <v>6.9424444444444441E-2</v>
      </c>
      <c r="N35" s="22">
        <f t="shared" si="6"/>
        <v>7.3132777777777783E-2</v>
      </c>
      <c r="O35" s="22">
        <f t="shared" si="7"/>
        <v>1.9534722222222224E-2</v>
      </c>
      <c r="P35" s="48">
        <f t="shared" si="8"/>
        <v>0.19939583333333333</v>
      </c>
      <c r="Q35" s="48">
        <f t="shared" si="9"/>
        <v>7.3132777777777783E-2</v>
      </c>
    </row>
    <row r="36" spans="2:17" x14ac:dyDescent="0.2">
      <c r="F36" s="2">
        <v>0.5</v>
      </c>
      <c r="G36" s="3">
        <v>3</v>
      </c>
      <c r="H36" s="3">
        <f t="shared" si="0"/>
        <v>8.4854166666666675E-2</v>
      </c>
      <c r="I36" s="3">
        <f t="shared" si="1"/>
        <v>2.3708333333333331E-2</v>
      </c>
      <c r="J36" s="22">
        <f t="shared" si="2"/>
        <v>0.27437500000000004</v>
      </c>
      <c r="K36" s="22">
        <f t="shared" si="3"/>
        <v>0.27437500000000004</v>
      </c>
      <c r="L36" s="22">
        <f t="shared" si="4"/>
        <v>1.076E-2</v>
      </c>
      <c r="M36" s="22">
        <f t="shared" si="5"/>
        <v>3.6153333333333336E-2</v>
      </c>
      <c r="N36" s="22">
        <f t="shared" si="6"/>
        <v>3.2028333333333332E-2</v>
      </c>
      <c r="O36" s="22">
        <f t="shared" si="7"/>
        <v>1.1229166666666667E-2</v>
      </c>
      <c r="P36" s="48">
        <f t="shared" si="8"/>
        <v>8.8312499999999988E-2</v>
      </c>
      <c r="Q36" s="48">
        <f t="shared" si="9"/>
        <v>3.2028333333333332E-2</v>
      </c>
    </row>
    <row r="37" spans="2:17" x14ac:dyDescent="0.2">
      <c r="C37" s="5" t="s">
        <v>41</v>
      </c>
      <c r="D37" s="5">
        <v>5</v>
      </c>
      <c r="F37" s="2">
        <v>0.54166666666666696</v>
      </c>
      <c r="G37" s="3">
        <v>2</v>
      </c>
      <c r="H37" s="3">
        <f t="shared" si="0"/>
        <v>6.8236111111111108E-2</v>
      </c>
      <c r="I37" s="3">
        <f t="shared" si="1"/>
        <v>1.9138888888888889E-2</v>
      </c>
      <c r="J37" s="22">
        <f t="shared" si="2"/>
        <v>0.23291666666666666</v>
      </c>
      <c r="K37" s="22">
        <f t="shared" si="3"/>
        <v>0.23291666666666666</v>
      </c>
      <c r="L37" s="22">
        <f t="shared" si="4"/>
        <v>7.7066666666666672E-3</v>
      </c>
      <c r="M37" s="22">
        <f t="shared" si="5"/>
        <v>2.7835555555555558E-2</v>
      </c>
      <c r="N37" s="22">
        <f t="shared" si="6"/>
        <v>2.1752222222222221E-2</v>
      </c>
      <c r="O37" s="22">
        <f t="shared" si="7"/>
        <v>9.152777777777777E-3</v>
      </c>
      <c r="P37" s="48">
        <f t="shared" si="8"/>
        <v>6.0541666666666674E-2</v>
      </c>
      <c r="Q37" s="48">
        <f t="shared" si="9"/>
        <v>2.1752222222222221E-2</v>
      </c>
    </row>
    <row r="38" spans="2:17" x14ac:dyDescent="0.2">
      <c r="F38" s="2">
        <v>0.58333333333333304</v>
      </c>
      <c r="G38" s="3">
        <v>3</v>
      </c>
      <c r="H38" s="3">
        <f t="shared" si="0"/>
        <v>8.4854166666666675E-2</v>
      </c>
      <c r="I38" s="3">
        <f t="shared" si="1"/>
        <v>2.3708333333333331E-2</v>
      </c>
      <c r="J38" s="22">
        <f t="shared" si="2"/>
        <v>0.27437500000000004</v>
      </c>
      <c r="K38" s="22">
        <f t="shared" si="3"/>
        <v>0.27437500000000004</v>
      </c>
      <c r="L38" s="22">
        <f t="shared" si="4"/>
        <v>1.076E-2</v>
      </c>
      <c r="M38" s="22">
        <f t="shared" si="5"/>
        <v>3.6153333333333336E-2</v>
      </c>
      <c r="N38" s="22">
        <f t="shared" si="6"/>
        <v>3.2028333333333332E-2</v>
      </c>
      <c r="O38" s="22">
        <f t="shared" si="7"/>
        <v>1.1229166666666667E-2</v>
      </c>
      <c r="P38" s="48">
        <f t="shared" si="8"/>
        <v>8.8312499999999988E-2</v>
      </c>
      <c r="Q38" s="48">
        <f t="shared" si="9"/>
        <v>3.2028333333333332E-2</v>
      </c>
    </row>
    <row r="39" spans="2:17" x14ac:dyDescent="0.2">
      <c r="F39" s="2">
        <v>0.625</v>
      </c>
      <c r="G39" s="3">
        <v>9</v>
      </c>
      <c r="H39" s="3">
        <f t="shared" si="0"/>
        <v>0.18456250000000002</v>
      </c>
      <c r="I39" s="3">
        <f t="shared" si="1"/>
        <v>5.1125000000000004E-2</v>
      </c>
      <c r="J39" s="22">
        <f t="shared" si="2"/>
        <v>0.52312500000000006</v>
      </c>
      <c r="K39" s="22">
        <f t="shared" si="3"/>
        <v>0.52312500000000006</v>
      </c>
      <c r="L39" s="22">
        <f t="shared" si="4"/>
        <v>2.9080000000000005E-2</v>
      </c>
      <c r="M39" s="22">
        <f t="shared" si="5"/>
        <v>8.6060000000000011E-2</v>
      </c>
      <c r="N39" s="22">
        <f t="shared" si="6"/>
        <v>9.3685000000000018E-2</v>
      </c>
      <c r="O39" s="22">
        <f t="shared" si="7"/>
        <v>2.3687500000000004E-2</v>
      </c>
      <c r="P39" s="48">
        <f t="shared" si="8"/>
        <v>0.25493749999999998</v>
      </c>
      <c r="Q39" s="48">
        <f t="shared" si="9"/>
        <v>9.3685000000000018E-2</v>
      </c>
    </row>
    <row r="40" spans="2:17" x14ac:dyDescent="0.2">
      <c r="F40" s="2">
        <v>0.66666666666666696</v>
      </c>
      <c r="G40" s="3">
        <v>14</v>
      </c>
      <c r="H40" s="3">
        <f t="shared" si="0"/>
        <v>0.26765277777777779</v>
      </c>
      <c r="I40" s="3">
        <f t="shared" si="1"/>
        <v>7.3972222222222217E-2</v>
      </c>
      <c r="J40" s="22">
        <f t="shared" si="2"/>
        <v>0.73041666666666671</v>
      </c>
      <c r="K40" s="22">
        <f t="shared" si="3"/>
        <v>0.73041666666666671</v>
      </c>
      <c r="L40" s="22">
        <f t="shared" si="4"/>
        <v>4.4346666666666673E-2</v>
      </c>
      <c r="M40" s="22">
        <f t="shared" si="5"/>
        <v>0.1276488888888889</v>
      </c>
      <c r="N40" s="22">
        <f t="shared" si="6"/>
        <v>0.14506555555555556</v>
      </c>
      <c r="O40" s="22">
        <f t="shared" si="7"/>
        <v>3.4069444444444444E-2</v>
      </c>
      <c r="P40" s="48">
        <f t="shared" si="8"/>
        <v>0.39379166666666665</v>
      </c>
      <c r="Q40" s="48">
        <f t="shared" si="9"/>
        <v>0.14506555555555556</v>
      </c>
    </row>
    <row r="41" spans="2:17" x14ac:dyDescent="0.2">
      <c r="F41" s="2">
        <v>0.70833333333333304</v>
      </c>
      <c r="G41" s="3">
        <v>16</v>
      </c>
      <c r="H41" s="3">
        <f t="shared" si="0"/>
        <v>0.30088888888888887</v>
      </c>
      <c r="I41" s="3">
        <f t="shared" si="1"/>
        <v>8.3111111111111108E-2</v>
      </c>
      <c r="J41" s="22">
        <f t="shared" si="2"/>
        <v>0.81333333333333346</v>
      </c>
      <c r="K41" s="22">
        <f t="shared" si="3"/>
        <v>0.81333333333333346</v>
      </c>
      <c r="L41" s="22">
        <f t="shared" si="4"/>
        <v>5.0453333333333336E-2</v>
      </c>
      <c r="M41" s="22">
        <f t="shared" si="5"/>
        <v>0.14428444444444444</v>
      </c>
      <c r="N41" s="22">
        <f t="shared" si="6"/>
        <v>0.16561777777777778</v>
      </c>
      <c r="O41" s="22">
        <f t="shared" si="7"/>
        <v>3.822222222222222E-2</v>
      </c>
      <c r="P41" s="48">
        <f t="shared" si="8"/>
        <v>0.44933333333333336</v>
      </c>
      <c r="Q41" s="48">
        <f t="shared" si="9"/>
        <v>0.16561777777777778</v>
      </c>
    </row>
    <row r="42" spans="2:17" x14ac:dyDescent="0.2">
      <c r="F42" s="2">
        <v>0.75</v>
      </c>
      <c r="G42" s="3">
        <v>4</v>
      </c>
      <c r="H42" s="3">
        <f t="shared" si="0"/>
        <v>0.10147222222222223</v>
      </c>
      <c r="I42" s="3">
        <f t="shared" si="1"/>
        <v>2.8277777777777777E-2</v>
      </c>
      <c r="J42" s="22">
        <f t="shared" si="2"/>
        <v>0.31583333333333335</v>
      </c>
      <c r="K42" s="22">
        <f t="shared" si="3"/>
        <v>0.31583333333333335</v>
      </c>
      <c r="L42" s="22">
        <f t="shared" si="4"/>
        <v>1.3813333333333334E-2</v>
      </c>
      <c r="M42" s="22">
        <f t="shared" si="5"/>
        <v>4.4471111111111114E-2</v>
      </c>
      <c r="N42" s="22">
        <f t="shared" si="6"/>
        <v>4.2304444444444443E-2</v>
      </c>
      <c r="O42" s="22">
        <f t="shared" si="7"/>
        <v>1.3305555555555557E-2</v>
      </c>
      <c r="P42" s="48">
        <f t="shared" si="8"/>
        <v>0.11608333333333334</v>
      </c>
      <c r="Q42" s="48">
        <f t="shared" si="9"/>
        <v>4.2304444444444443E-2</v>
      </c>
    </row>
    <row r="43" spans="2:17" x14ac:dyDescent="0.2">
      <c r="F43" s="2">
        <v>0.79166666666666696</v>
      </c>
      <c r="G43" s="3">
        <v>6</v>
      </c>
      <c r="H43" s="3">
        <f t="shared" si="0"/>
        <v>0.13470833333333335</v>
      </c>
      <c r="I43" s="3">
        <f t="shared" si="1"/>
        <v>3.7416666666666668E-2</v>
      </c>
      <c r="J43" s="22">
        <f t="shared" si="2"/>
        <v>0.39874999999999999</v>
      </c>
      <c r="K43" s="22">
        <f t="shared" si="3"/>
        <v>0.39874999999999999</v>
      </c>
      <c r="L43" s="22">
        <f t="shared" si="4"/>
        <v>1.992E-2</v>
      </c>
      <c r="M43" s="22">
        <f t="shared" si="5"/>
        <v>6.110666666666667E-2</v>
      </c>
      <c r="N43" s="22">
        <f t="shared" si="6"/>
        <v>6.2856666666666672E-2</v>
      </c>
      <c r="O43" s="22">
        <f t="shared" si="7"/>
        <v>1.7458333333333333E-2</v>
      </c>
      <c r="P43" s="48">
        <f t="shared" si="8"/>
        <v>0.171625</v>
      </c>
      <c r="Q43" s="48">
        <f t="shared" si="9"/>
        <v>6.2856666666666672E-2</v>
      </c>
    </row>
    <row r="44" spans="2:17" x14ac:dyDescent="0.2">
      <c r="F44" s="2">
        <v>0.83333333333333304</v>
      </c>
      <c r="G44" s="3">
        <v>7</v>
      </c>
      <c r="H44" s="3">
        <f t="shared" si="0"/>
        <v>0.15132638888888889</v>
      </c>
      <c r="I44" s="3">
        <f t="shared" si="1"/>
        <v>4.1986111111111113E-2</v>
      </c>
      <c r="J44" s="22">
        <f t="shared" si="2"/>
        <v>0.44020833333333331</v>
      </c>
      <c r="K44" s="22">
        <f t="shared" si="3"/>
        <v>0.44020833333333331</v>
      </c>
      <c r="L44" s="22">
        <f t="shared" si="4"/>
        <v>2.2973333333333335E-2</v>
      </c>
      <c r="M44" s="22">
        <f t="shared" si="5"/>
        <v>6.9424444444444441E-2</v>
      </c>
      <c r="N44" s="22">
        <f t="shared" si="6"/>
        <v>7.3132777777777783E-2</v>
      </c>
      <c r="O44" s="22">
        <f t="shared" si="7"/>
        <v>1.9534722222222224E-2</v>
      </c>
      <c r="P44" s="48">
        <f t="shared" si="8"/>
        <v>0.19939583333333333</v>
      </c>
      <c r="Q44" s="48">
        <f t="shared" si="9"/>
        <v>7.3132777777777783E-2</v>
      </c>
    </row>
    <row r="45" spans="2:17" x14ac:dyDescent="0.2">
      <c r="F45" s="2">
        <v>0.875</v>
      </c>
      <c r="G45" s="3">
        <v>0</v>
      </c>
      <c r="H45" s="3">
        <f t="shared" si="0"/>
        <v>3.5000000000000003E-2</v>
      </c>
      <c r="I45" s="3">
        <f t="shared" si="1"/>
        <v>0.01</v>
      </c>
      <c r="J45" s="22">
        <f t="shared" si="2"/>
        <v>0.15</v>
      </c>
      <c r="K45" s="22">
        <f t="shared" si="3"/>
        <v>0.15</v>
      </c>
      <c r="L45" s="22">
        <f t="shared" si="4"/>
        <v>1.6000000000000001E-3</v>
      </c>
      <c r="M45" s="22">
        <f t="shared" si="5"/>
        <v>1.12E-2</v>
      </c>
      <c r="N45" s="22">
        <f t="shared" si="6"/>
        <v>1.1999999999999999E-3</v>
      </c>
      <c r="O45" s="22">
        <f t="shared" si="7"/>
        <v>5.0000000000000001E-3</v>
      </c>
      <c r="P45" s="48">
        <f t="shared" si="8"/>
        <v>5.0000000000000001E-3</v>
      </c>
      <c r="Q45" s="48">
        <f t="shared" si="9"/>
        <v>1.1999999999999999E-3</v>
      </c>
    </row>
    <row r="46" spans="2:17" x14ac:dyDescent="0.2">
      <c r="F46" s="2">
        <v>0.91666666666666696</v>
      </c>
      <c r="G46" s="3">
        <v>0</v>
      </c>
      <c r="H46" s="3">
        <f t="shared" si="0"/>
        <v>3.5000000000000003E-2</v>
      </c>
      <c r="I46" s="3">
        <f t="shared" si="1"/>
        <v>0.01</v>
      </c>
      <c r="J46" s="22">
        <f t="shared" si="2"/>
        <v>0.15</v>
      </c>
      <c r="K46" s="22">
        <f t="shared" si="3"/>
        <v>0.15</v>
      </c>
      <c r="L46" s="22">
        <f t="shared" si="4"/>
        <v>1.6000000000000001E-3</v>
      </c>
      <c r="M46" s="22">
        <f t="shared" si="5"/>
        <v>1.12E-2</v>
      </c>
      <c r="N46" s="22">
        <f t="shared" si="6"/>
        <v>1.1999999999999999E-3</v>
      </c>
      <c r="O46" s="22">
        <f t="shared" si="7"/>
        <v>5.0000000000000001E-3</v>
      </c>
      <c r="P46" s="48">
        <f t="shared" si="8"/>
        <v>5.0000000000000001E-3</v>
      </c>
      <c r="Q46" s="48">
        <f t="shared" si="9"/>
        <v>1.1999999999999999E-3</v>
      </c>
    </row>
    <row r="47" spans="2:17" ht="16" customHeight="1" x14ac:dyDescent="0.2">
      <c r="F47" s="2">
        <v>0.95833333333333304</v>
      </c>
      <c r="G47" s="3">
        <v>0</v>
      </c>
      <c r="H47" s="3">
        <f>($D$19/3600)*$G$3+(1-($D$19/3600))*$K$3</f>
        <v>4.745138888888889E-2</v>
      </c>
      <c r="I47" s="22">
        <f>($D$19/3600)*$G$4+(1-($D$19/3600))*$K$4</f>
        <v>1.5958333333333331E-2</v>
      </c>
      <c r="J47" s="22">
        <f>($D$19/3600)*$G$5+(1-($D$19/3600))*$K$5</f>
        <v>0.33034722222222224</v>
      </c>
      <c r="K47" s="22">
        <f>($D$19/3600)*$G$6+(1-($D$19/3600))*$K$6</f>
        <v>0.33034722222222224</v>
      </c>
      <c r="L47" s="3">
        <f>($D$19/3600)*$G$7+(1-($D$19/3600))*$K$7</f>
        <v>9.3755555555555554E-3</v>
      </c>
      <c r="M47" s="3">
        <f>($D$19/3600)*$G$8+(1-($D$19/3600))*$J$8</f>
        <v>2.3684444444444445E-2</v>
      </c>
      <c r="N47" s="3">
        <f>($D$19/3600)*$G$9+(1-($D$19/3600))*$J$9</f>
        <v>2.4253888888888891E-2</v>
      </c>
      <c r="O47" s="3">
        <f>($D$19/3600)*$G$10+(1-($D$19/3600))*$J$10</f>
        <v>2.7215277777777779E-2</v>
      </c>
      <c r="P47" s="49">
        <f>($D$19/3600)*$G$11+(1-($D$19/3600))*$K$11</f>
        <v>0.45638194444444447</v>
      </c>
      <c r="Q47" s="49">
        <f>($D$19/3600)*$G$12+(1-($D$19/3600))*$J$12</f>
        <v>2.4253888888888891E-2</v>
      </c>
    </row>
    <row r="48" spans="2:17" ht="17" thickBot="1" x14ac:dyDescent="0.25">
      <c r="F48" s="2">
        <v>1</v>
      </c>
      <c r="G48" s="6">
        <v>0</v>
      </c>
      <c r="H48" s="3">
        <f>(($D$37*G48)/3600)*$I$3+(1-(($D$37*G48)/3600))*$K$3</f>
        <v>3.5000000000000003E-2</v>
      </c>
      <c r="I48" s="3">
        <f>(($D$37*G48)/3600)*$I$4+(1-(($D$37*G48)/3600))*$K$4</f>
        <v>0.01</v>
      </c>
      <c r="J48" s="22">
        <f>(($D$37*G48)/3600)*$J$5+(1-(($D$37*G48)/3600))*$K$5</f>
        <v>0.15</v>
      </c>
      <c r="K48" s="22">
        <f>(($D$37*G48)/3600)*$J$6+(1-(($D$37*G48)/3600))*$K$6</f>
        <v>0.15</v>
      </c>
      <c r="L48" s="22">
        <f>(($D$37*G48)/3600)*$I$7+(1-(($D$37*G48)/3600))*$K$7</f>
        <v>1.6000000000000001E-3</v>
      </c>
      <c r="M48" s="22">
        <f>(($D$37*G48)/3600)*$I$8+(1-(($D$37*G48)/3600))*$J$8</f>
        <v>1.12E-2</v>
      </c>
      <c r="N48" s="22">
        <f>(($D$37*G48)/3600)*$I$9+(1-(($D$37*G48)/3600))*$J$9</f>
        <v>1.1999999999999999E-3</v>
      </c>
      <c r="O48" s="22">
        <f>(($D$37*G48)/3600)*$I$10+(1-(($D$37*G48)/3600))*$J$10</f>
        <v>5.0000000000000001E-3</v>
      </c>
      <c r="P48" s="48">
        <f>(($D$37*G48)/3600)*$J$11+(1-(($D$37*G48)/3600))*$K$11</f>
        <v>5.0000000000000001E-3</v>
      </c>
      <c r="Q48" s="48">
        <f t="shared" si="9"/>
        <v>1.1999999999999999E-3</v>
      </c>
    </row>
    <row r="49" spans="1:17" x14ac:dyDescent="0.2">
      <c r="G49" s="23" t="s">
        <v>42</v>
      </c>
      <c r="H49" s="24">
        <f>AVERAGE(H25:H48)</f>
        <v>0.13176504629629629</v>
      </c>
      <c r="I49" s="25">
        <f t="shared" ref="I49:Q49" si="10">AVERAGE(I25:I48)</f>
        <v>3.6712962962962968E-2</v>
      </c>
      <c r="J49" s="25">
        <f t="shared" si="10"/>
        <v>0.39762731481481489</v>
      </c>
      <c r="K49" s="25">
        <f t="shared" si="10"/>
        <v>0.39762731481481489</v>
      </c>
      <c r="L49" s="25">
        <f t="shared" si="10"/>
        <v>1.9607870370370369E-2</v>
      </c>
      <c r="M49" s="25">
        <f t="shared" si="10"/>
        <v>5.9893981481481486E-2</v>
      </c>
      <c r="N49" s="25">
        <f t="shared" si="10"/>
        <v>6.1676388888888906E-2</v>
      </c>
      <c r="O49" s="25">
        <f t="shared" si="10"/>
        <v>1.7951388888888892E-2</v>
      </c>
      <c r="P49" s="50">
        <f t="shared" si="10"/>
        <v>0.18464699074074073</v>
      </c>
      <c r="Q49" s="50">
        <f t="shared" si="10"/>
        <v>6.1676388888888906E-2</v>
      </c>
    </row>
    <row r="50" spans="1:17" ht="17" thickBot="1" x14ac:dyDescent="0.25">
      <c r="G50" s="26" t="s">
        <v>74</v>
      </c>
      <c r="H50" s="26">
        <v>2000</v>
      </c>
      <c r="I50" s="26">
        <v>2000</v>
      </c>
      <c r="J50" s="26">
        <v>2000</v>
      </c>
      <c r="K50" s="26">
        <v>2000</v>
      </c>
      <c r="L50" s="26">
        <v>2000</v>
      </c>
      <c r="M50" s="26">
        <v>2500</v>
      </c>
      <c r="N50" s="26">
        <v>2000</v>
      </c>
      <c r="O50" s="26">
        <v>2000</v>
      </c>
      <c r="P50" s="26">
        <v>2000</v>
      </c>
      <c r="Q50" s="26">
        <v>2000</v>
      </c>
    </row>
    <row r="51" spans="1:17" ht="17" thickBot="1" x14ac:dyDescent="0.25">
      <c r="A51" s="16"/>
      <c r="B51" s="16"/>
      <c r="C51" s="16"/>
      <c r="D51" s="16"/>
      <c r="G51" s="27" t="s">
        <v>73</v>
      </c>
      <c r="H51" s="28">
        <f>(H50/H49)/(365*24)</f>
        <v>1.7327091569467499</v>
      </c>
      <c r="I51" s="28">
        <f t="shared" ref="I51:Q51" si="11">(I50/I49)/(365*24)</f>
        <v>6.2187980445335027</v>
      </c>
      <c r="J51" s="28">
        <f t="shared" si="11"/>
        <v>0.57418213934682782</v>
      </c>
      <c r="K51" s="28">
        <f t="shared" si="11"/>
        <v>0.57418213934682782</v>
      </c>
      <c r="L51" s="29">
        <f t="shared" si="11"/>
        <v>11.643819444466907</v>
      </c>
      <c r="M51" s="28">
        <f t="shared" si="11"/>
        <v>4.7648882374286625</v>
      </c>
      <c r="N51" s="30">
        <f t="shared" si="11"/>
        <v>3.7017488604011883</v>
      </c>
      <c r="O51" s="30">
        <f t="shared" si="11"/>
        <v>12.718263956969873</v>
      </c>
      <c r="P51" s="29">
        <f t="shared" si="11"/>
        <v>1.2364702038587316</v>
      </c>
      <c r="Q51" s="29">
        <f t="shared" si="11"/>
        <v>3.7017488604011883</v>
      </c>
    </row>
    <row r="52" spans="1:17" x14ac:dyDescent="0.2">
      <c r="A52" s="16"/>
      <c r="B52" s="32"/>
      <c r="C52" s="32"/>
      <c r="D52" s="31"/>
    </row>
    <row r="53" spans="1:17" x14ac:dyDescent="0.2">
      <c r="A53" s="16"/>
      <c r="B53" s="32"/>
      <c r="C53" s="32"/>
      <c r="D53" s="31"/>
    </row>
    <row r="54" spans="1:17" x14ac:dyDescent="0.2">
      <c r="A54" s="16"/>
      <c r="B54" s="32"/>
      <c r="C54" s="32"/>
      <c r="D54" s="31"/>
      <c r="E54" s="16"/>
      <c r="F54" s="16"/>
      <c r="G54" s="16"/>
      <c r="H54" s="16"/>
    </row>
    <row r="55" spans="1:17" x14ac:dyDescent="0.2">
      <c r="A55" s="16"/>
      <c r="B55" s="16"/>
      <c r="C55" s="16"/>
      <c r="D55" s="16"/>
      <c r="E55" s="17"/>
      <c r="F55" s="17"/>
      <c r="G55" s="17"/>
      <c r="H55" s="17"/>
    </row>
    <row r="56" spans="1:17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7" x14ac:dyDescent="0.2">
      <c r="A57" s="16"/>
      <c r="B57" s="16"/>
      <c r="C57" s="16"/>
      <c r="D57" s="16"/>
      <c r="E57" s="16"/>
      <c r="F57" s="34"/>
      <c r="G57" s="16"/>
      <c r="H57" s="16"/>
      <c r="I57" s="16"/>
      <c r="J57" s="16"/>
      <c r="K57" s="16"/>
      <c r="L57" s="16"/>
      <c r="M57" s="16"/>
      <c r="N57" s="16"/>
      <c r="O57" s="16"/>
    </row>
    <row r="58" spans="1:17" x14ac:dyDescent="0.2">
      <c r="A58" s="16"/>
      <c r="B58" s="32"/>
      <c r="C58" s="32"/>
      <c r="D58" s="31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7" x14ac:dyDescent="0.2">
      <c r="A59" s="16"/>
      <c r="B59" s="32"/>
      <c r="C59" s="32"/>
      <c r="D59" s="31"/>
      <c r="E59" s="16"/>
      <c r="F59" s="16"/>
      <c r="G59" s="53"/>
      <c r="H59" s="53"/>
      <c r="I59" s="16"/>
      <c r="J59" s="16"/>
      <c r="K59" s="16"/>
      <c r="L59" s="16"/>
      <c r="M59" s="16"/>
      <c r="N59" s="16"/>
      <c r="O59" s="16"/>
    </row>
    <row r="60" spans="1:17" x14ac:dyDescent="0.2">
      <c r="A60" s="16"/>
      <c r="B60" s="32"/>
      <c r="C60" s="32"/>
      <c r="D60" s="31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7" x14ac:dyDescent="0.2">
      <c r="A61" s="16"/>
      <c r="B61" s="16"/>
      <c r="C61" s="33"/>
      <c r="D61" s="33"/>
      <c r="E61" s="16"/>
      <c r="F61" s="35"/>
      <c r="G61" s="35"/>
      <c r="H61" s="32"/>
      <c r="I61" s="16"/>
      <c r="J61" s="16"/>
      <c r="K61" s="16"/>
      <c r="L61" s="16"/>
      <c r="M61" s="16"/>
      <c r="N61" s="16"/>
      <c r="O61" s="16"/>
    </row>
    <row r="62" spans="1:17" x14ac:dyDescent="0.2">
      <c r="A62" s="16"/>
      <c r="B62" s="16"/>
      <c r="C62" s="16"/>
      <c r="D62" s="16"/>
      <c r="E62" s="16"/>
      <c r="F62" s="36"/>
      <c r="G62" s="16"/>
      <c r="H62" s="16"/>
      <c r="I62" s="16"/>
      <c r="J62" s="31"/>
      <c r="K62" s="31"/>
      <c r="L62" s="31"/>
      <c r="M62" s="31"/>
      <c r="N62" s="31"/>
      <c r="O62" s="31"/>
    </row>
    <row r="63" spans="1:17" x14ac:dyDescent="0.2">
      <c r="A63" s="16"/>
      <c r="B63" s="16"/>
      <c r="C63" s="16"/>
      <c r="D63" s="16"/>
      <c r="E63" s="16"/>
      <c r="F63" s="36"/>
      <c r="G63" s="16"/>
      <c r="H63" s="16"/>
      <c r="I63" s="16"/>
      <c r="J63" s="31"/>
      <c r="K63" s="31"/>
      <c r="L63" s="31"/>
      <c r="M63" s="31"/>
      <c r="N63" s="31"/>
      <c r="O63" s="31"/>
    </row>
    <row r="64" spans="1:17" x14ac:dyDescent="0.2">
      <c r="A64" s="16"/>
      <c r="B64" s="32"/>
      <c r="C64" s="32"/>
      <c r="D64" s="31"/>
      <c r="E64" s="31"/>
      <c r="F64" s="36"/>
      <c r="G64" s="16"/>
      <c r="H64" s="16"/>
      <c r="I64" s="16"/>
      <c r="J64" s="31"/>
      <c r="K64" s="31"/>
      <c r="L64" s="31"/>
      <c r="M64" s="31"/>
      <c r="N64" s="31"/>
      <c r="O64" s="31"/>
    </row>
    <row r="65" spans="1:15" x14ac:dyDescent="0.2">
      <c r="A65" s="16"/>
      <c r="B65" s="32"/>
      <c r="C65" s="32"/>
      <c r="D65" s="31"/>
      <c r="E65" s="31"/>
      <c r="F65" s="36"/>
      <c r="G65" s="16"/>
      <c r="H65" s="16"/>
      <c r="I65" s="16"/>
      <c r="J65" s="31"/>
      <c r="K65" s="31"/>
      <c r="L65" s="31"/>
      <c r="M65" s="31"/>
      <c r="N65" s="31"/>
      <c r="O65" s="31"/>
    </row>
    <row r="66" spans="1:15" x14ac:dyDescent="0.2">
      <c r="A66" s="16"/>
      <c r="B66" s="32"/>
      <c r="C66" s="32"/>
      <c r="D66" s="31"/>
      <c r="E66" s="31"/>
      <c r="F66" s="36"/>
      <c r="G66" s="16"/>
      <c r="H66" s="16"/>
      <c r="I66" s="16"/>
      <c r="J66" s="16"/>
      <c r="K66" s="16"/>
      <c r="L66" s="16"/>
      <c r="M66" s="16"/>
      <c r="N66" s="16"/>
      <c r="O66" s="16"/>
    </row>
    <row r="67" spans="1:15" x14ac:dyDescent="0.2">
      <c r="A67" s="16"/>
      <c r="B67" s="16"/>
      <c r="C67" s="16"/>
      <c r="D67" s="16"/>
      <c r="E67" s="16"/>
      <c r="F67" s="36"/>
      <c r="G67" s="16"/>
      <c r="H67" s="16"/>
      <c r="I67" s="16"/>
      <c r="J67" s="16"/>
      <c r="K67" s="16"/>
      <c r="L67" s="16"/>
      <c r="M67" s="16"/>
      <c r="N67" s="16"/>
      <c r="O67" s="16"/>
    </row>
    <row r="68" spans="1:15" x14ac:dyDescent="0.2">
      <c r="A68" s="16"/>
      <c r="B68" s="16"/>
      <c r="C68" s="16"/>
      <c r="D68" s="16"/>
      <c r="E68" s="16"/>
      <c r="F68" s="36"/>
      <c r="G68" s="16"/>
      <c r="H68" s="16"/>
      <c r="I68" s="16"/>
      <c r="J68" s="16"/>
      <c r="K68" s="16"/>
      <c r="L68" s="16"/>
      <c r="M68" s="16"/>
      <c r="N68" s="16"/>
      <c r="O68" s="16"/>
    </row>
    <row r="69" spans="1:15" x14ac:dyDescent="0.2">
      <c r="A69" s="16"/>
      <c r="B69" s="16"/>
      <c r="C69" s="16"/>
      <c r="D69" s="16"/>
      <c r="E69" s="16"/>
      <c r="F69" s="36"/>
      <c r="G69" s="16"/>
      <c r="H69" s="16"/>
      <c r="I69" s="16"/>
      <c r="J69" s="16"/>
      <c r="K69" s="16"/>
      <c r="L69" s="16"/>
      <c r="M69" s="16"/>
      <c r="N69" s="16"/>
      <c r="O69" s="16"/>
    </row>
    <row r="70" spans="1:15" x14ac:dyDescent="0.2">
      <c r="A70" s="16"/>
      <c r="B70" s="32"/>
      <c r="C70" s="32"/>
      <c r="D70" s="31"/>
      <c r="E70" s="31"/>
      <c r="F70" s="36"/>
      <c r="G70" s="16"/>
      <c r="H70" s="16"/>
      <c r="I70" s="16"/>
      <c r="J70" s="16"/>
      <c r="K70" s="16"/>
      <c r="L70" s="16"/>
      <c r="M70" s="16"/>
      <c r="N70" s="16"/>
      <c r="O70" s="16"/>
    </row>
    <row r="71" spans="1:15" x14ac:dyDescent="0.2">
      <c r="A71" s="16"/>
      <c r="B71" s="32"/>
      <c r="C71" s="32"/>
      <c r="D71" s="31"/>
      <c r="E71" s="31"/>
      <c r="F71" s="36"/>
      <c r="G71" s="16"/>
      <c r="H71" s="16"/>
      <c r="I71" s="16"/>
      <c r="J71" s="16"/>
      <c r="K71" s="16"/>
      <c r="L71" s="16"/>
      <c r="M71" s="16"/>
      <c r="N71" s="16"/>
      <c r="O71" s="16"/>
    </row>
    <row r="72" spans="1:15" x14ac:dyDescent="0.2">
      <c r="A72" s="16"/>
      <c r="B72" s="32"/>
      <c r="C72" s="32"/>
      <c r="D72" s="31"/>
      <c r="E72" s="31"/>
      <c r="F72" s="36"/>
      <c r="G72" s="16"/>
      <c r="H72" s="16"/>
      <c r="I72" s="16"/>
      <c r="J72" s="35"/>
      <c r="K72" s="35"/>
      <c r="L72" s="16"/>
      <c r="M72" s="16"/>
      <c r="N72" s="16"/>
      <c r="O72" s="16"/>
    </row>
    <row r="73" spans="1:15" x14ac:dyDescent="0.2">
      <c r="A73" s="16"/>
      <c r="B73" s="16"/>
      <c r="C73" s="16"/>
      <c r="D73" s="16"/>
      <c r="E73" s="16"/>
      <c r="F73" s="36"/>
      <c r="G73" s="16"/>
      <c r="H73" s="16"/>
      <c r="I73" s="16"/>
      <c r="J73" s="16"/>
      <c r="K73" s="16"/>
      <c r="L73" s="16"/>
      <c r="M73" s="16"/>
      <c r="N73" s="16"/>
      <c r="O73" s="16"/>
    </row>
    <row r="74" spans="1:15" x14ac:dyDescent="0.2">
      <c r="A74" s="16"/>
      <c r="B74" s="16"/>
      <c r="C74" s="16"/>
      <c r="D74" s="16"/>
      <c r="E74" s="16"/>
      <c r="F74" s="36"/>
      <c r="G74" s="16"/>
      <c r="H74" s="16"/>
      <c r="I74" s="16"/>
      <c r="J74" s="16"/>
      <c r="K74" s="16"/>
      <c r="L74" s="16"/>
      <c r="M74" s="16"/>
      <c r="N74" s="16"/>
      <c r="O74" s="16"/>
    </row>
    <row r="75" spans="1:15" x14ac:dyDescent="0.2">
      <c r="B75" s="16"/>
      <c r="C75" s="16"/>
      <c r="D75" s="16"/>
      <c r="E75" s="16"/>
      <c r="F75" s="36"/>
      <c r="G75" s="16"/>
      <c r="H75" s="16"/>
      <c r="I75" s="16"/>
      <c r="J75" s="16"/>
      <c r="K75" s="16"/>
      <c r="L75" s="16"/>
      <c r="M75" s="16"/>
      <c r="N75" s="16"/>
      <c r="O75" s="16"/>
    </row>
    <row r="76" spans="1:15" x14ac:dyDescent="0.2">
      <c r="B76" s="16"/>
      <c r="C76" s="16"/>
      <c r="D76" s="16"/>
      <c r="E76" s="16"/>
      <c r="F76" s="36"/>
      <c r="G76" s="16"/>
      <c r="H76" s="16"/>
      <c r="I76" s="16"/>
      <c r="J76" s="16"/>
      <c r="K76" s="16"/>
      <c r="L76" s="16"/>
      <c r="M76" s="16"/>
      <c r="N76" s="16"/>
      <c r="O76" s="16"/>
    </row>
    <row r="77" spans="1:15" x14ac:dyDescent="0.2">
      <c r="B77" s="16"/>
      <c r="C77" s="16"/>
      <c r="D77" s="16"/>
      <c r="E77" s="16"/>
      <c r="F77" s="36"/>
      <c r="G77" s="16"/>
      <c r="H77" s="16"/>
      <c r="I77" s="16"/>
      <c r="J77" s="16"/>
      <c r="K77" s="16"/>
      <c r="L77" s="16"/>
      <c r="M77" s="16"/>
      <c r="N77" s="16"/>
      <c r="O77" s="16"/>
    </row>
    <row r="78" spans="1:15" x14ac:dyDescent="0.2">
      <c r="B78" s="16"/>
      <c r="C78" s="16"/>
      <c r="D78" s="16"/>
      <c r="E78" s="16"/>
      <c r="F78" s="36"/>
      <c r="G78" s="16"/>
      <c r="H78" s="16"/>
      <c r="I78" s="16"/>
      <c r="J78" s="16"/>
      <c r="K78" s="16"/>
      <c r="L78" s="16"/>
      <c r="M78" s="16"/>
      <c r="N78" s="16"/>
      <c r="O78" s="16"/>
    </row>
    <row r="79" spans="1:15" x14ac:dyDescent="0.2">
      <c r="B79" s="16"/>
      <c r="C79" s="16"/>
      <c r="D79" s="16"/>
      <c r="E79" s="16"/>
      <c r="F79" s="36"/>
      <c r="G79" s="16"/>
      <c r="H79" s="16"/>
      <c r="I79" s="16"/>
      <c r="J79" s="16"/>
      <c r="K79" s="16"/>
      <c r="L79" s="16"/>
      <c r="M79" s="16"/>
      <c r="N79" s="16"/>
      <c r="O79" s="16"/>
    </row>
    <row r="80" spans="1:15" x14ac:dyDescent="0.2">
      <c r="B80" s="16"/>
      <c r="C80" s="16"/>
      <c r="D80" s="16"/>
      <c r="E80" s="16"/>
      <c r="F80" s="36"/>
      <c r="G80" s="16"/>
      <c r="H80" s="16"/>
      <c r="I80" s="16"/>
      <c r="J80" s="16"/>
      <c r="K80" s="16"/>
      <c r="L80" s="16"/>
      <c r="M80" s="16"/>
      <c r="N80" s="16"/>
      <c r="O80" s="16"/>
    </row>
    <row r="81" spans="2:15" x14ac:dyDescent="0.2">
      <c r="B81" s="16"/>
      <c r="C81" s="16"/>
      <c r="D81" s="16"/>
      <c r="E81" s="16"/>
      <c r="F81" s="36"/>
      <c r="G81" s="16"/>
      <c r="H81" s="16"/>
      <c r="I81" s="16"/>
      <c r="J81" s="16"/>
      <c r="K81" s="16"/>
      <c r="L81" s="16"/>
      <c r="M81" s="16"/>
      <c r="N81" s="16"/>
      <c r="O81" s="16"/>
    </row>
    <row r="82" spans="2:15" x14ac:dyDescent="0.2">
      <c r="B82" s="16"/>
      <c r="C82" s="16"/>
      <c r="D82" s="16"/>
      <c r="E82" s="16"/>
      <c r="F82" s="36"/>
      <c r="G82" s="16"/>
      <c r="H82" s="16"/>
      <c r="I82" s="16"/>
      <c r="J82" s="16"/>
      <c r="K82" s="16"/>
      <c r="L82" s="16"/>
      <c r="M82" s="16"/>
      <c r="N82" s="16"/>
      <c r="O82" s="16"/>
    </row>
    <row r="83" spans="2:15" x14ac:dyDescent="0.2">
      <c r="B83" s="16"/>
      <c r="C83" s="16"/>
      <c r="D83" s="16"/>
      <c r="E83" s="16"/>
      <c r="F83" s="36"/>
      <c r="G83" s="16"/>
      <c r="H83" s="16"/>
      <c r="I83" s="16"/>
      <c r="J83" s="16"/>
      <c r="K83" s="16"/>
      <c r="L83" s="16"/>
      <c r="M83" s="16"/>
      <c r="N83" s="16"/>
      <c r="O83" s="16"/>
    </row>
    <row r="84" spans="2:15" x14ac:dyDescent="0.2">
      <c r="B84" s="16"/>
      <c r="C84" s="16"/>
      <c r="D84" s="16"/>
      <c r="E84" s="16"/>
      <c r="F84" s="36"/>
      <c r="G84" s="16"/>
      <c r="H84" s="16"/>
      <c r="I84" s="52"/>
      <c r="J84" s="52"/>
      <c r="K84" s="52"/>
      <c r="L84" s="16"/>
      <c r="M84" s="16"/>
      <c r="N84" s="16"/>
      <c r="O84" s="16"/>
    </row>
    <row r="85" spans="2:15" x14ac:dyDescent="0.2">
      <c r="B85" s="16"/>
      <c r="C85" s="16"/>
      <c r="D85" s="16"/>
      <c r="E85" s="16"/>
      <c r="F85" s="36"/>
      <c r="G85" s="16"/>
      <c r="H85" s="16"/>
      <c r="I85" s="31"/>
      <c r="J85" s="31"/>
      <c r="K85" s="16"/>
      <c r="L85" s="16"/>
      <c r="M85" s="16"/>
      <c r="N85" s="16"/>
      <c r="O85" s="16"/>
    </row>
    <row r="86" spans="2:15" x14ac:dyDescent="0.2">
      <c r="B86" s="16"/>
      <c r="C86" s="16"/>
      <c r="D86" s="16"/>
      <c r="E86" s="16"/>
      <c r="F86" s="16"/>
      <c r="G86" s="35"/>
      <c r="H86" s="35"/>
      <c r="I86" s="16"/>
      <c r="J86" s="16"/>
      <c r="K86" s="16"/>
      <c r="L86" s="16"/>
      <c r="M86" s="16"/>
      <c r="N86" s="16"/>
      <c r="O86" s="16"/>
    </row>
  </sheetData>
  <mergeCells count="8">
    <mergeCell ref="I84:K84"/>
    <mergeCell ref="G59:H59"/>
    <mergeCell ref="B33:C35"/>
    <mergeCell ref="A1:D1"/>
    <mergeCell ref="B21:C23"/>
    <mergeCell ref="B15:C17"/>
    <mergeCell ref="G22:H22"/>
    <mergeCell ref="B27:C2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80C9-0DEA-7348-8A38-CEBCF036E076}">
  <dimension ref="A1:V45"/>
  <sheetViews>
    <sheetView tabSelected="1" topLeftCell="C19" workbookViewId="0">
      <selection activeCell="E39" sqref="E39"/>
    </sheetView>
  </sheetViews>
  <sheetFormatPr baseColWidth="10" defaultRowHeight="16" x14ac:dyDescent="0.2"/>
  <cols>
    <col min="1" max="1" width="6.33203125" customWidth="1"/>
    <col min="2" max="2" width="23.83203125" customWidth="1"/>
    <col min="3" max="3" width="29.6640625" customWidth="1"/>
    <col min="4" max="4" width="17.5" customWidth="1"/>
    <col min="5" max="5" width="19.6640625" customWidth="1"/>
    <col min="6" max="6" width="19.5" customWidth="1"/>
    <col min="7" max="7" width="22.6640625" customWidth="1"/>
    <col min="8" max="10" width="21.33203125" customWidth="1"/>
    <col min="11" max="11" width="24.5" customWidth="1"/>
    <col min="12" max="12" width="22" customWidth="1"/>
    <col min="13" max="13" width="27.6640625" customWidth="1"/>
    <col min="14" max="14" width="18.6640625" customWidth="1"/>
    <col min="15" max="15" width="17.83203125" customWidth="1"/>
    <col min="16" max="16" width="25.33203125" customWidth="1"/>
    <col min="17" max="17" width="22.33203125" customWidth="1"/>
    <col min="18" max="18" width="18.33203125" customWidth="1"/>
    <col min="19" max="19" width="17.33203125" customWidth="1"/>
    <col min="20" max="20" width="20.5" customWidth="1"/>
    <col min="21" max="21" width="16.5" customWidth="1"/>
    <col min="22" max="22" width="10.83203125" customWidth="1"/>
  </cols>
  <sheetData>
    <row r="1" spans="1:22" ht="17" thickBot="1" x14ac:dyDescent="0.25">
      <c r="B1" s="64" t="s">
        <v>82</v>
      </c>
      <c r="C1" s="64"/>
      <c r="D1" s="64"/>
      <c r="E1" s="64"/>
      <c r="F1" s="64"/>
      <c r="G1" s="64"/>
    </row>
    <row r="2" spans="1:22" ht="48" customHeight="1" thickBot="1" x14ac:dyDescent="0.25">
      <c r="B2" s="9" t="s">
        <v>0</v>
      </c>
      <c r="C2" s="10" t="s">
        <v>1</v>
      </c>
      <c r="D2" s="9" t="s">
        <v>2</v>
      </c>
      <c r="E2" s="12" t="s">
        <v>3</v>
      </c>
      <c r="F2" s="11" t="s">
        <v>4</v>
      </c>
      <c r="G2" s="12" t="s">
        <v>104</v>
      </c>
      <c r="H2" s="11" t="s">
        <v>105</v>
      </c>
      <c r="I2" s="12" t="s">
        <v>106</v>
      </c>
      <c r="J2" s="12" t="s">
        <v>107</v>
      </c>
      <c r="K2" s="12" t="s">
        <v>62</v>
      </c>
      <c r="L2" s="11" t="s">
        <v>63</v>
      </c>
      <c r="M2" s="12" t="s">
        <v>64</v>
      </c>
      <c r="N2" s="11" t="s">
        <v>65</v>
      </c>
      <c r="O2" s="12" t="s">
        <v>66</v>
      </c>
      <c r="P2" s="11" t="s">
        <v>67</v>
      </c>
      <c r="Q2" s="12" t="s">
        <v>68</v>
      </c>
      <c r="R2" s="11" t="s">
        <v>7</v>
      </c>
      <c r="S2" s="12" t="s">
        <v>9</v>
      </c>
      <c r="T2" s="11" t="s">
        <v>11</v>
      </c>
      <c r="U2" s="37" t="s">
        <v>13</v>
      </c>
      <c r="V2" s="38" t="s">
        <v>44</v>
      </c>
    </row>
    <row r="3" spans="1:22" ht="34" x14ac:dyDescent="0.2">
      <c r="A3" s="7">
        <v>1</v>
      </c>
      <c r="B3" s="21" t="s">
        <v>58</v>
      </c>
      <c r="C3" s="20" t="s">
        <v>54</v>
      </c>
      <c r="D3" s="20" t="s">
        <v>55</v>
      </c>
      <c r="E3" s="20" t="s">
        <v>53</v>
      </c>
      <c r="F3" s="20" t="s">
        <v>23</v>
      </c>
      <c r="G3" s="20">
        <v>9</v>
      </c>
      <c r="H3" s="20">
        <v>11.5</v>
      </c>
      <c r="I3" s="20">
        <v>125</v>
      </c>
      <c r="J3" s="20">
        <v>17</v>
      </c>
      <c r="K3" s="20">
        <v>6</v>
      </c>
      <c r="L3" s="20">
        <v>1.12E-2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7" t="s">
        <v>59</v>
      </c>
      <c r="S3" s="7" t="s">
        <v>8</v>
      </c>
      <c r="T3" s="20" t="s">
        <v>56</v>
      </c>
      <c r="U3" s="20" t="s">
        <v>57</v>
      </c>
      <c r="V3" s="7">
        <v>9.8000000000000007</v>
      </c>
    </row>
    <row r="7" spans="1:22" ht="17" thickBot="1" x14ac:dyDescent="0.25">
      <c r="B7" s="64" t="s">
        <v>83</v>
      </c>
      <c r="C7" s="64"/>
      <c r="D7" s="64"/>
      <c r="E7" s="64"/>
      <c r="F7" s="64"/>
      <c r="G7" s="64"/>
    </row>
    <row r="8" spans="1:22" ht="43" customHeight="1" thickBot="1" x14ac:dyDescent="0.25">
      <c r="B8" s="44" t="s">
        <v>87</v>
      </c>
      <c r="C8" s="45" t="s">
        <v>1</v>
      </c>
      <c r="D8" s="44" t="s">
        <v>98</v>
      </c>
      <c r="E8" s="46" t="s">
        <v>90</v>
      </c>
      <c r="F8" s="45" t="s">
        <v>91</v>
      </c>
      <c r="G8" s="44" t="s">
        <v>92</v>
      </c>
      <c r="H8" s="46" t="s">
        <v>93</v>
      </c>
      <c r="I8" s="44" t="s">
        <v>94</v>
      </c>
      <c r="J8" s="44" t="s">
        <v>95</v>
      </c>
      <c r="K8" s="44" t="s">
        <v>44</v>
      </c>
    </row>
    <row r="9" spans="1:22" x14ac:dyDescent="0.2">
      <c r="A9" s="7">
        <v>2</v>
      </c>
      <c r="B9" s="8" t="s">
        <v>88</v>
      </c>
      <c r="C9" s="8" t="s">
        <v>89</v>
      </c>
      <c r="D9" s="8" t="s">
        <v>103</v>
      </c>
      <c r="E9" s="8" t="s">
        <v>99</v>
      </c>
      <c r="F9" s="8">
        <v>1E-3</v>
      </c>
      <c r="G9" s="8">
        <v>1.5E-3</v>
      </c>
      <c r="H9" s="8">
        <v>1.8</v>
      </c>
      <c r="I9" s="8">
        <v>12.1</v>
      </c>
      <c r="J9" s="8">
        <v>120</v>
      </c>
      <c r="K9" s="8">
        <v>19.95</v>
      </c>
    </row>
    <row r="10" spans="1:22" x14ac:dyDescent="0.2">
      <c r="A10" s="7">
        <v>3</v>
      </c>
      <c r="B10" s="7" t="s">
        <v>96</v>
      </c>
      <c r="C10" s="7" t="s">
        <v>97</v>
      </c>
      <c r="D10" s="7" t="s">
        <v>100</v>
      </c>
      <c r="E10" s="7" t="s">
        <v>101</v>
      </c>
      <c r="F10" s="7" t="s">
        <v>27</v>
      </c>
      <c r="G10" s="7" t="s">
        <v>27</v>
      </c>
      <c r="H10" s="7" t="s">
        <v>27</v>
      </c>
      <c r="I10" s="7">
        <v>11.2</v>
      </c>
      <c r="J10" s="7">
        <v>125</v>
      </c>
      <c r="K10" s="7">
        <v>19.95</v>
      </c>
    </row>
    <row r="11" spans="1:22" x14ac:dyDescent="0.2">
      <c r="A11" s="7">
        <v>4</v>
      </c>
      <c r="B11" s="7" t="s">
        <v>102</v>
      </c>
      <c r="C11" s="7" t="s">
        <v>89</v>
      </c>
      <c r="D11" s="7" t="s">
        <v>103</v>
      </c>
      <c r="E11" s="7" t="s">
        <v>99</v>
      </c>
      <c r="F11" s="7">
        <v>1E-3</v>
      </c>
      <c r="G11" s="7">
        <v>1.1999999999999999E-3</v>
      </c>
      <c r="H11" s="7">
        <v>1.5</v>
      </c>
      <c r="I11" s="7">
        <v>16</v>
      </c>
      <c r="J11" s="7">
        <v>130</v>
      </c>
      <c r="K11" s="7">
        <v>9.9499999999999993</v>
      </c>
    </row>
    <row r="14" spans="1:22" x14ac:dyDescent="0.2">
      <c r="D14" t="s">
        <v>127</v>
      </c>
    </row>
    <row r="15" spans="1:22" x14ac:dyDescent="0.2">
      <c r="D15" t="s">
        <v>128</v>
      </c>
      <c r="E15">
        <v>2.3E-2</v>
      </c>
    </row>
    <row r="16" spans="1:22" x14ac:dyDescent="0.2">
      <c r="I16" s="65" t="s">
        <v>108</v>
      </c>
      <c r="J16" s="65"/>
    </row>
    <row r="17" spans="3:11" x14ac:dyDescent="0.2">
      <c r="I17" s="66"/>
      <c r="J17" s="66"/>
    </row>
    <row r="18" spans="3:11" ht="34" x14ac:dyDescent="0.2">
      <c r="F18" s="1" t="s">
        <v>37</v>
      </c>
      <c r="G18" s="1" t="s">
        <v>38</v>
      </c>
      <c r="H18" s="18" t="s">
        <v>69</v>
      </c>
      <c r="I18" s="18" t="s">
        <v>70</v>
      </c>
      <c r="J18" s="18" t="s">
        <v>71</v>
      </c>
      <c r="K18" s="18" t="s">
        <v>72</v>
      </c>
    </row>
    <row r="19" spans="3:11" x14ac:dyDescent="0.2">
      <c r="C19" t="s">
        <v>122</v>
      </c>
      <c r="D19">
        <v>2</v>
      </c>
      <c r="E19" t="s">
        <v>125</v>
      </c>
      <c r="F19" s="2">
        <v>4.1666666666666664E-2</v>
      </c>
      <c r="G19" s="3">
        <v>0</v>
      </c>
      <c r="H19" s="3">
        <f>((($D$19*G19*$K$3)+(3600-$D$19*G19)*$L$3)/3600)+$E$15</f>
        <v>3.4200000000000001E-2</v>
      </c>
      <c r="I19" s="3">
        <f>ESCLAVO!$J$9+MASTER!$F$9</f>
        <v>2.1999999999999997E-3</v>
      </c>
      <c r="J19" s="3">
        <f>ESCLAVO!$J$9+MASTER!$F$11</f>
        <v>2.1999999999999997E-3</v>
      </c>
      <c r="K19" s="3">
        <f>ESCLAVO!$J$9+MASTER!$F$11</f>
        <v>2.1999999999999997E-3</v>
      </c>
    </row>
    <row r="20" spans="3:11" x14ac:dyDescent="0.2">
      <c r="C20" t="s">
        <v>123</v>
      </c>
      <c r="D20">
        <f>(896*SUM(G19:G42))/50000</f>
        <v>2.4908800000000002</v>
      </c>
      <c r="E20" t="s">
        <v>125</v>
      </c>
      <c r="F20" s="2">
        <v>8.3333333333333301E-2</v>
      </c>
      <c r="G20" s="3">
        <v>0</v>
      </c>
      <c r="H20" s="3">
        <f t="shared" ref="H20:H42" si="0">((($D$19*G20*$K$3)+(3600-$D$19*G20)*$L$3)/3600)+$E$15</f>
        <v>3.4200000000000001E-2</v>
      </c>
      <c r="I20" s="3">
        <f>ESCLAVO!$J$9+MASTER!$F$9</f>
        <v>2.1999999999999997E-3</v>
      </c>
      <c r="J20" s="3">
        <f>ESCLAVO!$J$9</f>
        <v>1.1999999999999999E-3</v>
      </c>
      <c r="K20" s="3">
        <f>ESCLAVO!$J$9+MASTER!$F$11</f>
        <v>2.1999999999999997E-3</v>
      </c>
    </row>
    <row r="21" spans="3:11" ht="16" customHeight="1" x14ac:dyDescent="0.2">
      <c r="C21" t="s">
        <v>124</v>
      </c>
      <c r="D21">
        <f>(896*SUM(G19:G42))/1000000</f>
        <v>0.124544</v>
      </c>
      <c r="E21" t="s">
        <v>125</v>
      </c>
      <c r="F21" s="2">
        <v>0.125</v>
      </c>
      <c r="G21" s="3">
        <v>0</v>
      </c>
      <c r="H21" s="3">
        <f t="shared" si="0"/>
        <v>3.4200000000000001E-2</v>
      </c>
      <c r="I21" s="3">
        <f>ESCLAVO!$J$9+MASTER!$F$9</f>
        <v>2.1999999999999997E-3</v>
      </c>
      <c r="J21" s="3">
        <f>ESCLAVO!$J$9</f>
        <v>1.1999999999999999E-3</v>
      </c>
      <c r="K21" s="3">
        <f>ESCLAVO!$J$9+MASTER!$F$11</f>
        <v>2.1999999999999997E-3</v>
      </c>
    </row>
    <row r="22" spans="3:11" x14ac:dyDescent="0.2">
      <c r="C22" t="s">
        <v>126</v>
      </c>
      <c r="D22">
        <v>3600</v>
      </c>
      <c r="F22" s="2">
        <v>0.16666666666666699</v>
      </c>
      <c r="G22" s="3">
        <v>0</v>
      </c>
      <c r="H22" s="3">
        <f t="shared" si="0"/>
        <v>3.4200000000000001E-2</v>
      </c>
      <c r="I22" s="3">
        <f>ESCLAVO!$J$9+MASTER!$F$9</f>
        <v>2.1999999999999997E-3</v>
      </c>
      <c r="J22" s="3">
        <f>ESCLAVO!$J$9</f>
        <v>1.1999999999999999E-3</v>
      </c>
      <c r="K22" s="3">
        <f>ESCLAVO!$J$9+MASTER!$F$11</f>
        <v>2.1999999999999997E-3</v>
      </c>
    </row>
    <row r="23" spans="3:11" x14ac:dyDescent="0.2">
      <c r="F23" s="2">
        <v>0.20833333333333301</v>
      </c>
      <c r="G23" s="3">
        <v>0</v>
      </c>
      <c r="H23" s="3">
        <f t="shared" si="0"/>
        <v>3.4200000000000001E-2</v>
      </c>
      <c r="I23" s="3">
        <f>ESCLAVO!$J$9+MASTER!$F$9</f>
        <v>2.1999999999999997E-3</v>
      </c>
      <c r="J23" s="3">
        <f>ESCLAVO!$J$9</f>
        <v>1.1999999999999999E-3</v>
      </c>
      <c r="K23" s="3">
        <f>ESCLAVO!$J$9+MASTER!$F$11</f>
        <v>2.1999999999999997E-3</v>
      </c>
    </row>
    <row r="24" spans="3:11" x14ac:dyDescent="0.2">
      <c r="F24" s="2">
        <v>0.25</v>
      </c>
      <c r="G24" s="3">
        <v>0</v>
      </c>
      <c r="H24" s="3">
        <f t="shared" si="0"/>
        <v>3.4200000000000001E-2</v>
      </c>
      <c r="I24" s="3">
        <f>ESCLAVO!$J$9+MASTER!$F$9</f>
        <v>2.1999999999999997E-3</v>
      </c>
      <c r="J24" s="3">
        <f>ESCLAVO!$J$9</f>
        <v>1.1999999999999999E-3</v>
      </c>
      <c r="K24" s="3">
        <f>ESCLAVO!$J$9+MASTER!$F$11</f>
        <v>2.1999999999999997E-3</v>
      </c>
    </row>
    <row r="25" spans="3:11" x14ac:dyDescent="0.2">
      <c r="F25" s="2">
        <v>0.29166666666666702</v>
      </c>
      <c r="G25" s="3">
        <v>20</v>
      </c>
      <c r="H25" s="3">
        <f t="shared" si="0"/>
        <v>0.10074222222222223</v>
      </c>
      <c r="I25" s="3">
        <f>ESCLAVO!$J$9+MASTER!$F$9</f>
        <v>2.1999999999999997E-3</v>
      </c>
      <c r="J25" s="3">
        <f>ESCLAVO!$J$9</f>
        <v>1.1999999999999999E-3</v>
      </c>
      <c r="K25" s="3">
        <f>ESCLAVO!$J$9+MASTER!$F$11</f>
        <v>2.1999999999999997E-3</v>
      </c>
    </row>
    <row r="26" spans="3:11" x14ac:dyDescent="0.2">
      <c r="F26" s="2">
        <v>0.33333333333333298</v>
      </c>
      <c r="G26" s="3">
        <v>25</v>
      </c>
      <c r="H26" s="3">
        <f t="shared" si="0"/>
        <v>0.11737777777777778</v>
      </c>
      <c r="I26" s="3">
        <f>ESCLAVO!$J$9+MASTER!$F$9</f>
        <v>2.1999999999999997E-3</v>
      </c>
      <c r="J26" s="3">
        <f>ESCLAVO!$J$9</f>
        <v>1.1999999999999999E-3</v>
      </c>
      <c r="K26" s="3">
        <f>ESCLAVO!$J$9+MASTER!$F$11</f>
        <v>2.1999999999999997E-3</v>
      </c>
    </row>
    <row r="27" spans="3:11" x14ac:dyDescent="0.2">
      <c r="F27" s="2">
        <v>0.375</v>
      </c>
      <c r="G27" s="3">
        <v>16</v>
      </c>
      <c r="H27" s="3">
        <f t="shared" si="0"/>
        <v>8.7433777777777777E-2</v>
      </c>
      <c r="I27" s="3">
        <f>ESCLAVO!$J$9+MASTER!$F$9</f>
        <v>2.1999999999999997E-3</v>
      </c>
      <c r="J27" s="3">
        <f>ESCLAVO!$J$9</f>
        <v>1.1999999999999999E-3</v>
      </c>
      <c r="K27" s="3">
        <f>ESCLAVO!$J$9+MASTER!$F$11</f>
        <v>2.1999999999999997E-3</v>
      </c>
    </row>
    <row r="28" spans="3:11" x14ac:dyDescent="0.2">
      <c r="F28" s="2">
        <v>0.41666666666666702</v>
      </c>
      <c r="G28" s="3">
        <v>7</v>
      </c>
      <c r="H28" s="3">
        <f t="shared" si="0"/>
        <v>5.7489777777777772E-2</v>
      </c>
      <c r="I28" s="3">
        <f>ESCLAVO!$J$9+MASTER!$F$9</f>
        <v>2.1999999999999997E-3</v>
      </c>
      <c r="J28" s="3">
        <f>ESCLAVO!$J$9</f>
        <v>1.1999999999999999E-3</v>
      </c>
      <c r="K28" s="3">
        <f>ESCLAVO!$J$9+MASTER!$F$11</f>
        <v>2.1999999999999997E-3</v>
      </c>
    </row>
    <row r="29" spans="3:11" x14ac:dyDescent="0.2">
      <c r="F29" s="2">
        <v>0.45833333333333298</v>
      </c>
      <c r="G29" s="3">
        <v>7</v>
      </c>
      <c r="H29" s="3">
        <f t="shared" si="0"/>
        <v>5.7489777777777772E-2</v>
      </c>
      <c r="I29" s="3">
        <f>ESCLAVO!$J$9+MASTER!$F$9</f>
        <v>2.1999999999999997E-3</v>
      </c>
      <c r="J29" s="3">
        <f>ESCLAVO!$J$9</f>
        <v>1.1999999999999999E-3</v>
      </c>
      <c r="K29" s="3">
        <f>ESCLAVO!$J$9+MASTER!$F$11</f>
        <v>2.1999999999999997E-3</v>
      </c>
    </row>
    <row r="30" spans="3:11" x14ac:dyDescent="0.2">
      <c r="F30" s="2">
        <v>0.5</v>
      </c>
      <c r="G30" s="3">
        <v>3</v>
      </c>
      <c r="H30" s="3">
        <f t="shared" si="0"/>
        <v>4.4181333333333336E-2</v>
      </c>
      <c r="I30" s="3">
        <f>ESCLAVO!$J$9+MASTER!$F$9</f>
        <v>2.1999999999999997E-3</v>
      </c>
      <c r="J30" s="3">
        <f>ESCLAVO!$J$9</f>
        <v>1.1999999999999999E-3</v>
      </c>
      <c r="K30" s="3">
        <f>ESCLAVO!$J$9+MASTER!$F$11</f>
        <v>2.1999999999999997E-3</v>
      </c>
    </row>
    <row r="31" spans="3:11" x14ac:dyDescent="0.2">
      <c r="F31" s="2">
        <v>0.54166666666666696</v>
      </c>
      <c r="G31" s="3">
        <v>2</v>
      </c>
      <c r="H31" s="3">
        <f t="shared" si="0"/>
        <v>4.0854222222222222E-2</v>
      </c>
      <c r="I31" s="3">
        <f>ESCLAVO!$J$9+MASTER!$F$9</f>
        <v>2.1999999999999997E-3</v>
      </c>
      <c r="J31" s="3">
        <f>ESCLAVO!$J$9</f>
        <v>1.1999999999999999E-3</v>
      </c>
      <c r="K31" s="3">
        <f>ESCLAVO!$J$9+MASTER!$F$11</f>
        <v>2.1999999999999997E-3</v>
      </c>
    </row>
    <row r="32" spans="3:11" x14ac:dyDescent="0.2">
      <c r="F32" s="2">
        <v>0.58333333333333304</v>
      </c>
      <c r="G32" s="3">
        <v>3</v>
      </c>
      <c r="H32" s="3">
        <f t="shared" si="0"/>
        <v>4.4181333333333336E-2</v>
      </c>
      <c r="I32" s="3">
        <f>ESCLAVO!$J$9+MASTER!$F$9</f>
        <v>2.1999999999999997E-3</v>
      </c>
      <c r="J32" s="3">
        <f>ESCLAVO!$J$9</f>
        <v>1.1999999999999999E-3</v>
      </c>
      <c r="K32" s="3">
        <f>ESCLAVO!$J$9+MASTER!$F$11</f>
        <v>2.1999999999999997E-3</v>
      </c>
    </row>
    <row r="33" spans="5:11" x14ac:dyDescent="0.2">
      <c r="F33" s="2">
        <v>0.625</v>
      </c>
      <c r="G33" s="3">
        <v>9</v>
      </c>
      <c r="H33" s="3">
        <f t="shared" si="0"/>
        <v>6.4144000000000007E-2</v>
      </c>
      <c r="I33" s="3">
        <f>ESCLAVO!$J$9+MASTER!$F$9</f>
        <v>2.1999999999999997E-3</v>
      </c>
      <c r="J33" s="3">
        <f>ESCLAVO!$J$9</f>
        <v>1.1999999999999999E-3</v>
      </c>
      <c r="K33" s="3">
        <f>ESCLAVO!$J$9+MASTER!$F$11</f>
        <v>2.1999999999999997E-3</v>
      </c>
    </row>
    <row r="34" spans="5:11" x14ac:dyDescent="0.2">
      <c r="F34" s="2">
        <v>0.66666666666666696</v>
      </c>
      <c r="G34" s="3">
        <v>14</v>
      </c>
      <c r="H34" s="3">
        <f t="shared" si="0"/>
        <v>8.0779555555555549E-2</v>
      </c>
      <c r="I34" s="3">
        <f>ESCLAVO!$J$9+MASTER!$F$9</f>
        <v>2.1999999999999997E-3</v>
      </c>
      <c r="J34" s="3">
        <f>ESCLAVO!$J$9</f>
        <v>1.1999999999999999E-3</v>
      </c>
      <c r="K34" s="3">
        <f>ESCLAVO!$J$9+MASTER!$F$11</f>
        <v>2.1999999999999997E-3</v>
      </c>
    </row>
    <row r="35" spans="5:11" x14ac:dyDescent="0.2">
      <c r="F35" s="2">
        <v>0.70833333333333304</v>
      </c>
      <c r="G35" s="3">
        <v>16</v>
      </c>
      <c r="H35" s="3">
        <f t="shared" si="0"/>
        <v>8.7433777777777777E-2</v>
      </c>
      <c r="I35" s="3">
        <f>ESCLAVO!$J$9+MASTER!$F$9</f>
        <v>2.1999999999999997E-3</v>
      </c>
      <c r="J35" s="3">
        <f>ESCLAVO!$J$9</f>
        <v>1.1999999999999999E-3</v>
      </c>
      <c r="K35" s="3">
        <f>ESCLAVO!$J$9+MASTER!$F$11</f>
        <v>2.1999999999999997E-3</v>
      </c>
    </row>
    <row r="36" spans="5:11" x14ac:dyDescent="0.2">
      <c r="F36" s="2">
        <v>0.75</v>
      </c>
      <c r="G36" s="3">
        <v>4</v>
      </c>
      <c r="H36" s="3">
        <f t="shared" si="0"/>
        <v>4.7508444444444443E-2</v>
      </c>
      <c r="I36" s="3">
        <f>ESCLAVO!$J$9+MASTER!$F$9</f>
        <v>2.1999999999999997E-3</v>
      </c>
      <c r="J36" s="3">
        <f>ESCLAVO!$J$9</f>
        <v>1.1999999999999999E-3</v>
      </c>
      <c r="K36" s="3">
        <f>ESCLAVO!$J$9+MASTER!$F$11</f>
        <v>2.1999999999999997E-3</v>
      </c>
    </row>
    <row r="37" spans="5:11" x14ac:dyDescent="0.2">
      <c r="F37" s="2">
        <v>0.79166666666666696</v>
      </c>
      <c r="G37" s="3">
        <v>6</v>
      </c>
      <c r="H37" s="3">
        <f t="shared" si="0"/>
        <v>5.4162666666666665E-2</v>
      </c>
      <c r="I37" s="3">
        <f>ESCLAVO!$J$9+MASTER!$F$9</f>
        <v>2.1999999999999997E-3</v>
      </c>
      <c r="J37" s="3">
        <f>ESCLAVO!$J$9</f>
        <v>1.1999999999999999E-3</v>
      </c>
      <c r="K37" s="3">
        <f>ESCLAVO!$J$9+MASTER!$F$11</f>
        <v>2.1999999999999997E-3</v>
      </c>
    </row>
    <row r="38" spans="5:11" x14ac:dyDescent="0.2">
      <c r="F38" s="2">
        <v>0.83333333333333304</v>
      </c>
      <c r="G38" s="3">
        <v>7</v>
      </c>
      <c r="H38" s="3">
        <f t="shared" si="0"/>
        <v>5.7489777777777772E-2</v>
      </c>
      <c r="I38" s="3">
        <f>ESCLAVO!$J$9+MASTER!$F$9</f>
        <v>2.1999999999999997E-3</v>
      </c>
      <c r="J38" s="3">
        <f>ESCLAVO!$J$9</f>
        <v>1.1999999999999999E-3</v>
      </c>
      <c r="K38" s="3">
        <f>ESCLAVO!$J$9+MASTER!$F$11</f>
        <v>2.1999999999999997E-3</v>
      </c>
    </row>
    <row r="39" spans="5:11" x14ac:dyDescent="0.2">
      <c r="E39">
        <f>(2000/(H43+0.5))/(24*365)</f>
        <v>0.41249547328467617</v>
      </c>
      <c r="F39" s="2">
        <v>0.875</v>
      </c>
      <c r="G39" s="3">
        <v>0</v>
      </c>
      <c r="H39" s="3">
        <f t="shared" si="0"/>
        <v>3.4200000000000001E-2</v>
      </c>
      <c r="I39" s="3">
        <f>ESCLAVO!$J$9+MASTER!$F$9</f>
        <v>2.1999999999999997E-3</v>
      </c>
      <c r="J39" s="3">
        <f>ESCLAVO!$J$9</f>
        <v>1.1999999999999999E-3</v>
      </c>
      <c r="K39" s="3">
        <f>ESCLAVO!$J$9+MASTER!$F$11</f>
        <v>2.1999999999999997E-3</v>
      </c>
    </row>
    <row r="40" spans="5:11" x14ac:dyDescent="0.2">
      <c r="F40" s="2">
        <v>0.91666666666666696</v>
      </c>
      <c r="G40" s="3">
        <v>0</v>
      </c>
      <c r="H40" s="3">
        <f t="shared" si="0"/>
        <v>3.4200000000000001E-2</v>
      </c>
      <c r="I40" s="3">
        <f>ESCLAVO!$J$9+MASTER!$F$9</f>
        <v>2.1999999999999997E-3</v>
      </c>
      <c r="J40" s="3">
        <f>ESCLAVO!$J$9</f>
        <v>1.1999999999999999E-3</v>
      </c>
      <c r="K40" s="3">
        <f>ESCLAVO!$J$9+MASTER!$F$11</f>
        <v>2.1999999999999997E-3</v>
      </c>
    </row>
    <row r="41" spans="5:11" x14ac:dyDescent="0.2">
      <c r="F41" s="2">
        <v>0.95833333333333304</v>
      </c>
      <c r="G41" s="3">
        <v>0</v>
      </c>
      <c r="H41" s="3">
        <f>((($H$3*$D$21)+($K$3*$D$19*G19)+(3600-$D$21-$D$19*G19)*$L$3)/3600)+$E$15</f>
        <v>3.4597461418666667E-2</v>
      </c>
      <c r="I41" s="3">
        <f>(ESCLAVO!$D$25/3600)*ESCLAVO!$H$9+(ESCLAVO!$D$31/3600)*MASTER!$J$9+(1-(ESCLAVO!$D$25/3600)-(ESCLAVO!$D$31/3600))*(MASTER!$F$9+ESCLAVO!$J$9)</f>
        <v>0.18511055555555556</v>
      </c>
      <c r="J41" s="3">
        <f>(ESCLAVO!$D$25/3600)*ESCLAVO!$H$9+(ESCLAVO!$D$31/3600)*MASTER!$J$10+(1-(ESCLAVO!$D$25/3600)-(ESCLAVO!$D$31/3600))*(ESCLAVO!$J$9)</f>
        <v>0.19105777777777777</v>
      </c>
      <c r="K41" s="3">
        <f>(ESCLAVO!$D$25/3600)*ESCLAVO!$H$9+(ESCLAVO!$D$31/3600)*MASTER!$J$11+(1-(ESCLAVO!$D$25/3600)-(ESCLAVO!$D$31/3600))*(MASTER!$F$11+ESCLAVO!$J$9)</f>
        <v>0.19899944444444445</v>
      </c>
    </row>
    <row r="42" spans="5:11" ht="17" thickBot="1" x14ac:dyDescent="0.25">
      <c r="F42" s="2">
        <v>1</v>
      </c>
      <c r="G42" s="6">
        <v>0</v>
      </c>
      <c r="H42" s="3">
        <f t="shared" si="0"/>
        <v>3.4200000000000001E-2</v>
      </c>
      <c r="I42" s="3">
        <f>ESCLAVO!$J$9+MASTER!$F$9</f>
        <v>2.1999999999999997E-3</v>
      </c>
      <c r="J42" s="3">
        <f>ESCLAVO!$J$9</f>
        <v>1.1999999999999999E-3</v>
      </c>
      <c r="K42" s="3">
        <f>ESCLAVO!$J$9+MASTER!$F$11</f>
        <v>2.1999999999999997E-3</v>
      </c>
    </row>
    <row r="43" spans="5:11" ht="17" thickBot="1" x14ac:dyDescent="0.25">
      <c r="G43" s="23" t="s">
        <v>42</v>
      </c>
      <c r="H43" s="39">
        <f>AVERAGE(H19:H42)</f>
        <v>5.3486079410962957E-2</v>
      </c>
      <c r="I43" s="43">
        <f>AVERAGE(I19:I42)</f>
        <v>9.8212731481481484E-3</v>
      </c>
      <c r="J43" s="43">
        <f>AVERAGE(J19:J42)</f>
        <v>9.152407407407406E-3</v>
      </c>
      <c r="K43" s="43">
        <f>AVERAGE(K19:K42)</f>
        <v>1.0399976851851853E-2</v>
      </c>
    </row>
    <row r="44" spans="5:11" ht="17" thickBot="1" x14ac:dyDescent="0.25">
      <c r="G44" s="40" t="s">
        <v>74</v>
      </c>
      <c r="H44" s="41">
        <v>2000</v>
      </c>
      <c r="I44" s="41">
        <v>500</v>
      </c>
      <c r="J44" s="41">
        <v>500</v>
      </c>
      <c r="K44" s="41">
        <v>500</v>
      </c>
    </row>
    <row r="45" spans="5:11" ht="17" thickBot="1" x14ac:dyDescent="0.25">
      <c r="G45" s="27" t="s">
        <v>73</v>
      </c>
      <c r="H45" s="42">
        <f>(H$44/H$43)/(365*24)</f>
        <v>4.268596703992265</v>
      </c>
      <c r="I45" s="42">
        <f>(I$44/I$43)/(365*24)</f>
        <v>5.8116320267030286</v>
      </c>
      <c r="J45" s="42">
        <f>(J$44/J$43)/(365*24)</f>
        <v>6.2363510527930686</v>
      </c>
      <c r="K45" s="42">
        <f>(K$44/K$43)/(365*24)</f>
        <v>5.4882454436052743</v>
      </c>
    </row>
  </sheetData>
  <mergeCells count="3">
    <mergeCell ref="B1:G1"/>
    <mergeCell ref="B7:G7"/>
    <mergeCell ref="I16:J1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ESCLAVO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2021-02-12T12:55:17Z</dcterms:created>
  <dcterms:modified xsi:type="dcterms:W3CDTF">2021-03-23T02:07:41Z</dcterms:modified>
</cp:coreProperties>
</file>