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ottmac.sharepoint.com/sites/pr-00026/practicedocs/11 - Working folder/SuDS CSO/"/>
    </mc:Choice>
  </mc:AlternateContent>
  <xr:revisionPtr revIDLastSave="2344" documentId="8_{4896061B-211F-4ED1-8790-B40A0CBE1D4A}" xr6:coauthVersionLast="47" xr6:coauthVersionMax="47" xr10:uidLastSave="{84C8834D-9CD8-4BAA-B15F-3BABAA88CB5D}"/>
  <bookViews>
    <workbookView xWindow="-108" yWindow="-108" windowWidth="23256" windowHeight="13896" activeTab="3" xr2:uid="{61A2185E-FD4C-4121-9300-1A5D77D200CA}"/>
  </bookViews>
  <sheets>
    <sheet name="Master" sheetId="1" r:id="rId1"/>
    <sheet name="Upstream Traces" sheetId="2" r:id="rId2"/>
    <sheet name="Priority Catchments" sheetId="3" r:id="rId3"/>
    <sheet name="To Do" sheetId="4" r:id="rId4"/>
  </sheets>
  <definedNames>
    <definedName name="_xlnm._FilterDatabase" localSheetId="0" hidden="1">Master!$B$4:$AK$4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0" i="1" l="1"/>
  <c r="V22" i="1" l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21" i="1"/>
  <c r="AR25" i="1"/>
  <c r="AR27" i="1"/>
  <c r="AR29" i="1"/>
  <c r="AR32" i="1"/>
  <c r="AR34" i="1"/>
  <c r="AR36" i="1"/>
  <c r="AR38" i="1"/>
  <c r="AR43" i="1"/>
  <c r="AR45" i="1"/>
  <c r="AR47" i="1"/>
  <c r="AR49" i="1"/>
  <c r="AR51" i="1"/>
  <c r="AR53" i="1"/>
  <c r="AR55" i="1"/>
  <c r="AR57" i="1"/>
  <c r="AR59" i="1"/>
  <c r="AR61" i="1"/>
  <c r="AR62" i="1"/>
  <c r="AR63" i="1"/>
  <c r="AR65" i="1"/>
  <c r="AR67" i="1"/>
  <c r="AR69" i="1"/>
  <c r="AR71" i="1"/>
  <c r="AR73" i="1"/>
  <c r="AR75" i="1"/>
  <c r="AR77" i="1"/>
  <c r="AQ25" i="1"/>
  <c r="AQ27" i="1"/>
  <c r="AQ29" i="1"/>
  <c r="AQ32" i="1"/>
  <c r="AQ34" i="1"/>
  <c r="AQ36" i="1"/>
  <c r="AQ38" i="1"/>
  <c r="AQ43" i="1"/>
  <c r="AQ45" i="1"/>
  <c r="AQ47" i="1"/>
  <c r="AQ49" i="1"/>
  <c r="AQ51" i="1"/>
  <c r="AQ53" i="1"/>
  <c r="AQ55" i="1"/>
  <c r="AQ57" i="1"/>
  <c r="AQ59" i="1"/>
  <c r="AQ61" i="1"/>
  <c r="AQ62" i="1"/>
  <c r="AQ63" i="1"/>
  <c r="AQ65" i="1"/>
  <c r="AQ67" i="1"/>
  <c r="AQ69" i="1"/>
  <c r="AQ71" i="1"/>
  <c r="AQ73" i="1"/>
  <c r="AQ75" i="1"/>
  <c r="AW66" i="1"/>
  <c r="AX52" i="1"/>
  <c r="AX74" i="1"/>
  <c r="AX69" i="1"/>
  <c r="AX70" i="1"/>
  <c r="AX71" i="1"/>
  <c r="AX72" i="1"/>
  <c r="AX73" i="1"/>
  <c r="AX75" i="1"/>
  <c r="AX76" i="1"/>
  <c r="AX77" i="1"/>
  <c r="AX68" i="1"/>
  <c r="AX66" i="1"/>
  <c r="AX67" i="1"/>
  <c r="AX64" i="1"/>
  <c r="AX63" i="1"/>
  <c r="AX62" i="1"/>
  <c r="AX60" i="1"/>
  <c r="AX59" i="1"/>
  <c r="AX58" i="1"/>
  <c r="AX56" i="1"/>
  <c r="AW67" i="1"/>
  <c r="AW68" i="1"/>
  <c r="AW69" i="1"/>
  <c r="AW70" i="1"/>
  <c r="AW71" i="1"/>
  <c r="AW72" i="1"/>
  <c r="AW73" i="1"/>
  <c r="AW74" i="1"/>
  <c r="AW75" i="1"/>
  <c r="AW76" i="1"/>
  <c r="AW77" i="1"/>
  <c r="W68" i="1"/>
  <c r="W70" i="1"/>
  <c r="W72" i="1"/>
  <c r="W74" i="1"/>
  <c r="W76" i="1"/>
  <c r="Y68" i="1"/>
  <c r="Z68" i="1" s="1"/>
  <c r="Y70" i="1"/>
  <c r="Z70" i="1" s="1"/>
  <c r="Y72" i="1"/>
  <c r="Z72" i="1" s="1"/>
  <c r="Y74" i="1"/>
  <c r="Z74" i="1" s="1"/>
  <c r="Y76" i="1"/>
  <c r="Z76" i="1" s="1"/>
  <c r="Y66" i="1"/>
  <c r="Z66" i="1" s="1"/>
  <c r="W66" i="1"/>
  <c r="AW59" i="1"/>
  <c r="AW62" i="1"/>
  <c r="AW63" i="1"/>
  <c r="AW58" i="1"/>
  <c r="AW60" i="1"/>
  <c r="AW61" i="1"/>
  <c r="AX61" i="1"/>
  <c r="W60" i="1"/>
  <c r="Y58" i="1"/>
  <c r="Z58" i="1" s="1"/>
  <c r="W58" i="1"/>
  <c r="Y52" i="1"/>
  <c r="Z52" i="1" s="1"/>
  <c r="Y60" i="1"/>
  <c r="Z60" i="1" s="1"/>
  <c r="AW64" i="1"/>
  <c r="Y64" i="1"/>
  <c r="Z64" i="1" s="1"/>
  <c r="W64" i="1"/>
  <c r="T80" i="1"/>
  <c r="T79" i="1"/>
  <c r="Y50" i="1"/>
  <c r="W50" i="1"/>
  <c r="K56" i="1"/>
  <c r="AW54" i="1"/>
  <c r="AX54" i="1"/>
  <c r="AW55" i="1"/>
  <c r="AX55" i="1"/>
  <c r="AW56" i="1"/>
  <c r="AW57" i="1"/>
  <c r="AX57" i="1"/>
  <c r="Y54" i="1"/>
  <c r="Z54" i="1" s="1"/>
  <c r="Y56" i="1"/>
  <c r="Z56" i="1"/>
  <c r="W54" i="1"/>
  <c r="W56" i="1"/>
  <c r="K54" i="1"/>
  <c r="K50" i="1"/>
  <c r="X56" i="1" l="1"/>
  <c r="AR56" i="1"/>
  <c r="AQ56" i="1"/>
  <c r="X54" i="1"/>
  <c r="AR54" i="1"/>
  <c r="AQ54" i="1"/>
  <c r="AR50" i="1"/>
  <c r="AQ50" i="1"/>
  <c r="X64" i="1"/>
  <c r="AR64" i="1"/>
  <c r="AQ64" i="1"/>
  <c r="X58" i="1"/>
  <c r="AR58" i="1"/>
  <c r="AQ58" i="1"/>
  <c r="X60" i="1"/>
  <c r="AR60" i="1"/>
  <c r="AQ60" i="1"/>
  <c r="X66" i="1"/>
  <c r="AR66" i="1"/>
  <c r="AQ66" i="1"/>
  <c r="X76" i="1"/>
  <c r="AR76" i="1"/>
  <c r="AQ76" i="1"/>
  <c r="X74" i="1"/>
  <c r="AR74" i="1"/>
  <c r="AQ74" i="1"/>
  <c r="X72" i="1"/>
  <c r="AR72" i="1"/>
  <c r="AQ72" i="1"/>
  <c r="X70" i="1"/>
  <c r="AR70" i="1"/>
  <c r="AQ70" i="1"/>
  <c r="X68" i="1"/>
  <c r="AR68" i="1"/>
  <c r="AQ68" i="1"/>
  <c r="K52" i="1"/>
  <c r="AW50" i="1"/>
  <c r="AX50" i="1"/>
  <c r="AW51" i="1"/>
  <c r="AX51" i="1"/>
  <c r="AW52" i="1"/>
  <c r="AW53" i="1"/>
  <c r="AX53" i="1"/>
  <c r="W52" i="1"/>
  <c r="Z50" i="1"/>
  <c r="X50" i="1"/>
  <c r="AX44" i="1"/>
  <c r="AW45" i="1"/>
  <c r="AW48" i="1"/>
  <c r="AW49" i="1"/>
  <c r="AW44" i="1"/>
  <c r="W46" i="1"/>
  <c r="K46" i="1"/>
  <c r="AX45" i="1"/>
  <c r="K44" i="1"/>
  <c r="AX49" i="1"/>
  <c r="Y44" i="1"/>
  <c r="Z44" i="1" s="1"/>
  <c r="Y46" i="1"/>
  <c r="Z46" i="1" s="1"/>
  <c r="Y48" i="1"/>
  <c r="Z48" i="1" s="1"/>
  <c r="W44" i="1"/>
  <c r="W48" i="1"/>
  <c r="K48" i="1"/>
  <c r="K41" i="1"/>
  <c r="K40" i="1"/>
  <c r="K42" i="1"/>
  <c r="Y40" i="1"/>
  <c r="Z40" i="1" s="1"/>
  <c r="Y41" i="1"/>
  <c r="Z41" i="1" s="1"/>
  <c r="Y42" i="1"/>
  <c r="Z42" i="1" s="1"/>
  <c r="W41" i="1"/>
  <c r="W42" i="1"/>
  <c r="AX40" i="1"/>
  <c r="AX42" i="1"/>
  <c r="AX43" i="1"/>
  <c r="AX48" i="1"/>
  <c r="AW40" i="1"/>
  <c r="AW42" i="1"/>
  <c r="AW43" i="1"/>
  <c r="Y39" i="1"/>
  <c r="Z39" i="1" s="1"/>
  <c r="W39" i="1"/>
  <c r="K39" i="1"/>
  <c r="AW22" i="1"/>
  <c r="AX22" i="1"/>
  <c r="AX27" i="1"/>
  <c r="AW27" i="1"/>
  <c r="AX29" i="1"/>
  <c r="AW29" i="1"/>
  <c r="AX34" i="1"/>
  <c r="AW34" i="1"/>
  <c r="AX38" i="1"/>
  <c r="AW38" i="1"/>
  <c r="K35" i="1"/>
  <c r="AX36" i="1"/>
  <c r="AW36" i="1"/>
  <c r="AX35" i="1"/>
  <c r="AX37" i="1"/>
  <c r="AW35" i="1"/>
  <c r="AW37" i="1"/>
  <c r="Y35" i="1"/>
  <c r="Z35" i="1" s="1"/>
  <c r="Y37" i="1"/>
  <c r="Z37" i="1" s="1"/>
  <c r="W35" i="1"/>
  <c r="W37" i="1"/>
  <c r="K33" i="1"/>
  <c r="AX33" i="1"/>
  <c r="AW33" i="1"/>
  <c r="Y33" i="1"/>
  <c r="Z33" i="1" s="1"/>
  <c r="W33" i="1"/>
  <c r="K24" i="1"/>
  <c r="K23" i="1"/>
  <c r="K31" i="1"/>
  <c r="K30" i="1"/>
  <c r="K28" i="1"/>
  <c r="K26" i="1"/>
  <c r="AX31" i="1"/>
  <c r="AW31" i="1"/>
  <c r="Y31" i="1"/>
  <c r="Z31" i="1" s="1"/>
  <c r="W31" i="1"/>
  <c r="Y30" i="1"/>
  <c r="Z30" i="1" s="1"/>
  <c r="W30" i="1"/>
  <c r="W23" i="1"/>
  <c r="AQ23" i="1" s="1"/>
  <c r="AX30" i="1"/>
  <c r="AW30" i="1"/>
  <c r="AX28" i="1"/>
  <c r="AW28" i="1"/>
  <c r="Y28" i="1"/>
  <c r="Z28" i="1" s="1"/>
  <c r="W28" i="1"/>
  <c r="K21" i="1"/>
  <c r="AX23" i="1"/>
  <c r="AX24" i="1"/>
  <c r="AX26" i="1"/>
  <c r="AW23" i="1"/>
  <c r="AW24" i="1"/>
  <c r="AW26" i="1"/>
  <c r="AX21" i="1"/>
  <c r="AW21" i="1"/>
  <c r="X28" i="1" l="1"/>
  <c r="AR28" i="1"/>
  <c r="AQ28" i="1"/>
  <c r="X30" i="1"/>
  <c r="AR30" i="1"/>
  <c r="AQ30" i="1"/>
  <c r="X31" i="1"/>
  <c r="AR31" i="1"/>
  <c r="AQ31" i="1"/>
  <c r="X33" i="1"/>
  <c r="AR33" i="1"/>
  <c r="AQ33" i="1"/>
  <c r="X37" i="1"/>
  <c r="AR37" i="1"/>
  <c r="AQ37" i="1"/>
  <c r="X35" i="1"/>
  <c r="AR35" i="1"/>
  <c r="AQ35" i="1"/>
  <c r="X39" i="1"/>
  <c r="AR39" i="1"/>
  <c r="AQ39" i="1"/>
  <c r="X42" i="1"/>
  <c r="AR42" i="1"/>
  <c r="AQ42" i="1"/>
  <c r="X41" i="1"/>
  <c r="AR41" i="1"/>
  <c r="AQ41" i="1"/>
  <c r="X40" i="1"/>
  <c r="AR40" i="1"/>
  <c r="AQ40" i="1"/>
  <c r="X48" i="1"/>
  <c r="AR48" i="1"/>
  <c r="AQ48" i="1"/>
  <c r="X44" i="1"/>
  <c r="AR44" i="1"/>
  <c r="AQ44" i="1"/>
  <c r="X46" i="1"/>
  <c r="AR46" i="1"/>
  <c r="AQ46" i="1"/>
  <c r="X52" i="1"/>
  <c r="AR52" i="1"/>
  <c r="AQ52" i="1"/>
  <c r="W26" i="1"/>
  <c r="Y26" i="1"/>
  <c r="Z26" i="1" s="1"/>
  <c r="W24" i="1"/>
  <c r="Y24" i="1"/>
  <c r="Z24" i="1" s="1"/>
  <c r="Y21" i="1"/>
  <c r="Z21" i="1" s="1"/>
  <c r="Y23" i="1"/>
  <c r="Z23" i="1" s="1"/>
  <c r="X23" i="1"/>
  <c r="W21" i="1"/>
  <c r="X21" i="1" s="1"/>
  <c r="W6" i="1"/>
  <c r="U5" i="1"/>
  <c r="U6" i="1"/>
  <c r="U7" i="1"/>
  <c r="U8" i="1"/>
  <c r="U9" i="1"/>
  <c r="U10" i="1"/>
  <c r="U11" i="1"/>
  <c r="U12" i="1"/>
  <c r="U13" i="1"/>
  <c r="U17" i="1"/>
  <c r="U18" i="1"/>
  <c r="U19" i="1"/>
  <c r="U20" i="1"/>
  <c r="U16" i="1"/>
  <c r="W17" i="1"/>
  <c r="W18" i="1"/>
  <c r="W19" i="1"/>
  <c r="W20" i="1"/>
  <c r="AL13" i="1"/>
  <c r="AL14" i="1"/>
  <c r="AL15" i="1"/>
  <c r="AL16" i="1"/>
  <c r="AL17" i="1"/>
  <c r="AL18" i="1"/>
  <c r="AL19" i="1"/>
  <c r="AL6" i="1"/>
  <c r="AL7" i="1"/>
  <c r="AL8" i="1"/>
  <c r="AL9" i="1"/>
  <c r="AL10" i="1"/>
  <c r="AL11" i="1"/>
  <c r="AL12" i="1"/>
  <c r="AL5" i="1"/>
  <c r="Y20" i="1"/>
  <c r="AO15" i="1"/>
  <c r="AN15" i="1"/>
  <c r="AO6" i="1"/>
  <c r="X24" i="1" l="1"/>
  <c r="AR24" i="1"/>
  <c r="AQ24" i="1"/>
  <c r="X26" i="1"/>
  <c r="AR26" i="1"/>
  <c r="AQ26" i="1"/>
  <c r="X6" i="1"/>
  <c r="X20" i="1"/>
  <c r="Z20" i="1"/>
  <c r="AA20" i="1" s="1"/>
  <c r="AP8" i="1"/>
  <c r="U14" i="1"/>
  <c r="U15" i="1"/>
  <c r="AB20" i="1" l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  <c r="AM20" i="1" s="1"/>
  <c r="Y6" i="1"/>
  <c r="Z6" i="1" s="1"/>
  <c r="Y7" i="1"/>
  <c r="Z7" i="1" s="1"/>
  <c r="Y8" i="1"/>
  <c r="Z8" i="1" s="1"/>
  <c r="Y9" i="1"/>
  <c r="Z9" i="1" s="1"/>
  <c r="Y10" i="1"/>
  <c r="Z10" i="1" s="1"/>
  <c r="Y11" i="1"/>
  <c r="Z11" i="1" s="1"/>
  <c r="Y12" i="1"/>
  <c r="Z12" i="1" s="1"/>
  <c r="Y13" i="1"/>
  <c r="Z13" i="1" s="1"/>
  <c r="Y14" i="1"/>
  <c r="Z14" i="1" s="1"/>
  <c r="Y15" i="1"/>
  <c r="Y16" i="1"/>
  <c r="Z16" i="1" s="1"/>
  <c r="Y17" i="1"/>
  <c r="Z17" i="1" s="1"/>
  <c r="Y18" i="1"/>
  <c r="Z18" i="1" s="1"/>
  <c r="Y19" i="1"/>
  <c r="Y5" i="1"/>
  <c r="Z5" i="1" s="1"/>
  <c r="W7" i="1"/>
  <c r="X7" i="1" s="1"/>
  <c r="W8" i="1"/>
  <c r="X8" i="1" s="1"/>
  <c r="W9" i="1"/>
  <c r="X9" i="1" s="1"/>
  <c r="W10" i="1"/>
  <c r="X10" i="1" s="1"/>
  <c r="W11" i="1"/>
  <c r="W12" i="1"/>
  <c r="W13" i="1"/>
  <c r="X13" i="1" s="1"/>
  <c r="W14" i="1"/>
  <c r="W15" i="1"/>
  <c r="W16" i="1"/>
  <c r="X16" i="1" s="1"/>
  <c r="X17" i="1"/>
  <c r="X19" i="1"/>
  <c r="W5" i="1"/>
  <c r="X5" i="1" s="1"/>
  <c r="AF13" i="1"/>
  <c r="AG13" i="1"/>
  <c r="AH13" i="1"/>
  <c r="AI13" i="1"/>
  <c r="AJ13" i="1"/>
  <c r="AK13" i="1"/>
  <c r="AK14" i="1"/>
  <c r="AF14" i="1"/>
  <c r="AG14" i="1"/>
  <c r="AH14" i="1"/>
  <c r="AI14" i="1"/>
  <c r="AJ14" i="1"/>
  <c r="AF15" i="1"/>
  <c r="AG15" i="1"/>
  <c r="AH15" i="1"/>
  <c r="AI15" i="1"/>
  <c r="AJ15" i="1"/>
  <c r="AK15" i="1"/>
  <c r="AJ16" i="1"/>
  <c r="AF16" i="1"/>
  <c r="AG16" i="1"/>
  <c r="AH16" i="1"/>
  <c r="AI16" i="1"/>
  <c r="AF17" i="1"/>
  <c r="AG17" i="1"/>
  <c r="AH17" i="1"/>
  <c r="AI17" i="1"/>
  <c r="AJ17" i="1"/>
  <c r="AK17" i="1"/>
  <c r="AJ18" i="1"/>
  <c r="AF18" i="1"/>
  <c r="AG18" i="1"/>
  <c r="AH18" i="1"/>
  <c r="AI18" i="1"/>
  <c r="AF19" i="1"/>
  <c r="AG19" i="1"/>
  <c r="AH19" i="1"/>
  <c r="AI19" i="1"/>
  <c r="AJ19" i="1"/>
  <c r="AK19" i="1"/>
  <c r="AK6" i="1"/>
  <c r="AK8" i="1"/>
  <c r="AK7" i="1"/>
  <c r="AJ6" i="1"/>
  <c r="AJ5" i="1"/>
  <c r="AK12" i="1"/>
  <c r="AK11" i="1"/>
  <c r="AJ8" i="1"/>
  <c r="AK9" i="1"/>
  <c r="AK10" i="1"/>
  <c r="AF6" i="1"/>
  <c r="AG6" i="1"/>
  <c r="AG11" i="1"/>
  <c r="AF11" i="1"/>
  <c r="AF12" i="1"/>
  <c r="AG12" i="1"/>
  <c r="AH12" i="1"/>
  <c r="AI12" i="1"/>
  <c r="AH11" i="1"/>
  <c r="AI11" i="1"/>
  <c r="X11" i="1" l="1"/>
  <c r="X12" i="1"/>
  <c r="X18" i="1"/>
  <c r="Z19" i="1"/>
  <c r="X15" i="1"/>
  <c r="X14" i="1"/>
  <c r="Z15" i="1"/>
  <c r="AJ10" i="1"/>
  <c r="AJ9" i="1"/>
  <c r="AK18" i="1"/>
  <c r="AK16" i="1"/>
  <c r="AK5" i="1"/>
  <c r="AJ7" i="1"/>
  <c r="AJ12" i="1"/>
  <c r="AJ11" i="1"/>
  <c r="AI10" i="1"/>
  <c r="AH10" i="1"/>
  <c r="AG10" i="1"/>
  <c r="AF10" i="1"/>
  <c r="AI9" i="1"/>
  <c r="AH9" i="1"/>
  <c r="AG9" i="1"/>
  <c r="AF9" i="1"/>
  <c r="AH8" i="1"/>
  <c r="AF8" i="1"/>
  <c r="AG8" i="1"/>
  <c r="AI8" i="1"/>
  <c r="AI6" i="1"/>
  <c r="AI7" i="1"/>
  <c r="AI5" i="1"/>
  <c r="AH5" i="1"/>
  <c r="AH6" i="1"/>
  <c r="AH7" i="1"/>
  <c r="AG7" i="1"/>
  <c r="AG5" i="1"/>
  <c r="AF7" i="1"/>
  <c r="AF5" i="1"/>
</calcChain>
</file>

<file path=xl/sharedStrings.xml><?xml version="1.0" encoding="utf-8"?>
<sst xmlns="http://schemas.openxmlformats.org/spreadsheetml/2006/main" count="646" uniqueCount="267">
  <si>
    <t>ICM Hydraulic model - Catchments Information</t>
  </si>
  <si>
    <t>TG1</t>
  </si>
  <si>
    <t>Hydraulic modelling  results</t>
  </si>
  <si>
    <t>Model status</t>
  </si>
  <si>
    <t>Type of catchment (Combined/Foul)</t>
  </si>
  <si>
    <t>Number of upstream Nodes</t>
  </si>
  <si>
    <t>Number of upstream  Pipes</t>
  </si>
  <si>
    <t>Pipe Length (m)</t>
  </si>
  <si>
    <t>Pipe Size Range (mm)</t>
  </si>
  <si>
    <t>Population Count</t>
  </si>
  <si>
    <t>Modelled Peak DWF (l/s)</t>
  </si>
  <si>
    <t>SPSs Upstream?</t>
  </si>
  <si>
    <t>Soil Type</t>
  </si>
  <si>
    <t>Network or WwTW Overflow?</t>
  </si>
  <si>
    <t>Available Storage (m3)</t>
  </si>
  <si>
    <t>Runoff area absolute (ha)</t>
  </si>
  <si>
    <t>Total model catchment (ha)</t>
  </si>
  <si>
    <t>Contributing catchment (ha)</t>
  </si>
  <si>
    <t>Contributing vs Total Catchment Area</t>
  </si>
  <si>
    <t>Total Impermeable (Roads,Roofs) (ha)</t>
  </si>
  <si>
    <t>% Impermeable total contributing</t>
  </si>
  <si>
    <t>Total Permeable/GI (ha)</t>
  </si>
  <si>
    <t>% Permeable/GI total contributing</t>
  </si>
  <si>
    <r>
      <t>Storage Volume (m</t>
    </r>
    <r>
      <rPr>
        <b/>
        <vertAlign val="superscript"/>
        <sz val="8"/>
        <color theme="1"/>
        <rFont val="Aptos Narrow"/>
        <family val="2"/>
        <scheme val="minor"/>
      </rPr>
      <t>3</t>
    </r>
    <r>
      <rPr>
        <b/>
        <sz val="8"/>
        <color theme="1"/>
        <rFont val="Aptos Narrow"/>
        <family val="2"/>
        <scheme val="minor"/>
      </rPr>
      <t>)</t>
    </r>
  </si>
  <si>
    <t>Impermeable Area (ha)</t>
  </si>
  <si>
    <t>Total Foul Catchment (ha)</t>
  </si>
  <si>
    <t>Estimated CAPEX</t>
  </si>
  <si>
    <t>Cost / 
Storage min</t>
  </si>
  <si>
    <t>Cost / 
Storage max</t>
  </si>
  <si>
    <t>Cost / 
Impermeable Area min</t>
  </si>
  <si>
    <t>Cost / 
Impermeable Area max</t>
  </si>
  <si>
    <t>Cost / 
Catchment Area min</t>
  </si>
  <si>
    <t>Cost / 
Catchment Area max</t>
  </si>
  <si>
    <t>Impermeable Area / Storage</t>
  </si>
  <si>
    <t>TG1 recommendation</t>
  </si>
  <si>
    <t>Total catchment area removed (ha)</t>
  </si>
  <si>
    <t>Spill reduction (Nr)</t>
  </si>
  <si>
    <t>Spill reduction (%)</t>
  </si>
  <si>
    <t>Comments</t>
  </si>
  <si>
    <t>STW Site Name</t>
  </si>
  <si>
    <t>Batch</t>
  </si>
  <si>
    <t>Roads</t>
  </si>
  <si>
    <t>Roofs</t>
  </si>
  <si>
    <t>Permeable</t>
  </si>
  <si>
    <t>Ground infiltration</t>
  </si>
  <si>
    <t>Scenario 2</t>
  </si>
  <si>
    <t xml:space="preserve">Scenario 3 </t>
  </si>
  <si>
    <t xml:space="preserve">Scenario 4 </t>
  </si>
  <si>
    <t xml:space="preserve">Scenario 2 % Impermeable Area Removed </t>
  </si>
  <si>
    <t xml:space="preserve">Scenario 3 % Impermeable Area Removed </t>
  </si>
  <si>
    <t>Baseline/Scenario 1 Spils</t>
  </si>
  <si>
    <t>Scenario 3</t>
  </si>
  <si>
    <t>Bletchingdon</t>
  </si>
  <si>
    <t>Progress to TG2</t>
  </si>
  <si>
    <t>Holmwood</t>
  </si>
  <si>
    <t>Proceed with Caveats</t>
  </si>
  <si>
    <t>Scenario 2 and 3 were slightly different that standard scenarios</t>
  </si>
  <si>
    <t>Standlake</t>
  </si>
  <si>
    <t>Leatherhead</t>
  </si>
  <si>
    <t>N/A</t>
  </si>
  <si>
    <t>Model needs updates</t>
  </si>
  <si>
    <t>Horley</t>
  </si>
  <si>
    <t>Burstow</t>
  </si>
  <si>
    <t>Scenario 3 and 4 were slightly difference that standard scenarios</t>
  </si>
  <si>
    <t>Burghfield</t>
  </si>
  <si>
    <t>Chinnor</t>
  </si>
  <si>
    <t>Cuddington STW</t>
  </si>
  <si>
    <t>WP22</t>
  </si>
  <si>
    <t>Risk too High</t>
  </si>
  <si>
    <t>Finstock STW</t>
  </si>
  <si>
    <t>Model Updates/calibration required</t>
  </si>
  <si>
    <t>Abbess Rodding STW</t>
  </si>
  <si>
    <t>Stonebridge CSO</t>
  </si>
  <si>
    <t>Grendon Underwood STW</t>
  </si>
  <si>
    <t>Outside 135 Leeside Crescent</t>
  </si>
  <si>
    <t>Not Reviewed/Risk Unknown</t>
  </si>
  <si>
    <t>Alicia Avenue CSO</t>
  </si>
  <si>
    <t>Daintry Close</t>
  </si>
  <si>
    <t>Thornwood STW</t>
  </si>
  <si>
    <t>Proceed with optioneering</t>
  </si>
  <si>
    <t>Foul</t>
  </si>
  <si>
    <t>Upstream of CSO:  4171.25 m
Whole network: 4896.91 m</t>
  </si>
  <si>
    <t>Upstream of CSO: 100 - 225mm 
Whole network: 100 - 900mm</t>
  </si>
  <si>
    <t>No</t>
  </si>
  <si>
    <t xml:space="preserve">WRAP 2, 3  &amp; 4 </t>
  </si>
  <si>
    <t>WwTw Overflow</t>
  </si>
  <si>
    <t>* Spill Reduction across 10 years</t>
  </si>
  <si>
    <t>Thornwood STW (No GIM)</t>
  </si>
  <si>
    <t>Andoversford STW (No GIM)</t>
  </si>
  <si>
    <t>Upstream of CSO:  2377.83 m
Whole network: 2672.44 m</t>
  </si>
  <si>
    <t>Upstream of CSO: 100 - 225mm 
Whole network: 100 - 600mm</t>
  </si>
  <si>
    <t>4 (one at STW)</t>
  </si>
  <si>
    <t>WRAP 3</t>
  </si>
  <si>
    <t>WwTw Overflow (2 Storm Network but not connected, upstream trace excluded)</t>
  </si>
  <si>
    <t>N.A</t>
  </si>
  <si>
    <t>Bledington STW</t>
  </si>
  <si>
    <t xml:space="preserve">Upstream of CSO: 7528.99m 
Whole Network: 7637.65 m </t>
  </si>
  <si>
    <t>Upstream of CSO: 100 - 300 mm
Whole Network: 100 - 300 mm</t>
  </si>
  <si>
    <t>WRAP 1 &amp; 4</t>
  </si>
  <si>
    <t>Bledington STW (No GIM)</t>
  </si>
  <si>
    <t xml:space="preserve">Chadlington </t>
  </si>
  <si>
    <t>Mostly Foul with one Combined subcatchment</t>
  </si>
  <si>
    <t>Upstream of CSO: 6281.67 m 
Whole Network: 6415.77 m</t>
  </si>
  <si>
    <t>Upsytream of CSO: 100 - 250 mm
Whole Network: 100 - 250mm</t>
  </si>
  <si>
    <t>WRAP 4</t>
  </si>
  <si>
    <t>Chadlington (No GIM)</t>
  </si>
  <si>
    <t>Chapel Row</t>
  </si>
  <si>
    <t>Upstream of CSO: 2005.46 m 
Whole network: 2045.69 m</t>
  </si>
  <si>
    <t>Upstream of CSO: 150 - 450 mm
Whole network: 150 - 450 mm</t>
  </si>
  <si>
    <t>Chapel Row (No GIM)</t>
  </si>
  <si>
    <t>Cuddington STW (No GIM)</t>
  </si>
  <si>
    <t>Upstream of CSO:6237.93 m 
Whole network: 6420.69 m</t>
  </si>
  <si>
    <t>Upstream of CSO: 150 - 225 mm
Whole network: 150 - 250 mm</t>
  </si>
  <si>
    <t>WRAP 3 &amp; 4</t>
  </si>
  <si>
    <t xml:space="preserve">Fyfield </t>
  </si>
  <si>
    <t>Upstream of CSO: 15712.12 m
Whole network: 15712.12 m</t>
  </si>
  <si>
    <t>Upstream of CSO: 100 - 300 mm
Whole network: 150 - 300 mm</t>
  </si>
  <si>
    <t>WRAP 1</t>
  </si>
  <si>
    <t>Fyfield (No GIM)</t>
  </si>
  <si>
    <t xml:space="preserve">Wingrave </t>
  </si>
  <si>
    <t>Upstream of CSO: 4618.97 m
Whole network:4620.67 m</t>
  </si>
  <si>
    <t>Upstream of CSO: 100 - 280mm
Whole network: 100 - 280mm</t>
  </si>
  <si>
    <t>Wingrave (No GIM)</t>
  </si>
  <si>
    <t>Bentley</t>
  </si>
  <si>
    <t>Upstream of CSO:21166.35 m
Whole Network: 21575.14 m</t>
  </si>
  <si>
    <t>Upstream of CSO: 100 - 375 mm
Whole Network: 100- 375 mm</t>
  </si>
  <si>
    <t>WRAP 2 &amp; 4</t>
  </si>
  <si>
    <t>Bentley (No GIM)</t>
  </si>
  <si>
    <t>Stewkley</t>
  </si>
  <si>
    <t>Upstream of CSO:  7175.19 m
Whole network: 7957.10 m</t>
  </si>
  <si>
    <t>Upstream of CSO: 100 - 250 mm
Whole network: 100 - 300 mm</t>
  </si>
  <si>
    <t>Stewkley (No GIM)</t>
  </si>
  <si>
    <t>Bordon (STW SO) (a) (NO GIM)</t>
  </si>
  <si>
    <t>Upstream of CSO: 108504.85 m
Whole network: 108597.05 m</t>
  </si>
  <si>
    <t>Upstream of CSO: 100 - 1000 mm
Whole network: 100 -1000 mm</t>
  </si>
  <si>
    <t>* Spill Reduction across 10 years. Outfall.1 link used but 0 spills predicted.</t>
  </si>
  <si>
    <t>Bordon (Churt SPS SO) (b) (NO GIM)</t>
  </si>
  <si>
    <t>Upstream of CSO: 14032.04 m</t>
  </si>
  <si>
    <t>Upstream of CSO: 100- 300 mm</t>
  </si>
  <si>
    <t xml:space="preserve">WRAP 1 </t>
  </si>
  <si>
    <t>Network</t>
  </si>
  <si>
    <t>Bordon (Passfield PS SO) ( c) (NO GIM)</t>
  </si>
  <si>
    <t>Upstream of CSO: 26837.68 m</t>
  </si>
  <si>
    <t>Upstream of CSO: 150 - 650 mm</t>
  </si>
  <si>
    <t xml:space="preserve">East Shefford (East Garston SPS) </t>
  </si>
  <si>
    <t>Upstream of CSO: 16294.26 m
Whole Network: 26544.56 m</t>
  </si>
  <si>
    <t>Upstream of CSO: 150 - 300 mm
Whole Network: 100 - 300 mm</t>
  </si>
  <si>
    <t>WRAP 2</t>
  </si>
  <si>
    <t>East Shefford (East Garston SPS) (No GIM)</t>
  </si>
  <si>
    <t>Holybourne (a)</t>
  </si>
  <si>
    <t>Upstream of CSO: 5422.86 m</t>
  </si>
  <si>
    <t>Upstream of CSO: 150 - 300 mm</t>
  </si>
  <si>
    <t>Holybourne (a - No GIM)</t>
  </si>
  <si>
    <t xml:space="preserve">Holybourne - Newman Lane (b) </t>
  </si>
  <si>
    <t>Upstream of CSO: 89349.55 m</t>
  </si>
  <si>
    <t>Upstream of CSO: 100 - 675 mm</t>
  </si>
  <si>
    <t xml:space="preserve">North Weald </t>
  </si>
  <si>
    <t>Foul with storm connections</t>
  </si>
  <si>
    <t>Upstream of CSO: 13658.47 m 
Whole network: 24376.79 m</t>
  </si>
  <si>
    <t>Upstream of CSO: 100 - 550 m
Whole network: 100 - 900 m</t>
  </si>
  <si>
    <t>WRAP 2 &amp; 3</t>
  </si>
  <si>
    <t>North Weald (No GIM)</t>
  </si>
  <si>
    <t>Little Hallingbury</t>
  </si>
  <si>
    <t>Upstream of CSO: 10283.53 m
Whole network: 10771.42 m</t>
  </si>
  <si>
    <t>Upstream of CSO/Whole network: 100 - 225 mm</t>
  </si>
  <si>
    <t>Little Hallingbury (No GIM)</t>
  </si>
  <si>
    <t xml:space="preserve">Hanwell </t>
  </si>
  <si>
    <t>Model update/calibration required before risk can be established</t>
  </si>
  <si>
    <t>Upstream of CSO/Whole network: 1715.82 m</t>
  </si>
  <si>
    <t>Upstream of CSO/Whole network: 100 - 150 mm</t>
  </si>
  <si>
    <t>Hanwell (No GIM)</t>
  </si>
  <si>
    <t xml:space="preserve">Wheatley </t>
  </si>
  <si>
    <t>Upstream of CSO: 19138.82 m 
Whole Network: 21964.82 m</t>
  </si>
  <si>
    <t>Upstream of CSO: 100 - 400 mm
Whole network: 100 - 450 mm</t>
  </si>
  <si>
    <t>Wheatley (No GIM)</t>
  </si>
  <si>
    <t>Brickendon</t>
  </si>
  <si>
    <t>Upstream of CSO/Whole Network: 1969.04 m</t>
  </si>
  <si>
    <t>Upstream of CSO/Whole network: 100 - 250 mm</t>
  </si>
  <si>
    <t>Brickendon (No GIM)</t>
  </si>
  <si>
    <t>Sevenhampton</t>
  </si>
  <si>
    <t xml:space="preserve">Model update/calibration required </t>
  </si>
  <si>
    <t>Upstream of CSO/whole network: 1053,68</t>
  </si>
  <si>
    <t>Upstream of CSO/Whole network 150-150mm</t>
  </si>
  <si>
    <t>Wrap 4</t>
  </si>
  <si>
    <t>WwTW Overflow</t>
  </si>
  <si>
    <t>Sevenhampton (No GIM)</t>
  </si>
  <si>
    <t xml:space="preserve">Little Milton </t>
  </si>
  <si>
    <t>Upstream of CSO/whole network: 8759</t>
  </si>
  <si>
    <t>Upstream of CSO/whole network: 100-1000mm</t>
  </si>
  <si>
    <t xml:space="preserve">WwTW Overflow </t>
  </si>
  <si>
    <t>Little Milton (No GIM)</t>
  </si>
  <si>
    <t xml:space="preserve">Whitwell </t>
  </si>
  <si>
    <t>Model Update/Calibration required</t>
  </si>
  <si>
    <t>Upstream of CSO: 4186.6</t>
  </si>
  <si>
    <t>Upstream of CSO: 100-300mm</t>
  </si>
  <si>
    <t>Whitwell (No GIM)</t>
  </si>
  <si>
    <t xml:space="preserve">Hampstead Marshall </t>
  </si>
  <si>
    <t>Upstream of CSO/Whole Network: 1476.28m</t>
  </si>
  <si>
    <t>Upstream of CSO/Whole Network: 150-150mm</t>
  </si>
  <si>
    <t>Hampstead Marshall (No GIM)</t>
  </si>
  <si>
    <t>Horton-Cum-Studley</t>
  </si>
  <si>
    <t xml:space="preserve">Foul with storm connections </t>
  </si>
  <si>
    <t xml:space="preserve">Upstream of CSO: 4396.80m 
Whole network: 4625.81 m </t>
  </si>
  <si>
    <t>Upstream of CSO: 100 - 225mm
Whole network: 100 - 300mm</t>
  </si>
  <si>
    <t>Horton-Cum-Studley (No GIM)</t>
  </si>
  <si>
    <t xml:space="preserve">Willingale </t>
  </si>
  <si>
    <t>Model Update/Calibration Required</t>
  </si>
  <si>
    <t xml:space="preserve">Upstream of CSO: 7409.71m 
Whole network: 8866.14m </t>
  </si>
  <si>
    <t>Upstream of CSO: 100 - 225mm
Whole Network: 100 - 450mm</t>
  </si>
  <si>
    <t>Willingale (No GIM)</t>
  </si>
  <si>
    <t>Combe</t>
  </si>
  <si>
    <t>Foul with one combined connection</t>
  </si>
  <si>
    <t>Upstream of CSO: 3564.53m
Whole network: 3564.53m</t>
  </si>
  <si>
    <t>Upstream of CSO: 100-250 mm
Whole network: 100-225mm</t>
  </si>
  <si>
    <t>Combe (No GIM)</t>
  </si>
  <si>
    <t xml:space="preserve">South Leigh </t>
  </si>
  <si>
    <t>Upstream of CSO: 5318.07m
Whole network: 5321.81m</t>
  </si>
  <si>
    <t>Upstream of CSO: 100 - 150mm
Whole Network: 100-150mm</t>
  </si>
  <si>
    <t>South Legih (No GIM)</t>
  </si>
  <si>
    <t xml:space="preserve">Boddington </t>
  </si>
  <si>
    <t>Upstream of CSO: 5302.04m
Whole Network: 7046.63m</t>
  </si>
  <si>
    <t>Upstream of CSO: 100 - 150mm
Whole Network: 100-1050mm</t>
  </si>
  <si>
    <t>Boddington (No GIM)</t>
  </si>
  <si>
    <t xml:space="preserve">Newbury </t>
  </si>
  <si>
    <t>Upstream of CSO: 171435.11 m
Whole network: 199448.73 m</t>
  </si>
  <si>
    <t>Upstream of CSO: 100 - 1800mm
Whole network: 100 - 3300 mm</t>
  </si>
  <si>
    <t>Newbury (No GIM)</t>
  </si>
  <si>
    <t>max</t>
  </si>
  <si>
    <t>avergae</t>
  </si>
  <si>
    <t xml:space="preserve">VN </t>
  </si>
  <si>
    <t>Weston</t>
  </si>
  <si>
    <t>Bordon (STW SO) (a)</t>
  </si>
  <si>
    <t>Bordon (Churt SPS SO) (b)</t>
  </si>
  <si>
    <t>Bordon (Passfield PS SO) (c)</t>
  </si>
  <si>
    <t>STW SO</t>
  </si>
  <si>
    <t>Holybourne Overflow Outfall</t>
  </si>
  <si>
    <t>Newman Lane PS - Storm overflow</t>
  </si>
  <si>
    <t>Could not provide output - STW not modelled</t>
  </si>
  <si>
    <t xml:space="preserve">Updated to Holybourne a </t>
  </si>
  <si>
    <t>Updated to Holybourne b</t>
  </si>
  <si>
    <t>A</t>
  </si>
  <si>
    <t>B</t>
  </si>
  <si>
    <t>C</t>
  </si>
  <si>
    <t>Catchments</t>
  </si>
  <si>
    <t>SuDS Scenarios Completed</t>
  </si>
  <si>
    <t>Comment</t>
  </si>
  <si>
    <t>Boddington STW</t>
  </si>
  <si>
    <t>Y</t>
  </si>
  <si>
    <t xml:space="preserve">Flagged VN in base model. </t>
  </si>
  <si>
    <t>Winterbourne STW</t>
  </si>
  <si>
    <t>N</t>
  </si>
  <si>
    <t>STW  and outfall not modelled</t>
  </si>
  <si>
    <t>Combe STW</t>
  </si>
  <si>
    <t>Little Milton STW</t>
  </si>
  <si>
    <t>Newbury STW</t>
  </si>
  <si>
    <t>South Leigh STW</t>
  </si>
  <si>
    <t>Whitwell STW</t>
  </si>
  <si>
    <t>To Do:</t>
  </si>
  <si>
    <t>Checked</t>
  </si>
  <si>
    <t>Populate spill outputs after sims finish</t>
  </si>
  <si>
    <t>Complete</t>
  </si>
  <si>
    <r>
      <t>Check contributing area vs. total catchment area</t>
    </r>
    <r>
      <rPr>
        <i/>
        <sz val="11"/>
        <color theme="1"/>
        <rFont val="Aptos Narrow"/>
        <family val="2"/>
        <scheme val="minor"/>
      </rPr>
      <t xml:space="preserve"> (Contributing should be sum of runoff areas).</t>
    </r>
  </si>
  <si>
    <t>Added a column with conditional formatting which flags if the contributing area &gt; total area</t>
  </si>
  <si>
    <t xml:space="preserve">Fill out DWF and volume </t>
  </si>
  <si>
    <t>DWF complete - Ali was on leave by the time i got to looking at this so will have to double check how to do this in the New Year</t>
  </si>
  <si>
    <t>Add new column to represent % change from baseline to sc. 2</t>
  </si>
  <si>
    <t>Complete - two flagged as not quite sure how areas were worked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</si>
</sst>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&quot;£&quot;* #,##0_-;\-&quot;£&quot;* #,##0_-;_-&quot;£&quot;* &quot;-&quot;??_-;_-@_-"/>
    <numFmt numFmtId="165" formatCode="0.0"/>
    <numFmt numFmtId="166" formatCode="&quot;£&quot;#,##0.0,,\ &quot;M&quot;"/>
    <numFmt numFmtId="167" formatCode="0.0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vertAlign val="superscript"/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41" fontId="2" fillId="6" borderId="1" xfId="2" applyNumberFormat="1" applyFont="1" applyFill="1" applyBorder="1" applyAlignment="1">
      <alignment horizontal="center" vertical="center"/>
    </xf>
    <xf numFmtId="44" fontId="2" fillId="6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9" fontId="2" fillId="3" borderId="1" xfId="3" applyFont="1" applyFill="1" applyBorder="1" applyAlignment="1">
      <alignment horizontal="center" vertical="center"/>
    </xf>
    <xf numFmtId="9" fontId="2" fillId="4" borderId="1" xfId="3" applyFont="1" applyFill="1" applyBorder="1" applyAlignment="1">
      <alignment horizontal="center" vertical="center"/>
    </xf>
    <xf numFmtId="9" fontId="2" fillId="6" borderId="1" xfId="3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2" fontId="2" fillId="6" borderId="8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2" fontId="2" fillId="3" borderId="8" xfId="0" applyNumberFormat="1" applyFont="1" applyFill="1" applyBorder="1" applyAlignment="1">
      <alignment horizontal="center" vertical="center"/>
    </xf>
    <xf numFmtId="2" fontId="2" fillId="4" borderId="8" xfId="0" applyNumberFormat="1" applyFont="1" applyFill="1" applyBorder="1" applyAlignment="1">
      <alignment horizontal="center" vertical="center"/>
    </xf>
    <xf numFmtId="2" fontId="2" fillId="3" borderId="9" xfId="0" applyNumberFormat="1" applyFont="1" applyFill="1" applyBorder="1" applyAlignment="1">
      <alignment horizontal="center" vertical="center"/>
    </xf>
    <xf numFmtId="2" fontId="2" fillId="4" borderId="9" xfId="0" applyNumberFormat="1" applyFont="1" applyFill="1" applyBorder="1" applyAlignment="1">
      <alignment horizontal="center" vertical="center"/>
    </xf>
    <xf numFmtId="2" fontId="2" fillId="6" borderId="9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166" fontId="2" fillId="3" borderId="1" xfId="1" applyNumberFormat="1" applyFont="1" applyFill="1" applyBorder="1" applyAlignment="1">
      <alignment horizontal="center" vertical="center"/>
    </xf>
    <xf numFmtId="166" fontId="2" fillId="4" borderId="1" xfId="1" applyNumberFormat="1" applyFont="1" applyFill="1" applyBorder="1" applyAlignment="1">
      <alignment horizontal="center" vertical="center"/>
    </xf>
    <xf numFmtId="166" fontId="2" fillId="6" borderId="1" xfId="1" applyNumberFormat="1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165" fontId="2" fillId="4" borderId="8" xfId="0" applyNumberFormat="1" applyFont="1" applyFill="1" applyBorder="1" applyAlignment="1">
      <alignment horizontal="center" vertical="center"/>
    </xf>
    <xf numFmtId="165" fontId="2" fillId="6" borderId="8" xfId="0" applyNumberFormat="1" applyFont="1" applyFill="1" applyBorder="1" applyAlignment="1">
      <alignment horizontal="center" vertical="center"/>
    </xf>
    <xf numFmtId="2" fontId="2" fillId="6" borderId="1" xfId="3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2" fontId="2" fillId="0" borderId="1" xfId="3" applyNumberFormat="1" applyFont="1" applyFill="1" applyBorder="1" applyAlignment="1">
      <alignment horizontal="center" vertical="center"/>
    </xf>
    <xf numFmtId="2" fontId="2" fillId="0" borderId="1" xfId="3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165" fontId="2" fillId="10" borderId="1" xfId="0" applyNumberFormat="1" applyFont="1" applyFill="1" applyBorder="1" applyAlignment="1">
      <alignment horizontal="center" vertical="center"/>
    </xf>
    <xf numFmtId="2" fontId="2" fillId="10" borderId="1" xfId="3" applyNumberFormat="1" applyFont="1" applyFill="1" applyBorder="1" applyAlignment="1">
      <alignment horizontal="center" vertical="center"/>
    </xf>
    <xf numFmtId="2" fontId="2" fillId="10" borderId="1" xfId="0" applyNumberFormat="1" applyFont="1" applyFill="1" applyBorder="1" applyAlignment="1">
      <alignment horizontal="center" vertical="center"/>
    </xf>
    <xf numFmtId="43" fontId="2" fillId="10" borderId="1" xfId="0" applyNumberFormat="1" applyFont="1" applyFill="1" applyBorder="1" applyAlignment="1">
      <alignment horizontal="center" vertical="center"/>
    </xf>
    <xf numFmtId="2" fontId="2" fillId="10" borderId="1" xfId="0" applyNumberFormat="1" applyFont="1" applyFill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 wrapText="1"/>
    </xf>
    <xf numFmtId="0" fontId="7" fillId="11" borderId="0" xfId="0" applyFont="1" applyFill="1"/>
    <xf numFmtId="0" fontId="2" fillId="11" borderId="0" xfId="0" applyFont="1" applyFill="1" applyAlignment="1">
      <alignment horizontal="center" vertical="center"/>
    </xf>
    <xf numFmtId="0" fontId="0" fillId="11" borderId="0" xfId="0" applyFill="1"/>
    <xf numFmtId="0" fontId="7" fillId="11" borderId="0" xfId="0" applyFont="1" applyFill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2" fontId="2" fillId="12" borderId="1" xfId="0" applyNumberFormat="1" applyFont="1" applyFill="1" applyBorder="1" applyAlignment="1">
      <alignment horizontal="center" vertical="center"/>
    </xf>
    <xf numFmtId="2" fontId="2" fillId="12" borderId="1" xfId="0" applyNumberFormat="1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7" fillId="0" borderId="1" xfId="0" applyFont="1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3" fillId="7" borderId="15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52</xdr:col>
      <xdr:colOff>470814</xdr:colOff>
      <xdr:row>51</xdr:row>
      <xdr:rowOff>201082</xdr:rowOff>
    </xdr:from>
    <xdr:to>
      <xdr:col>57</xdr:col>
      <xdr:colOff>379932</xdr:colOff>
      <xdr:row>54</xdr:row>
      <xdr:rowOff>97488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D16950-A290-AD20-D079-0F8EC5218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25543" y="22433553"/>
          <a:ext cx="5377589" cy="1403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449579</xdr:colOff>
      <xdr:row>2</xdr:row>
      <xdr:rowOff>60960</xdr:rowOff>
    </xdr:from>
    <xdr:to>
      <xdr:col>12</xdr:col>
      <xdr:colOff>422711</xdr:colOff>
      <xdr:row>15</xdr:row>
      <xdr:rowOff>104951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111D95-F93D-D31B-34F3-2A9367FAF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7179" y="426720"/>
          <a:ext cx="3630733" cy="2421431"/>
        </a:xfrm>
        <a:prstGeom prst="rect">
          <a:avLst/>
        </a:prstGeom>
      </xdr:spPr>
    </xdr:pic>
    <xdr:clientData/>
  </xdr:twoCellAnchor>
  <xdr:twoCellAnchor editAs="oneCell">
    <xdr:from>
      <xdr:col>13</xdr:col>
      <xdr:colOff>46521</xdr:colOff>
      <xdr:row>2</xdr:row>
      <xdr:rowOff>144780</xdr:rowOff>
    </xdr:from>
    <xdr:to>
      <xdr:col>19</xdr:col>
      <xdr:colOff>143476</xdr:colOff>
      <xdr:row>16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78EA8A-476F-6752-B6C5-4184F97F8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71321" y="510540"/>
          <a:ext cx="3754555" cy="2529840"/>
        </a:xfrm>
        <a:prstGeom prst="rect">
          <a:avLst/>
        </a:prstGeom>
      </xdr:spPr>
    </xdr:pic>
    <xdr:clientData/>
  </xdr:twoCellAnchor>
  <xdr:twoCellAnchor editAs="oneCell">
    <xdr:from>
      <xdr:col>0</xdr:col>
      <xdr:colOff>232093</xdr:colOff>
      <xdr:row>2</xdr:row>
      <xdr:rowOff>38100</xdr:rowOff>
    </xdr:from>
    <xdr:to>
      <xdr:col>6</xdr:col>
      <xdr:colOff>14528</xdr:colOff>
      <xdr:row>15</xdr:row>
      <xdr:rowOff>91439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16DEB6-AFDC-8A98-04AC-515DFE9B9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2093" y="403860"/>
          <a:ext cx="3620848" cy="24307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53340</xdr:rowOff>
    </xdr:from>
    <xdr:to>
      <xdr:col>5</xdr:col>
      <xdr:colOff>74894</xdr:colOff>
      <xdr:row>32</xdr:row>
      <xdr:rowOff>124667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92F2AE-6310-361B-1FCC-42CF49D46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528060"/>
          <a:ext cx="3303707" cy="2448767"/>
        </a:xfrm>
        <a:prstGeom prst="rect">
          <a:avLst/>
        </a:prstGeom>
      </xdr:spPr>
    </xdr:pic>
    <xdr:clientData/>
  </xdr:twoCellAnchor>
  <xdr:twoCellAnchor editAs="oneCell">
    <xdr:from>
      <xdr:col>13</xdr:col>
      <xdr:colOff>312420</xdr:colOff>
      <xdr:row>19</xdr:row>
      <xdr:rowOff>145438</xdr:rowOff>
    </xdr:from>
    <xdr:to>
      <xdr:col>19</xdr:col>
      <xdr:colOff>79196</xdr:colOff>
      <xdr:row>33</xdr:row>
      <xdr:rowOff>96049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E362505-FD20-6B90-50C1-C9F0682BD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37220" y="3620158"/>
          <a:ext cx="3424376" cy="2510931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18</xdr:row>
      <xdr:rowOff>152399</xdr:rowOff>
    </xdr:from>
    <xdr:to>
      <xdr:col>12</xdr:col>
      <xdr:colOff>341044</xdr:colOff>
      <xdr:row>33</xdr:row>
      <xdr:rowOff>111104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29BC349-EB42-E80B-6314-B5C824621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05300" y="3444239"/>
          <a:ext cx="3350945" cy="2701905"/>
        </a:xfrm>
        <a:prstGeom prst="rect">
          <a:avLst/>
        </a:prstGeom>
      </xdr:spPr>
    </xdr:pic>
    <xdr:clientData/>
  </xdr:twoCellAnchor>
  <xdr:twoCellAnchor editAs="oneCell">
    <xdr:from>
      <xdr:col>14</xdr:col>
      <xdr:colOff>114300</xdr:colOff>
      <xdr:row>40</xdr:row>
      <xdr:rowOff>15240</xdr:rowOff>
    </xdr:from>
    <xdr:to>
      <xdr:col>18</xdr:col>
      <xdr:colOff>491592</xdr:colOff>
      <xdr:row>54</xdr:row>
      <xdr:rowOff>22860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6F79099-EA5E-E16B-4E64-F959753380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5735" t="8672"/>
        <a:stretch>
          <a:fillRect/>
        </a:stretch>
      </xdr:blipFill>
      <xdr:spPr>
        <a:xfrm>
          <a:off x="8648700" y="7330440"/>
          <a:ext cx="2815692" cy="2567940"/>
        </a:xfrm>
        <a:prstGeom prst="rect">
          <a:avLst/>
        </a:prstGeom>
      </xdr:spPr>
    </xdr:pic>
    <xdr:clientData/>
  </xdr:twoCellAnchor>
  <xdr:twoCellAnchor editAs="oneCell">
    <xdr:from>
      <xdr:col>7</xdr:col>
      <xdr:colOff>68579</xdr:colOff>
      <xdr:row>41</xdr:row>
      <xdr:rowOff>161109</xdr:rowOff>
    </xdr:from>
    <xdr:to>
      <xdr:col>11</xdr:col>
      <xdr:colOff>91439</xdr:colOff>
      <xdr:row>55</xdr:row>
      <xdr:rowOff>10886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CF4E8CC-77B3-5B49-B406-3E8593079D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12466"/>
        <a:stretch>
          <a:fillRect/>
        </a:stretch>
      </xdr:blipFill>
      <xdr:spPr>
        <a:xfrm>
          <a:off x="4335779" y="7659189"/>
          <a:ext cx="2461261" cy="2410097"/>
        </a:xfrm>
        <a:prstGeom prst="rect">
          <a:avLst/>
        </a:prstGeom>
      </xdr:spPr>
    </xdr:pic>
    <xdr:clientData/>
  </xdr:twoCellAnchor>
  <xdr:twoCellAnchor editAs="oneCell">
    <xdr:from>
      <xdr:col>0</xdr:col>
      <xdr:colOff>187474</xdr:colOff>
      <xdr:row>41</xdr:row>
      <xdr:rowOff>7620</xdr:rowOff>
    </xdr:from>
    <xdr:to>
      <xdr:col>5</xdr:col>
      <xdr:colOff>5126</xdr:colOff>
      <xdr:row>55</xdr:row>
      <xdr:rowOff>69574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8C707B8-08EE-5030-654B-7FDBF8206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7474" y="7505700"/>
          <a:ext cx="3046465" cy="2622274"/>
        </a:xfrm>
        <a:prstGeom prst="rect">
          <a:avLst/>
        </a:prstGeom>
      </xdr:spPr>
    </xdr:pic>
    <xdr:clientData/>
  </xdr:twoCellAnchor>
  <xdr:twoCellAnchor editAs="oneCell">
    <xdr:from>
      <xdr:col>0</xdr:col>
      <xdr:colOff>424294</xdr:colOff>
      <xdr:row>60</xdr:row>
      <xdr:rowOff>167948</xdr:rowOff>
    </xdr:from>
    <xdr:to>
      <xdr:col>5</xdr:col>
      <xdr:colOff>295436</xdr:colOff>
      <xdr:row>71</xdr:row>
      <xdr:rowOff>38205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7D49F86-15CF-6787-0768-247A2142C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4294" y="11078403"/>
          <a:ext cx="3082637" cy="18705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5997-17F9-4B2B-BFB0-931333792D71}">
  <dimension ref="B2:AZ86"/>
  <sheetViews>
    <sheetView topLeftCell="S1" zoomScale="117" zoomScaleNormal="66" workbookViewId="0">
      <pane ySplit="4" topLeftCell="A68" activePane="bottomLeft" state="frozen"/>
      <selection pane="bottomLeft" activeCell="Z80" sqref="Z80"/>
    </sheetView>
  </sheetViews>
  <sheetFormatPr defaultColWidth="15.88671875" defaultRowHeight="11.25" customHeight="1" x14ac:dyDescent="0.3"/>
  <cols>
    <col min="1" max="1" width="7.5546875" style="1" customWidth="1"/>
    <col min="2" max="2" width="26.5546875" style="1" customWidth="1"/>
    <col min="3" max="3" width="9.109375" style="1" customWidth="1"/>
    <col min="4" max="4" width="14.88671875" style="6" customWidth="1"/>
    <col min="5" max="5" width="18.88671875" style="1" customWidth="1"/>
    <col min="6" max="7" width="8.44140625" style="1" customWidth="1"/>
    <col min="8" max="8" width="14.44140625" style="1" customWidth="1"/>
    <col min="9" max="9" width="17.5546875" style="1" customWidth="1"/>
    <col min="10" max="12" width="8.6640625" style="1" customWidth="1"/>
    <col min="13" max="13" width="11" style="1" customWidth="1"/>
    <col min="14" max="14" width="15.44140625" style="1" customWidth="1"/>
    <col min="15" max="15" width="11.88671875" style="1" customWidth="1"/>
    <col min="16" max="22" width="8.5546875" style="1" customWidth="1"/>
    <col min="23" max="23" width="12.33203125" style="1" customWidth="1"/>
    <col min="24" max="26" width="9.109375" style="1" customWidth="1"/>
    <col min="27" max="29" width="8.88671875" style="1" hidden="1" customWidth="1"/>
    <col min="30" max="31" width="7.5546875" style="1" hidden="1" customWidth="1"/>
    <col min="32" max="37" width="10.5546875" style="1" hidden="1" customWidth="1"/>
    <col min="38" max="38" width="8.5546875" style="1" hidden="1" customWidth="1"/>
    <col min="39" max="39" width="13.44140625" style="1" hidden="1" customWidth="1"/>
    <col min="40" max="41" width="7.5546875" style="1" customWidth="1"/>
    <col min="42" max="42" width="6.88671875" style="1" customWidth="1"/>
    <col min="43" max="43" width="9.44140625" style="1" customWidth="1"/>
    <col min="44" max="44" width="10.109375" style="1" customWidth="1"/>
    <col min="45" max="45" width="9.88671875" style="1" customWidth="1"/>
    <col min="46" max="46" width="9.109375" style="1" customWidth="1"/>
    <col min="47" max="47" width="8.33203125" style="1" customWidth="1"/>
    <col min="48" max="48" width="9" style="1" customWidth="1"/>
    <col min="49" max="49" width="8.6640625" style="1" customWidth="1"/>
    <col min="50" max="50" width="9.33203125" style="1" customWidth="1"/>
    <col min="51" max="51" width="9.6640625" style="1" customWidth="1"/>
    <col min="52" max="52" width="48.109375" style="1" customWidth="1"/>
    <col min="53" max="16384" width="15.88671875" style="1"/>
  </cols>
  <sheetData>
    <row r="2" spans="2:52" ht="14.4" customHeight="1" x14ac:dyDescent="0.3">
      <c r="D2" s="98" t="s">
        <v>0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106" t="s">
        <v>1</v>
      </c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98" t="s">
        <v>2</v>
      </c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</row>
    <row r="3" spans="2:52" ht="44.1" customHeight="1" x14ac:dyDescent="0.3">
      <c r="C3" s="31"/>
      <c r="D3" s="99" t="s">
        <v>3</v>
      </c>
      <c r="E3" s="96" t="s">
        <v>4</v>
      </c>
      <c r="F3" s="96" t="s">
        <v>5</v>
      </c>
      <c r="G3" s="96" t="s">
        <v>6</v>
      </c>
      <c r="H3" s="96" t="s">
        <v>7</v>
      </c>
      <c r="I3" s="96" t="s">
        <v>8</v>
      </c>
      <c r="J3" s="96" t="s">
        <v>9</v>
      </c>
      <c r="K3" s="96" t="s">
        <v>10</v>
      </c>
      <c r="L3" s="96" t="s">
        <v>11</v>
      </c>
      <c r="M3" s="96" t="s">
        <v>12</v>
      </c>
      <c r="N3" s="96" t="s">
        <v>13</v>
      </c>
      <c r="O3" s="96" t="s">
        <v>14</v>
      </c>
      <c r="P3" s="29" t="s">
        <v>15</v>
      </c>
      <c r="Q3" s="29" t="s">
        <v>15</v>
      </c>
      <c r="R3" s="29" t="s">
        <v>15</v>
      </c>
      <c r="S3" s="29" t="s">
        <v>15</v>
      </c>
      <c r="T3" s="96" t="s">
        <v>16</v>
      </c>
      <c r="U3" s="96" t="s">
        <v>17</v>
      </c>
      <c r="V3" s="96" t="s">
        <v>18</v>
      </c>
      <c r="W3" s="96" t="s">
        <v>19</v>
      </c>
      <c r="X3" s="96" t="s">
        <v>20</v>
      </c>
      <c r="Y3" s="96" t="s">
        <v>21</v>
      </c>
      <c r="Z3" s="103" t="s">
        <v>22</v>
      </c>
      <c r="AA3" s="102" t="s">
        <v>23</v>
      </c>
      <c r="AB3" s="101" t="s">
        <v>24</v>
      </c>
      <c r="AC3" s="101" t="s">
        <v>25</v>
      </c>
      <c r="AD3" s="101" t="s">
        <v>26</v>
      </c>
      <c r="AE3" s="101"/>
      <c r="AF3" s="101" t="s">
        <v>27</v>
      </c>
      <c r="AG3" s="101" t="s">
        <v>28</v>
      </c>
      <c r="AH3" s="101" t="s">
        <v>29</v>
      </c>
      <c r="AI3" s="101" t="s">
        <v>30</v>
      </c>
      <c r="AJ3" s="101" t="s">
        <v>31</v>
      </c>
      <c r="AK3" s="101" t="s">
        <v>32</v>
      </c>
      <c r="AL3" s="101" t="s">
        <v>33</v>
      </c>
      <c r="AM3" s="110" t="s">
        <v>34</v>
      </c>
      <c r="AN3" s="93" t="s">
        <v>35</v>
      </c>
      <c r="AO3" s="94"/>
      <c r="AP3" s="94"/>
      <c r="AQ3" s="94"/>
      <c r="AR3" s="95"/>
      <c r="AS3" s="107" t="s">
        <v>36</v>
      </c>
      <c r="AT3" s="108"/>
      <c r="AU3" s="108"/>
      <c r="AV3" s="109"/>
      <c r="AW3" s="107" t="s">
        <v>37</v>
      </c>
      <c r="AX3" s="108"/>
      <c r="AY3" s="109"/>
      <c r="AZ3" s="105" t="s">
        <v>38</v>
      </c>
    </row>
    <row r="4" spans="2:52" s="6" customFormat="1" ht="32.4" x14ac:dyDescent="0.3">
      <c r="B4" s="16" t="s">
        <v>39</v>
      </c>
      <c r="C4" s="32" t="s">
        <v>40</v>
      </c>
      <c r="D4" s="100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38" t="s">
        <v>41</v>
      </c>
      <c r="Q4" s="16" t="s">
        <v>42</v>
      </c>
      <c r="R4" s="16" t="s">
        <v>43</v>
      </c>
      <c r="S4" s="16" t="s">
        <v>44</v>
      </c>
      <c r="T4" s="97"/>
      <c r="U4" s="97"/>
      <c r="V4" s="97"/>
      <c r="W4" s="97"/>
      <c r="X4" s="97"/>
      <c r="Y4" s="97"/>
      <c r="Z4" s="104"/>
      <c r="AA4" s="102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10"/>
      <c r="AN4" s="14" t="s">
        <v>45</v>
      </c>
      <c r="AO4" s="15" t="s">
        <v>46</v>
      </c>
      <c r="AP4" s="15" t="s">
        <v>47</v>
      </c>
      <c r="AQ4" s="15" t="s">
        <v>48</v>
      </c>
      <c r="AR4" s="15" t="s">
        <v>49</v>
      </c>
      <c r="AS4" s="15" t="s">
        <v>50</v>
      </c>
      <c r="AT4" s="15" t="s">
        <v>45</v>
      </c>
      <c r="AU4" s="15" t="s">
        <v>51</v>
      </c>
      <c r="AV4" s="15" t="s">
        <v>47</v>
      </c>
      <c r="AW4" s="15" t="s">
        <v>45</v>
      </c>
      <c r="AX4" s="15" t="s">
        <v>51</v>
      </c>
      <c r="AY4" s="15" t="s">
        <v>47</v>
      </c>
      <c r="AZ4" s="105"/>
    </row>
    <row r="5" spans="2:52" ht="10.8" x14ac:dyDescent="0.3">
      <c r="B5" s="2" t="s">
        <v>52</v>
      </c>
      <c r="C5" s="39">
        <v>1</v>
      </c>
      <c r="D5" s="56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4">
        <v>0.97099999999999997</v>
      </c>
      <c r="Q5" s="46">
        <v>0.18</v>
      </c>
      <c r="R5" s="24">
        <v>0</v>
      </c>
      <c r="S5" s="24">
        <v>0</v>
      </c>
      <c r="T5" s="22">
        <v>45.249000000000002</v>
      </c>
      <c r="U5" s="22">
        <f t="shared" ref="U5:U20" si="0">SUM(P5:S5)</f>
        <v>1.151</v>
      </c>
      <c r="V5" s="22"/>
      <c r="W5" s="24">
        <f>SUM(P5:Q5)</f>
        <v>1.151</v>
      </c>
      <c r="X5" s="17">
        <f>W5/U5</f>
        <v>1</v>
      </c>
      <c r="Y5" s="22">
        <f>SUM(R5:S5)</f>
        <v>0</v>
      </c>
      <c r="Z5" s="17">
        <f>Y5/U5</f>
        <v>0</v>
      </c>
      <c r="AA5" s="26">
        <v>300</v>
      </c>
      <c r="AB5" s="24">
        <v>0.5</v>
      </c>
      <c r="AC5" s="22">
        <v>48.499964548180003</v>
      </c>
      <c r="AD5" s="43">
        <v>400000</v>
      </c>
      <c r="AE5" s="43">
        <v>750000</v>
      </c>
      <c r="AF5" s="3">
        <f>AD5/AA5</f>
        <v>1333.3333333333333</v>
      </c>
      <c r="AG5" s="3">
        <f>AE5/AA5</f>
        <v>2500</v>
      </c>
      <c r="AH5" s="3">
        <f>AD5/AB5</f>
        <v>800000</v>
      </c>
      <c r="AI5" s="3">
        <f>AE5/AB5</f>
        <v>1500000</v>
      </c>
      <c r="AJ5" s="3">
        <f>AD5/AC5</f>
        <v>8247.428708997073</v>
      </c>
      <c r="AK5" s="3">
        <f>AE5/AC5</f>
        <v>15463.928829369512</v>
      </c>
      <c r="AL5" s="22">
        <f>AB5*100000/AA5</f>
        <v>166.66666666666666</v>
      </c>
      <c r="AM5" s="35" t="s">
        <v>53</v>
      </c>
      <c r="AN5" s="33"/>
      <c r="AO5" s="11"/>
      <c r="AP5" s="11"/>
      <c r="AQ5" s="11"/>
      <c r="AR5" s="11"/>
      <c r="AS5" s="17"/>
      <c r="AT5" s="17"/>
      <c r="AU5" s="17"/>
      <c r="AV5" s="17"/>
      <c r="AW5" s="17"/>
      <c r="AX5" s="17"/>
      <c r="AY5" s="17"/>
      <c r="AZ5" s="17"/>
    </row>
    <row r="6" spans="2:52" ht="10.8" x14ac:dyDescent="0.3">
      <c r="B6" s="2" t="s">
        <v>54</v>
      </c>
      <c r="C6" s="39">
        <v>1</v>
      </c>
      <c r="D6" s="56" t="s">
        <v>55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4">
        <v>2.0019999999999998</v>
      </c>
      <c r="Q6" s="46">
        <v>1.74</v>
      </c>
      <c r="R6" s="24">
        <v>18.475999999999999</v>
      </c>
      <c r="S6" s="24">
        <v>33.649000000000001</v>
      </c>
      <c r="T6" s="22">
        <v>279.70999999999998</v>
      </c>
      <c r="U6" s="22">
        <f t="shared" si="0"/>
        <v>55.867000000000004</v>
      </c>
      <c r="V6" s="22"/>
      <c r="W6" s="24">
        <f>SUM(P6:Q6)</f>
        <v>3.742</v>
      </c>
      <c r="X6" s="17">
        <f>W6/U6</f>
        <v>6.6980507276209564E-2</v>
      </c>
      <c r="Y6" s="22">
        <f t="shared" ref="Y6:Y26" si="1">SUM(R6:S6)</f>
        <v>52.125</v>
      </c>
      <c r="Z6" s="17">
        <f t="shared" ref="Z6:Z12" si="2">Y6/U6</f>
        <v>0.93301949272379037</v>
      </c>
      <c r="AA6" s="26"/>
      <c r="AB6" s="24">
        <v>0.8</v>
      </c>
      <c r="AC6" s="22">
        <v>430.69216996702494</v>
      </c>
      <c r="AD6" s="43">
        <v>750000</v>
      </c>
      <c r="AE6" s="43">
        <v>1500000</v>
      </c>
      <c r="AF6" s="3" t="e">
        <f>AD6/AA6</f>
        <v>#DIV/0!</v>
      </c>
      <c r="AG6" s="3" t="e">
        <f>AE6/AA6</f>
        <v>#DIV/0!</v>
      </c>
      <c r="AH6" s="3">
        <f t="shared" ref="AH6:AH7" si="3">AD6/AB6</f>
        <v>937500</v>
      </c>
      <c r="AI6" s="3">
        <f t="shared" ref="AI6:AI7" si="4">AE6/AB6</f>
        <v>1875000</v>
      </c>
      <c r="AJ6" s="3">
        <f t="shared" ref="AJ6:AJ11" si="5">AD6/AC6</f>
        <v>1741.3829465658087</v>
      </c>
      <c r="AK6" s="3">
        <f t="shared" ref="AK6:AK11" si="6">AE6/AC6</f>
        <v>3482.7658931316173</v>
      </c>
      <c r="AL6" s="22" t="e">
        <f t="shared" ref="AL6:AL19" si="7">AB6*100000/AA6</f>
        <v>#DIV/0!</v>
      </c>
      <c r="AM6" s="35" t="s">
        <v>53</v>
      </c>
      <c r="AN6" s="11">
        <v>2</v>
      </c>
      <c r="AO6" s="11">
        <f>2+1.74</f>
        <v>3.74</v>
      </c>
      <c r="AP6" s="11">
        <v>6.23</v>
      </c>
      <c r="AQ6" s="11"/>
      <c r="AR6" s="11"/>
      <c r="AS6" s="17"/>
      <c r="AT6" s="17"/>
      <c r="AU6" s="17"/>
      <c r="AV6" s="17"/>
      <c r="AW6" s="17">
        <v>0.04</v>
      </c>
      <c r="AX6" s="17">
        <v>7.0000000000000007E-2</v>
      </c>
      <c r="AY6" s="17">
        <v>0.13</v>
      </c>
      <c r="AZ6" s="17" t="s">
        <v>56</v>
      </c>
    </row>
    <row r="7" spans="2:52" ht="10.8" x14ac:dyDescent="0.3">
      <c r="B7" s="2" t="s">
        <v>57</v>
      </c>
      <c r="C7" s="39">
        <v>1</v>
      </c>
      <c r="D7" s="56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4">
        <v>0</v>
      </c>
      <c r="Q7" s="46">
        <v>0</v>
      </c>
      <c r="R7" s="24">
        <v>0</v>
      </c>
      <c r="S7" s="24">
        <v>0</v>
      </c>
      <c r="T7" s="22">
        <v>81.442999999999998</v>
      </c>
      <c r="U7" s="22">
        <f t="shared" si="0"/>
        <v>0</v>
      </c>
      <c r="V7" s="22"/>
      <c r="W7" s="24">
        <f t="shared" ref="W7:W26" si="8">SUM(P7:Q7)</f>
        <v>0</v>
      </c>
      <c r="X7" s="17" t="e">
        <f t="shared" ref="X7:X26" si="9">W7/U7</f>
        <v>#DIV/0!</v>
      </c>
      <c r="Y7" s="22">
        <f t="shared" si="1"/>
        <v>0</v>
      </c>
      <c r="Z7" s="17" t="e">
        <f t="shared" si="2"/>
        <v>#DIV/0!</v>
      </c>
      <c r="AA7" s="26">
        <v>1500</v>
      </c>
      <c r="AB7" s="24">
        <v>1.8</v>
      </c>
      <c r="AC7" s="22">
        <v>115.85187577220499</v>
      </c>
      <c r="AD7" s="43">
        <v>1500000</v>
      </c>
      <c r="AE7" s="43">
        <v>2500000</v>
      </c>
      <c r="AF7" s="3">
        <f t="shared" ref="AF7" si="10">AD7/AA7</f>
        <v>1000</v>
      </c>
      <c r="AG7" s="3">
        <f t="shared" ref="AG7" si="11">AE7/AA7</f>
        <v>1666.6666666666667</v>
      </c>
      <c r="AH7" s="3">
        <f t="shared" si="3"/>
        <v>833333.33333333326</v>
      </c>
      <c r="AI7" s="3">
        <f t="shared" si="4"/>
        <v>1388888.8888888888</v>
      </c>
      <c r="AJ7" s="3">
        <f t="shared" si="5"/>
        <v>12947.567659149441</v>
      </c>
      <c r="AK7" s="3">
        <f>AE7/AC7</f>
        <v>21579.279431915736</v>
      </c>
      <c r="AL7" s="22">
        <f t="shared" si="7"/>
        <v>120</v>
      </c>
      <c r="AM7" s="35" t="s">
        <v>53</v>
      </c>
      <c r="AN7" s="11"/>
      <c r="AO7" s="11"/>
      <c r="AP7" s="11"/>
      <c r="AQ7" s="11"/>
      <c r="AR7" s="11"/>
      <c r="AS7" s="17"/>
      <c r="AT7" s="17"/>
      <c r="AU7" s="17"/>
      <c r="AV7" s="17"/>
      <c r="AW7" s="17"/>
      <c r="AX7" s="17"/>
      <c r="AY7" s="17"/>
      <c r="AZ7" s="17"/>
    </row>
    <row r="8" spans="2:52" ht="10.8" x14ac:dyDescent="0.3">
      <c r="B8" s="4" t="s">
        <v>58</v>
      </c>
      <c r="C8" s="40">
        <v>2</v>
      </c>
      <c r="D8" s="57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25">
        <v>38.290999999999997</v>
      </c>
      <c r="Q8" s="47">
        <v>8.5719999999999992</v>
      </c>
      <c r="R8" s="25">
        <v>146.637</v>
      </c>
      <c r="S8" s="25">
        <v>0</v>
      </c>
      <c r="T8" s="23">
        <v>1496.114</v>
      </c>
      <c r="U8" s="23">
        <f t="shared" si="0"/>
        <v>193.5</v>
      </c>
      <c r="V8" s="23"/>
      <c r="W8" s="25">
        <f t="shared" si="8"/>
        <v>46.863</v>
      </c>
      <c r="X8" s="18">
        <f t="shared" si="9"/>
        <v>0.24218604651162789</v>
      </c>
      <c r="Y8" s="23">
        <f t="shared" si="1"/>
        <v>146.637</v>
      </c>
      <c r="Z8" s="18">
        <f t="shared" si="2"/>
        <v>0.75781395348837211</v>
      </c>
      <c r="AA8" s="27">
        <v>4003</v>
      </c>
      <c r="AB8" s="25">
        <v>10.592000000000001</v>
      </c>
      <c r="AC8" s="23">
        <v>1821.8546196003601</v>
      </c>
      <c r="AD8" s="44">
        <v>6000000</v>
      </c>
      <c r="AE8" s="44">
        <v>9000000</v>
      </c>
      <c r="AF8" s="5">
        <f t="shared" ref="AF8" si="12">AD8/AA8</f>
        <v>1498.8758431176618</v>
      </c>
      <c r="AG8" s="5">
        <f t="shared" ref="AG8" si="13">AE8/AA8</f>
        <v>2248.3137646764926</v>
      </c>
      <c r="AH8" s="5">
        <f>AD8/AB8</f>
        <v>566465.25679758308</v>
      </c>
      <c r="AI8" s="5">
        <f t="shared" ref="AI8" si="14">AE8/AB8</f>
        <v>849697.88519637461</v>
      </c>
      <c r="AJ8" s="5">
        <f t="shared" si="5"/>
        <v>3293.3473041422772</v>
      </c>
      <c r="AK8" s="5">
        <f t="shared" si="6"/>
        <v>4940.020956213416</v>
      </c>
      <c r="AL8" s="23">
        <f t="shared" si="7"/>
        <v>264.60154883837123</v>
      </c>
      <c r="AM8" s="36" t="s">
        <v>53</v>
      </c>
      <c r="AN8" s="34" t="s">
        <v>59</v>
      </c>
      <c r="AO8" s="12">
        <v>11.429</v>
      </c>
      <c r="AP8" s="12">
        <f>11.429+9.971</f>
        <v>21.4</v>
      </c>
      <c r="AQ8" s="12"/>
      <c r="AR8" s="12"/>
      <c r="AS8" s="18"/>
      <c r="AT8" s="18"/>
      <c r="AU8" s="18"/>
      <c r="AV8" s="18"/>
      <c r="AW8" s="18" t="s">
        <v>59</v>
      </c>
      <c r="AX8" s="18">
        <v>0.14000000000000001</v>
      </c>
      <c r="AY8" s="18">
        <v>0.15</v>
      </c>
      <c r="AZ8" s="18" t="s">
        <v>60</v>
      </c>
    </row>
    <row r="9" spans="2:52" ht="10.8" x14ac:dyDescent="0.3">
      <c r="B9" s="4" t="s">
        <v>61</v>
      </c>
      <c r="C9" s="40">
        <v>2</v>
      </c>
      <c r="D9" s="5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25">
        <v>17.04</v>
      </c>
      <c r="Q9" s="47">
        <v>16.52</v>
      </c>
      <c r="R9" s="25">
        <v>0</v>
      </c>
      <c r="S9" s="25">
        <v>598.90899999999999</v>
      </c>
      <c r="T9" s="23">
        <v>560.16600000000005</v>
      </c>
      <c r="U9" s="23">
        <f t="shared" si="0"/>
        <v>632.46900000000005</v>
      </c>
      <c r="V9" s="23"/>
      <c r="W9" s="25">
        <f t="shared" si="8"/>
        <v>33.56</v>
      </c>
      <c r="X9" s="18">
        <f t="shared" si="9"/>
        <v>5.3061889199312533E-2</v>
      </c>
      <c r="Y9" s="23">
        <f t="shared" si="1"/>
        <v>598.90899999999999</v>
      </c>
      <c r="Z9" s="18">
        <f t="shared" si="2"/>
        <v>0.94693811080068735</v>
      </c>
      <c r="AA9" s="27">
        <v>7440</v>
      </c>
      <c r="AB9" s="25">
        <v>6.7443999999999997</v>
      </c>
      <c r="AC9" s="23">
        <v>856.46694350390396</v>
      </c>
      <c r="AD9" s="44">
        <v>9000000</v>
      </c>
      <c r="AE9" s="44">
        <v>13000000</v>
      </c>
      <c r="AF9" s="5">
        <f t="shared" ref="AF9" si="15">AD9/AA9</f>
        <v>1209.6774193548388</v>
      </c>
      <c r="AG9" s="5">
        <f t="shared" ref="AG9" si="16">AE9/AA9</f>
        <v>1747.3118279569892</v>
      </c>
      <c r="AH9" s="5">
        <f>AD9/AB9</f>
        <v>1334440.4246485974</v>
      </c>
      <c r="AI9" s="5">
        <f t="shared" ref="AI9" si="17">AE9/AB9</f>
        <v>1927525.0578257518</v>
      </c>
      <c r="AJ9" s="5">
        <f t="shared" si="5"/>
        <v>10508.286476510084</v>
      </c>
      <c r="AK9" s="5">
        <f t="shared" si="6"/>
        <v>15178.636021625676</v>
      </c>
      <c r="AL9" s="23">
        <f t="shared" si="7"/>
        <v>90.650537634408607</v>
      </c>
      <c r="AM9" s="36" t="s">
        <v>53</v>
      </c>
      <c r="AN9" s="34"/>
      <c r="AO9" s="12"/>
      <c r="AP9" s="12"/>
      <c r="AQ9" s="12"/>
      <c r="AR9" s="12"/>
      <c r="AS9" s="18"/>
      <c r="AT9" s="18"/>
      <c r="AU9" s="18"/>
      <c r="AV9" s="18"/>
      <c r="AW9" s="18"/>
      <c r="AX9" s="18"/>
      <c r="AY9" s="18"/>
      <c r="AZ9" s="18"/>
    </row>
    <row r="10" spans="2:52" ht="10.8" x14ac:dyDescent="0.3">
      <c r="B10" s="4" t="s">
        <v>62</v>
      </c>
      <c r="C10" s="40">
        <v>2</v>
      </c>
      <c r="D10" s="57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25">
        <v>4.718</v>
      </c>
      <c r="Q10" s="47">
        <v>0.48899999999999999</v>
      </c>
      <c r="R10" s="25">
        <v>24.863</v>
      </c>
      <c r="S10" s="25">
        <v>178.68100000000001</v>
      </c>
      <c r="T10" s="23">
        <v>390.52300000000002</v>
      </c>
      <c r="U10" s="23">
        <f t="shared" si="0"/>
        <v>208.751</v>
      </c>
      <c r="V10" s="23"/>
      <c r="W10" s="25">
        <f t="shared" si="8"/>
        <v>5.2069999999999999</v>
      </c>
      <c r="X10" s="18">
        <f t="shared" si="9"/>
        <v>2.4943593084584024E-2</v>
      </c>
      <c r="Y10" s="23">
        <f t="shared" si="1"/>
        <v>203.54400000000001</v>
      </c>
      <c r="Z10" s="18">
        <f t="shared" si="2"/>
        <v>0.97505640691541595</v>
      </c>
      <c r="AA10" s="27">
        <v>1517</v>
      </c>
      <c r="AB10" s="25">
        <v>1.4</v>
      </c>
      <c r="AC10" s="23">
        <v>428.11449939879196</v>
      </c>
      <c r="AD10" s="44">
        <v>2000000</v>
      </c>
      <c r="AE10" s="44">
        <v>3000000</v>
      </c>
      <c r="AF10" s="5">
        <f t="shared" ref="AF10" si="18">AD10/AA10</f>
        <v>1318.3915622940012</v>
      </c>
      <c r="AG10" s="5">
        <f t="shared" ref="AG10" si="19">AE10/AA10</f>
        <v>1977.5873434410021</v>
      </c>
      <c r="AH10" s="5">
        <f>AD10/AB10</f>
        <v>1428571.4285714286</v>
      </c>
      <c r="AI10" s="5">
        <f t="shared" ref="AI10" si="20">AE10/AB10</f>
        <v>2142857.1428571432</v>
      </c>
      <c r="AJ10" s="5">
        <f t="shared" si="5"/>
        <v>4671.6474279862796</v>
      </c>
      <c r="AK10" s="5">
        <f t="shared" si="6"/>
        <v>7007.4711419794194</v>
      </c>
      <c r="AL10" s="23">
        <f t="shared" si="7"/>
        <v>92.287409360580099</v>
      </c>
      <c r="AM10" s="36" t="s">
        <v>53</v>
      </c>
      <c r="AN10" s="34">
        <v>3.43</v>
      </c>
      <c r="AO10" s="12">
        <v>1.29</v>
      </c>
      <c r="AP10" s="12">
        <v>2.57</v>
      </c>
      <c r="AQ10" s="12"/>
      <c r="AR10" s="12"/>
      <c r="AS10" s="18"/>
      <c r="AT10" s="18"/>
      <c r="AU10" s="18"/>
      <c r="AV10" s="18"/>
      <c r="AW10" s="18">
        <v>0.04</v>
      </c>
      <c r="AX10" s="18">
        <v>0.01</v>
      </c>
      <c r="AY10" s="18">
        <v>0.03</v>
      </c>
      <c r="AZ10" s="18" t="s">
        <v>63</v>
      </c>
    </row>
    <row r="11" spans="2:52" ht="11.1" customHeight="1" x14ac:dyDescent="0.3">
      <c r="B11" s="4" t="s">
        <v>64</v>
      </c>
      <c r="C11" s="40">
        <v>2</v>
      </c>
      <c r="D11" s="57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25">
        <v>1.9390000000000001</v>
      </c>
      <c r="Q11" s="47">
        <v>1.3839999999999999</v>
      </c>
      <c r="R11" s="25">
        <v>0</v>
      </c>
      <c r="S11" s="25">
        <v>127.166</v>
      </c>
      <c r="T11" s="23">
        <v>186.78800000000001</v>
      </c>
      <c r="U11" s="23">
        <f t="shared" si="0"/>
        <v>130.489</v>
      </c>
      <c r="V11" s="23"/>
      <c r="W11" s="25">
        <f t="shared" si="8"/>
        <v>3.323</v>
      </c>
      <c r="X11" s="18">
        <f t="shared" si="9"/>
        <v>2.5465748070718604E-2</v>
      </c>
      <c r="Y11" s="23">
        <f t="shared" si="1"/>
        <v>127.166</v>
      </c>
      <c r="Z11" s="18">
        <f t="shared" si="2"/>
        <v>0.97453425192928134</v>
      </c>
      <c r="AA11" s="27">
        <v>2281</v>
      </c>
      <c r="AB11" s="25">
        <v>3.4</v>
      </c>
      <c r="AC11" s="23">
        <v>218.172243379934</v>
      </c>
      <c r="AD11" s="44">
        <v>3000000</v>
      </c>
      <c r="AE11" s="44">
        <v>5000000</v>
      </c>
      <c r="AF11" s="5">
        <f>AD11/AA11</f>
        <v>1315.2126260412099</v>
      </c>
      <c r="AG11" s="5">
        <f>AE11/AA11</f>
        <v>2192.0210434020169</v>
      </c>
      <c r="AH11" s="5">
        <f>AD11/AB11</f>
        <v>882352.9411764706</v>
      </c>
      <c r="AI11" s="5">
        <f t="shared" ref="AI11" si="21">AE11/AB11</f>
        <v>1470588.2352941176</v>
      </c>
      <c r="AJ11" s="5">
        <f t="shared" si="5"/>
        <v>13750.603438475344</v>
      </c>
      <c r="AK11" s="5">
        <f t="shared" si="6"/>
        <v>22917.672397458908</v>
      </c>
      <c r="AL11" s="23">
        <f t="shared" si="7"/>
        <v>149.05743095133712</v>
      </c>
      <c r="AM11" s="36" t="s">
        <v>53</v>
      </c>
      <c r="AN11" s="34"/>
      <c r="AO11" s="12">
        <v>1.149</v>
      </c>
      <c r="AP11" s="12">
        <v>5.26</v>
      </c>
      <c r="AQ11" s="12"/>
      <c r="AR11" s="12"/>
      <c r="AS11" s="18"/>
      <c r="AT11" s="18"/>
      <c r="AU11" s="18"/>
      <c r="AV11" s="18"/>
      <c r="AW11" s="18"/>
      <c r="AX11" s="18">
        <v>0.02</v>
      </c>
      <c r="AY11" s="18">
        <v>0.03</v>
      </c>
      <c r="AZ11" s="18"/>
    </row>
    <row r="12" spans="2:52" ht="10.8" x14ac:dyDescent="0.3">
      <c r="B12" s="4" t="s">
        <v>65</v>
      </c>
      <c r="C12" s="40">
        <v>2</v>
      </c>
      <c r="D12" s="5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25">
        <v>0.34200000000000003</v>
      </c>
      <c r="Q12" s="47">
        <v>2.181</v>
      </c>
      <c r="R12" s="25">
        <v>21.277999999999999</v>
      </c>
      <c r="S12" s="25">
        <v>0</v>
      </c>
      <c r="T12" s="23">
        <v>203.52500000000001</v>
      </c>
      <c r="U12" s="23">
        <f t="shared" si="0"/>
        <v>23.800999999999998</v>
      </c>
      <c r="V12" s="23"/>
      <c r="W12" s="25">
        <f t="shared" si="8"/>
        <v>2.5230000000000001</v>
      </c>
      <c r="X12" s="18">
        <f t="shared" si="9"/>
        <v>0.10600394941389019</v>
      </c>
      <c r="Y12" s="23">
        <f t="shared" si="1"/>
        <v>21.277999999999999</v>
      </c>
      <c r="Z12" s="18">
        <f t="shared" si="2"/>
        <v>0.89399605058610987</v>
      </c>
      <c r="AA12" s="27">
        <v>3709</v>
      </c>
      <c r="AB12" s="25">
        <v>3.2538999999999998</v>
      </c>
      <c r="AC12" s="23">
        <v>279.77973569762497</v>
      </c>
      <c r="AD12" s="44">
        <v>5000000</v>
      </c>
      <c r="AE12" s="44">
        <v>9000000</v>
      </c>
      <c r="AF12" s="5">
        <f t="shared" ref="AF12" si="22">AD12/AA12</f>
        <v>1348.0722566729576</v>
      </c>
      <c r="AG12" s="5">
        <f t="shared" ref="AG12" si="23">AE12/AA12</f>
        <v>2426.5300620113239</v>
      </c>
      <c r="AH12" s="5">
        <f>AD12/AB12</f>
        <v>1536617.5973447249</v>
      </c>
      <c r="AI12" s="5">
        <f t="shared" ref="AI12" si="24">AE12/AB12</f>
        <v>2765911.6752205049</v>
      </c>
      <c r="AJ12" s="5">
        <f>AD12/AC12</f>
        <v>17871.201384662843</v>
      </c>
      <c r="AK12" s="5">
        <f>AE12/AC12</f>
        <v>32168.162492393119</v>
      </c>
      <c r="AL12" s="23">
        <f t="shared" si="7"/>
        <v>87.729846319762743</v>
      </c>
      <c r="AM12" s="36" t="s">
        <v>53</v>
      </c>
      <c r="AN12" s="34"/>
      <c r="AO12" s="12">
        <v>1.39</v>
      </c>
      <c r="AP12" s="12">
        <v>10.73</v>
      </c>
      <c r="AQ12" s="12"/>
      <c r="AR12" s="12"/>
      <c r="AS12" s="18"/>
      <c r="AT12" s="18"/>
      <c r="AU12" s="18"/>
      <c r="AV12" s="18"/>
      <c r="AW12" s="18" t="s">
        <v>59</v>
      </c>
      <c r="AX12" s="18">
        <v>0.23</v>
      </c>
      <c r="AY12" s="18">
        <v>0.68</v>
      </c>
      <c r="AZ12" s="18"/>
    </row>
    <row r="13" spans="2:52" ht="10.8" x14ac:dyDescent="0.3">
      <c r="B13" s="7" t="s">
        <v>66</v>
      </c>
      <c r="C13" s="41" t="s">
        <v>67</v>
      </c>
      <c r="D13" s="58" t="s">
        <v>68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20">
        <v>0.23899999999999999</v>
      </c>
      <c r="Q13" s="48">
        <v>0.27100000000000002</v>
      </c>
      <c r="R13" s="20">
        <v>3.3109999999999999</v>
      </c>
      <c r="S13" s="20">
        <v>39.947000000000003</v>
      </c>
      <c r="T13" s="21">
        <v>57.506</v>
      </c>
      <c r="U13" s="21">
        <f t="shared" si="0"/>
        <v>43.768000000000001</v>
      </c>
      <c r="V13" s="21"/>
      <c r="W13" s="20">
        <f t="shared" si="8"/>
        <v>0.51</v>
      </c>
      <c r="X13" s="19">
        <f t="shared" si="9"/>
        <v>1.1652348747943703E-2</v>
      </c>
      <c r="Y13" s="21">
        <f t="shared" si="1"/>
        <v>43.258000000000003</v>
      </c>
      <c r="Z13" s="19">
        <f t="shared" ref="Z13:Z26" si="25">Y13/U13</f>
        <v>0.98834765125205637</v>
      </c>
      <c r="AA13" s="28"/>
      <c r="AB13" s="8"/>
      <c r="AC13" s="8"/>
      <c r="AD13" s="45"/>
      <c r="AE13" s="45"/>
      <c r="AF13" s="9" t="e">
        <f t="shared" ref="AF13:AF19" si="26">AD13/AA13</f>
        <v>#DIV/0!</v>
      </c>
      <c r="AG13" s="10" t="e">
        <f t="shared" ref="AG13:AG19" si="27">AE13/AA13</f>
        <v>#DIV/0!</v>
      </c>
      <c r="AH13" s="10" t="e">
        <f t="shared" ref="AH13:AH19" si="28">AD13/AB13</f>
        <v>#DIV/0!</v>
      </c>
      <c r="AI13" s="10" t="e">
        <f t="shared" ref="AI13:AI19" si="29">AE13/AB13</f>
        <v>#DIV/0!</v>
      </c>
      <c r="AJ13" s="9" t="e">
        <f t="shared" ref="AJ13:AJ19" si="30">AD13/AC13</f>
        <v>#DIV/0!</v>
      </c>
      <c r="AK13" s="9" t="e">
        <f t="shared" ref="AK13:AK19" si="31">AE13/AC13</f>
        <v>#DIV/0!</v>
      </c>
      <c r="AL13" s="21" t="e">
        <f t="shared" si="7"/>
        <v>#DIV/0!</v>
      </c>
      <c r="AM13" s="37"/>
      <c r="AN13" s="30"/>
      <c r="AO13" s="13"/>
      <c r="AP13" s="13"/>
      <c r="AQ13" s="13"/>
      <c r="AR13" s="13"/>
      <c r="AS13" s="19"/>
      <c r="AT13" s="19"/>
      <c r="AU13" s="19"/>
      <c r="AV13" s="19"/>
      <c r="AW13" s="19"/>
      <c r="AX13" s="19"/>
      <c r="AY13" s="19"/>
      <c r="AZ13" s="19"/>
    </row>
    <row r="14" spans="2:52" ht="32.4" x14ac:dyDescent="0.3">
      <c r="B14" s="7" t="s">
        <v>69</v>
      </c>
      <c r="C14" s="41" t="s">
        <v>67</v>
      </c>
      <c r="D14" s="58" t="s">
        <v>70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20">
        <v>5.6479999999999997</v>
      </c>
      <c r="Q14" s="48">
        <v>3.379</v>
      </c>
      <c r="R14" s="20">
        <v>0</v>
      </c>
      <c r="S14" s="20">
        <v>0</v>
      </c>
      <c r="T14" s="21">
        <v>113.506</v>
      </c>
      <c r="U14" s="21">
        <f t="shared" si="0"/>
        <v>9.0269999999999992</v>
      </c>
      <c r="V14" s="21"/>
      <c r="W14" s="20">
        <f t="shared" si="8"/>
        <v>9.0269999999999992</v>
      </c>
      <c r="X14" s="19">
        <f t="shared" si="9"/>
        <v>1</v>
      </c>
      <c r="Y14" s="21">
        <f t="shared" si="1"/>
        <v>0</v>
      </c>
      <c r="Z14" s="19">
        <f t="shared" si="25"/>
        <v>0</v>
      </c>
      <c r="AA14" s="28"/>
      <c r="AB14" s="8"/>
      <c r="AC14" s="8"/>
      <c r="AD14" s="45"/>
      <c r="AE14" s="45"/>
      <c r="AF14" s="9" t="e">
        <f t="shared" si="26"/>
        <v>#DIV/0!</v>
      </c>
      <c r="AG14" s="10" t="e">
        <f t="shared" si="27"/>
        <v>#DIV/0!</v>
      </c>
      <c r="AH14" s="10" t="e">
        <f t="shared" si="28"/>
        <v>#DIV/0!</v>
      </c>
      <c r="AI14" s="10" t="e">
        <f t="shared" si="29"/>
        <v>#DIV/0!</v>
      </c>
      <c r="AJ14" s="9" t="e">
        <f t="shared" si="30"/>
        <v>#DIV/0!</v>
      </c>
      <c r="AK14" s="9" t="e">
        <f t="shared" si="31"/>
        <v>#DIV/0!</v>
      </c>
      <c r="AL14" s="21" t="e">
        <f t="shared" si="7"/>
        <v>#DIV/0!</v>
      </c>
      <c r="AM14" s="37"/>
      <c r="AN14" s="30"/>
      <c r="AO14" s="13"/>
      <c r="AP14" s="13"/>
      <c r="AQ14" s="13"/>
      <c r="AR14" s="13"/>
      <c r="AS14" s="19"/>
      <c r="AT14" s="19"/>
      <c r="AU14" s="19"/>
      <c r="AV14" s="19"/>
      <c r="AW14" s="19"/>
      <c r="AX14" s="19"/>
      <c r="AY14" s="19"/>
      <c r="AZ14" s="19"/>
    </row>
    <row r="15" spans="2:52" ht="10.8" x14ac:dyDescent="0.3">
      <c r="B15" s="7" t="s">
        <v>71</v>
      </c>
      <c r="C15" s="41" t="s">
        <v>67</v>
      </c>
      <c r="D15" s="42" t="s">
        <v>55</v>
      </c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20">
        <v>0.10199999999999999</v>
      </c>
      <c r="Q15" s="48">
        <v>0.26500000000000001</v>
      </c>
      <c r="R15" s="20">
        <v>8.3170000000000002</v>
      </c>
      <c r="S15" s="20">
        <v>40.073</v>
      </c>
      <c r="T15" s="21">
        <v>56.2</v>
      </c>
      <c r="U15" s="21">
        <f t="shared" si="0"/>
        <v>48.757000000000005</v>
      </c>
      <c r="V15" s="21"/>
      <c r="W15" s="20">
        <f t="shared" si="8"/>
        <v>0.36699999999999999</v>
      </c>
      <c r="X15" s="19">
        <f t="shared" si="9"/>
        <v>7.5271243103554354E-3</v>
      </c>
      <c r="Y15" s="21">
        <f t="shared" si="1"/>
        <v>48.39</v>
      </c>
      <c r="Z15" s="19">
        <f t="shared" si="25"/>
        <v>0.99247287568964448</v>
      </c>
      <c r="AA15" s="28"/>
      <c r="AB15" s="8"/>
      <c r="AC15" s="8"/>
      <c r="AD15" s="45"/>
      <c r="AE15" s="45"/>
      <c r="AF15" s="9" t="e">
        <f t="shared" si="26"/>
        <v>#DIV/0!</v>
      </c>
      <c r="AG15" s="10" t="e">
        <f t="shared" si="27"/>
        <v>#DIV/0!</v>
      </c>
      <c r="AH15" s="10" t="e">
        <f t="shared" si="28"/>
        <v>#DIV/0!</v>
      </c>
      <c r="AI15" s="10" t="e">
        <f t="shared" si="29"/>
        <v>#DIV/0!</v>
      </c>
      <c r="AJ15" s="9" t="e">
        <f t="shared" si="30"/>
        <v>#DIV/0!</v>
      </c>
      <c r="AK15" s="9" t="e">
        <f t="shared" si="31"/>
        <v>#DIV/0!</v>
      </c>
      <c r="AL15" s="21" t="e">
        <f t="shared" si="7"/>
        <v>#DIV/0!</v>
      </c>
      <c r="AM15" s="37"/>
      <c r="AN15" s="30">
        <f>0.367/2</f>
        <v>0.1835</v>
      </c>
      <c r="AO15" s="13">
        <f>0.367</f>
        <v>0.36699999999999999</v>
      </c>
      <c r="AP15" s="13"/>
      <c r="AQ15" s="13"/>
      <c r="AR15" s="13"/>
      <c r="AS15" s="19"/>
      <c r="AT15" s="19"/>
      <c r="AU15" s="19"/>
      <c r="AV15" s="19"/>
      <c r="AW15" s="19">
        <v>2.3800000000000002E-2</v>
      </c>
      <c r="AX15" s="19">
        <v>2.63E-2</v>
      </c>
      <c r="AY15" s="19"/>
      <c r="AZ15" s="19"/>
    </row>
    <row r="16" spans="2:52" ht="32.4" x14ac:dyDescent="0.3">
      <c r="B16" s="7" t="s">
        <v>72</v>
      </c>
      <c r="C16" s="41" t="s">
        <v>67</v>
      </c>
      <c r="D16" s="58" t="s">
        <v>70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20">
        <v>9.7000000000000003E-2</v>
      </c>
      <c r="Q16" s="48">
        <v>4.0949999999999998</v>
      </c>
      <c r="R16" s="20">
        <v>44.411999999999999</v>
      </c>
      <c r="S16" s="20">
        <v>46.970999999999997</v>
      </c>
      <c r="T16" s="21">
        <v>171.43299999999999</v>
      </c>
      <c r="U16" s="21">
        <f t="shared" si="0"/>
        <v>95.574999999999989</v>
      </c>
      <c r="V16" s="21"/>
      <c r="W16" s="20">
        <f t="shared" si="8"/>
        <v>4.1920000000000002</v>
      </c>
      <c r="X16" s="19">
        <f t="shared" si="9"/>
        <v>4.3860842270468228E-2</v>
      </c>
      <c r="Y16" s="21">
        <f t="shared" si="1"/>
        <v>91.382999999999996</v>
      </c>
      <c r="Z16" s="19">
        <f t="shared" si="25"/>
        <v>0.95613915772953184</v>
      </c>
      <c r="AA16" s="28"/>
      <c r="AB16" s="8"/>
      <c r="AC16" s="8"/>
      <c r="AD16" s="45"/>
      <c r="AE16" s="45"/>
      <c r="AF16" s="9" t="e">
        <f t="shared" si="26"/>
        <v>#DIV/0!</v>
      </c>
      <c r="AG16" s="10" t="e">
        <f t="shared" si="27"/>
        <v>#DIV/0!</v>
      </c>
      <c r="AH16" s="10" t="e">
        <f t="shared" si="28"/>
        <v>#DIV/0!</v>
      </c>
      <c r="AI16" s="10" t="e">
        <f t="shared" si="29"/>
        <v>#DIV/0!</v>
      </c>
      <c r="AJ16" s="9" t="e">
        <f t="shared" si="30"/>
        <v>#DIV/0!</v>
      </c>
      <c r="AK16" s="9" t="e">
        <f t="shared" si="31"/>
        <v>#DIV/0!</v>
      </c>
      <c r="AL16" s="21" t="e">
        <f t="shared" si="7"/>
        <v>#DIV/0!</v>
      </c>
      <c r="AM16" s="37"/>
      <c r="AN16" s="30"/>
      <c r="AO16" s="13"/>
      <c r="AP16" s="13"/>
      <c r="AQ16" s="13"/>
      <c r="AR16" s="13"/>
      <c r="AS16" s="19"/>
      <c r="AT16" s="19"/>
      <c r="AU16" s="19"/>
      <c r="AV16" s="19"/>
      <c r="AW16" s="19"/>
      <c r="AX16" s="19"/>
      <c r="AY16" s="19"/>
      <c r="AZ16" s="19"/>
    </row>
    <row r="17" spans="2:52" ht="32.4" x14ac:dyDescent="0.3">
      <c r="B17" s="7" t="s">
        <v>73</v>
      </c>
      <c r="C17" s="41" t="s">
        <v>67</v>
      </c>
      <c r="D17" s="58" t="s">
        <v>70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20">
        <v>0.55700000000000005</v>
      </c>
      <c r="Q17" s="48">
        <v>0.81200000000000006</v>
      </c>
      <c r="R17" s="20">
        <v>5.3040000000000003</v>
      </c>
      <c r="S17" s="20">
        <v>75.430000000000007</v>
      </c>
      <c r="T17" s="21">
        <v>147.21</v>
      </c>
      <c r="U17" s="21">
        <f t="shared" si="0"/>
        <v>82.103000000000009</v>
      </c>
      <c r="V17" s="21"/>
      <c r="W17" s="20">
        <f t="shared" si="8"/>
        <v>1.3690000000000002</v>
      </c>
      <c r="X17" s="19">
        <f t="shared" si="9"/>
        <v>1.6674177557458314E-2</v>
      </c>
      <c r="Y17" s="21">
        <f t="shared" si="1"/>
        <v>80.734000000000009</v>
      </c>
      <c r="Z17" s="19">
        <f t="shared" si="25"/>
        <v>0.98332582244254174</v>
      </c>
      <c r="AA17" s="28"/>
      <c r="AB17" s="8"/>
      <c r="AC17" s="8"/>
      <c r="AD17" s="45"/>
      <c r="AE17" s="45"/>
      <c r="AF17" s="9" t="e">
        <f t="shared" si="26"/>
        <v>#DIV/0!</v>
      </c>
      <c r="AG17" s="10" t="e">
        <f t="shared" si="27"/>
        <v>#DIV/0!</v>
      </c>
      <c r="AH17" s="10" t="e">
        <f t="shared" si="28"/>
        <v>#DIV/0!</v>
      </c>
      <c r="AI17" s="10" t="e">
        <f t="shared" si="29"/>
        <v>#DIV/0!</v>
      </c>
      <c r="AJ17" s="9" t="e">
        <f t="shared" si="30"/>
        <v>#DIV/0!</v>
      </c>
      <c r="AK17" s="9" t="e">
        <f t="shared" si="31"/>
        <v>#DIV/0!</v>
      </c>
      <c r="AL17" s="21" t="e">
        <f t="shared" si="7"/>
        <v>#DIV/0!</v>
      </c>
      <c r="AM17" s="37"/>
      <c r="AN17" s="30"/>
      <c r="AO17" s="13"/>
      <c r="AP17" s="13"/>
      <c r="AQ17" s="13"/>
      <c r="AR17" s="13"/>
      <c r="AS17" s="19"/>
      <c r="AT17" s="19"/>
      <c r="AU17" s="19"/>
      <c r="AV17" s="19"/>
      <c r="AW17" s="19"/>
      <c r="AX17" s="19"/>
      <c r="AY17" s="19"/>
      <c r="AZ17" s="19"/>
    </row>
    <row r="18" spans="2:52" ht="21.6" x14ac:dyDescent="0.3">
      <c r="B18" s="7" t="s">
        <v>74</v>
      </c>
      <c r="C18" s="41" t="s">
        <v>67</v>
      </c>
      <c r="D18" s="58" t="s">
        <v>75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20">
        <v>7.6</v>
      </c>
      <c r="Q18" s="48">
        <v>18.693999999999999</v>
      </c>
      <c r="R18" s="20">
        <v>0</v>
      </c>
      <c r="S18" s="20">
        <v>121.86199999999999</v>
      </c>
      <c r="T18" s="21">
        <v>236.34200000000001</v>
      </c>
      <c r="U18" s="21">
        <f t="shared" si="0"/>
        <v>148.15600000000001</v>
      </c>
      <c r="V18" s="21"/>
      <c r="W18" s="20">
        <f t="shared" si="8"/>
        <v>26.293999999999997</v>
      </c>
      <c r="X18" s="19">
        <f t="shared" si="9"/>
        <v>0.17747509382002752</v>
      </c>
      <c r="Y18" s="21">
        <f t="shared" si="1"/>
        <v>121.86199999999999</v>
      </c>
      <c r="Z18" s="19">
        <f t="shared" si="25"/>
        <v>0.82252490617997243</v>
      </c>
      <c r="AA18" s="28"/>
      <c r="AB18" s="8"/>
      <c r="AC18" s="8"/>
      <c r="AD18" s="45"/>
      <c r="AE18" s="45"/>
      <c r="AF18" s="9" t="e">
        <f t="shared" si="26"/>
        <v>#DIV/0!</v>
      </c>
      <c r="AG18" s="10" t="e">
        <f t="shared" si="27"/>
        <v>#DIV/0!</v>
      </c>
      <c r="AH18" s="10" t="e">
        <f t="shared" si="28"/>
        <v>#DIV/0!</v>
      </c>
      <c r="AI18" s="10" t="e">
        <f t="shared" si="29"/>
        <v>#DIV/0!</v>
      </c>
      <c r="AJ18" s="9" t="e">
        <f t="shared" si="30"/>
        <v>#DIV/0!</v>
      </c>
      <c r="AK18" s="9" t="e">
        <f t="shared" si="31"/>
        <v>#DIV/0!</v>
      </c>
      <c r="AL18" s="21" t="e">
        <f t="shared" si="7"/>
        <v>#DIV/0!</v>
      </c>
      <c r="AM18" s="37"/>
      <c r="AN18" s="30"/>
      <c r="AO18" s="13"/>
      <c r="AP18" s="13"/>
      <c r="AQ18" s="13"/>
      <c r="AR18" s="13"/>
      <c r="AS18" s="19"/>
      <c r="AT18" s="19"/>
      <c r="AU18" s="19"/>
      <c r="AV18" s="19"/>
      <c r="AW18" s="19"/>
      <c r="AX18" s="19"/>
      <c r="AY18" s="19"/>
      <c r="AZ18" s="19"/>
    </row>
    <row r="19" spans="2:52" ht="21.6" x14ac:dyDescent="0.3">
      <c r="B19" s="7" t="s">
        <v>76</v>
      </c>
      <c r="C19" s="41" t="s">
        <v>67</v>
      </c>
      <c r="D19" s="42" t="s">
        <v>75</v>
      </c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20">
        <v>0.871</v>
      </c>
      <c r="Q19" s="48">
        <v>3.8889999999999998</v>
      </c>
      <c r="R19" s="20">
        <v>0</v>
      </c>
      <c r="S19" s="20">
        <v>5.4690000000000003</v>
      </c>
      <c r="T19" s="21">
        <v>42.298000000000002</v>
      </c>
      <c r="U19" s="21">
        <f t="shared" si="0"/>
        <v>10.228999999999999</v>
      </c>
      <c r="V19" s="21"/>
      <c r="W19" s="20">
        <f t="shared" si="8"/>
        <v>4.76</v>
      </c>
      <c r="X19" s="19">
        <f t="shared" si="9"/>
        <v>0.46534363085345587</v>
      </c>
      <c r="Y19" s="21">
        <f t="shared" si="1"/>
        <v>5.4690000000000003</v>
      </c>
      <c r="Z19" s="19">
        <f t="shared" si="25"/>
        <v>0.53465636914654424</v>
      </c>
      <c r="AA19" s="28"/>
      <c r="AB19" s="8"/>
      <c r="AC19" s="8"/>
      <c r="AD19" s="45"/>
      <c r="AE19" s="45"/>
      <c r="AF19" s="9" t="e">
        <f t="shared" si="26"/>
        <v>#DIV/0!</v>
      </c>
      <c r="AG19" s="10" t="e">
        <f t="shared" si="27"/>
        <v>#DIV/0!</v>
      </c>
      <c r="AH19" s="10" t="e">
        <f t="shared" si="28"/>
        <v>#DIV/0!</v>
      </c>
      <c r="AI19" s="10" t="e">
        <f t="shared" si="29"/>
        <v>#DIV/0!</v>
      </c>
      <c r="AJ19" s="9" t="e">
        <f t="shared" si="30"/>
        <v>#DIV/0!</v>
      </c>
      <c r="AK19" s="9" t="e">
        <f t="shared" si="31"/>
        <v>#DIV/0!</v>
      </c>
      <c r="AL19" s="21" t="e">
        <f t="shared" si="7"/>
        <v>#DIV/0!</v>
      </c>
      <c r="AM19" s="37"/>
      <c r="AN19" s="30"/>
      <c r="AO19" s="13"/>
      <c r="AP19" s="13"/>
      <c r="AQ19" s="13"/>
      <c r="AR19" s="13"/>
      <c r="AS19" s="19"/>
      <c r="AT19" s="19"/>
      <c r="AU19" s="19"/>
      <c r="AV19" s="19"/>
      <c r="AW19" s="19"/>
      <c r="AX19" s="19"/>
      <c r="AY19" s="19"/>
      <c r="AZ19" s="19"/>
    </row>
    <row r="20" spans="2:52" ht="10.8" x14ac:dyDescent="0.3">
      <c r="B20" s="7" t="s">
        <v>77</v>
      </c>
      <c r="C20" s="41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20">
        <v>0.29599999999999999</v>
      </c>
      <c r="Q20" s="48">
        <v>22.844999999999999</v>
      </c>
      <c r="R20" s="20">
        <v>0</v>
      </c>
      <c r="S20" s="20">
        <v>93.188000000000002</v>
      </c>
      <c r="T20" s="21">
        <v>221.054</v>
      </c>
      <c r="U20" s="21">
        <f t="shared" si="0"/>
        <v>116.32900000000001</v>
      </c>
      <c r="V20" s="21"/>
      <c r="W20" s="20">
        <f t="shared" si="8"/>
        <v>23.140999999999998</v>
      </c>
      <c r="X20" s="19">
        <f t="shared" si="9"/>
        <v>0.19892718066862086</v>
      </c>
      <c r="Y20" s="21">
        <f t="shared" si="1"/>
        <v>93.188000000000002</v>
      </c>
      <c r="Z20" s="19">
        <f t="shared" si="25"/>
        <v>0.80107281933137908</v>
      </c>
      <c r="AA20" s="19">
        <f t="shared" ref="AA20" si="32">Z20/W20</f>
        <v>3.4617035535688997E-2</v>
      </c>
      <c r="AB20" s="19">
        <f t="shared" ref="AB20" si="33">AA20/X20</f>
        <v>0.17401863043218382</v>
      </c>
      <c r="AC20" s="19">
        <f t="shared" ref="AC20" si="34">AB20/Y20</f>
        <v>1.8673931239235075E-3</v>
      </c>
      <c r="AD20" s="19">
        <f t="shared" ref="AD20" si="35">AC20/Z20</f>
        <v>2.3311153229267469E-3</v>
      </c>
      <c r="AE20" s="19">
        <f t="shared" ref="AE20" si="36">AD20/AA20</f>
        <v>6.7340119881826546E-2</v>
      </c>
      <c r="AF20" s="19">
        <f t="shared" ref="AF20" si="37">AE20/AB20</f>
        <v>0.38697074970986756</v>
      </c>
      <c r="AG20" s="19">
        <f t="shared" ref="AG20" si="38">AF20/AC20</f>
        <v>207.22511224461311</v>
      </c>
      <c r="AH20" s="19">
        <f t="shared" ref="AH20" si="39">AG20/AD20</f>
        <v>88895.26408519299</v>
      </c>
      <c r="AI20" s="19">
        <f t="shared" ref="AI20" si="40">AH20/AE20</f>
        <v>1320093.6416684885</v>
      </c>
      <c r="AJ20" s="19">
        <f t="shared" ref="AJ20" si="41">AI20/AF20</f>
        <v>3411352.5186547888</v>
      </c>
      <c r="AK20" s="19">
        <f t="shared" ref="AK20" si="42">AJ20/AG20</f>
        <v>16462.061386787682</v>
      </c>
      <c r="AL20" s="19">
        <f t="shared" ref="AL20" si="43">AK20/AH20</f>
        <v>0.18518490896220552</v>
      </c>
      <c r="AM20" s="19">
        <f>AL20/AI20</f>
        <v>1.4028164602637372E-7</v>
      </c>
      <c r="AN20" s="30"/>
      <c r="AO20" s="13"/>
      <c r="AP20" s="13"/>
      <c r="AQ20" s="13"/>
      <c r="AR20" s="13"/>
      <c r="AS20" s="49"/>
      <c r="AT20" s="19"/>
      <c r="AU20" s="19"/>
      <c r="AV20" s="19"/>
      <c r="AW20" s="19"/>
      <c r="AX20" s="19"/>
      <c r="AY20" s="19"/>
      <c r="AZ20" s="19"/>
    </row>
    <row r="21" spans="2:52" ht="43.2" x14ac:dyDescent="0.3">
      <c r="B21" s="51" t="s">
        <v>78</v>
      </c>
      <c r="C21" s="51" t="s">
        <v>59</v>
      </c>
      <c r="D21" s="52" t="s">
        <v>79</v>
      </c>
      <c r="E21" s="51" t="s">
        <v>80</v>
      </c>
      <c r="F21" s="51">
        <v>108</v>
      </c>
      <c r="G21" s="51">
        <v>104</v>
      </c>
      <c r="H21" s="52" t="s">
        <v>81</v>
      </c>
      <c r="I21" s="52" t="s">
        <v>82</v>
      </c>
      <c r="J21" s="51">
        <v>1065.22</v>
      </c>
      <c r="K21" s="51">
        <f>0.00180017*1000</f>
        <v>1.80017</v>
      </c>
      <c r="L21" s="51" t="s">
        <v>83</v>
      </c>
      <c r="M21" s="52" t="s">
        <v>84</v>
      </c>
      <c r="N21" s="51" t="s">
        <v>85</v>
      </c>
      <c r="O21" s="51">
        <v>306.47000000000003</v>
      </c>
      <c r="P21" s="55">
        <v>1065.2200000000003</v>
      </c>
      <c r="Q21" s="51">
        <v>0</v>
      </c>
      <c r="R21" s="51">
        <v>0.12700000000000006</v>
      </c>
      <c r="S21" s="51">
        <v>27.509000000000004</v>
      </c>
      <c r="T21" s="51">
        <v>51.74</v>
      </c>
      <c r="U21" s="51">
        <v>33.06</v>
      </c>
      <c r="V21" s="51" t="str">
        <f>IF(U21&gt;T21,"contributing&gt;total","ok")</f>
        <v>ok</v>
      </c>
      <c r="W21" s="50">
        <f t="shared" si="8"/>
        <v>1065.2200000000003</v>
      </c>
      <c r="X21" s="59">
        <f t="shared" si="9"/>
        <v>32.220810647307928</v>
      </c>
      <c r="Y21" s="53">
        <f t="shared" si="1"/>
        <v>27.636000000000003</v>
      </c>
      <c r="Z21" s="59">
        <f t="shared" si="25"/>
        <v>0.83593466424682394</v>
      </c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>
        <v>6.4000000000000001E-2</v>
      </c>
      <c r="AO21" s="51">
        <v>0.127</v>
      </c>
      <c r="AP21" s="51" t="s">
        <v>59</v>
      </c>
      <c r="AQ21" s="51"/>
      <c r="AR21" s="51"/>
      <c r="AS21" s="51">
        <v>243</v>
      </c>
      <c r="AT21" s="51">
        <v>241</v>
      </c>
      <c r="AU21" s="51">
        <v>239</v>
      </c>
      <c r="AV21" s="51" t="s">
        <v>59</v>
      </c>
      <c r="AW21" s="53">
        <f>((AS21-AT21)/AS21)*100</f>
        <v>0.82304526748971196</v>
      </c>
      <c r="AX21" s="53">
        <f>((AS21-AU21)/AS21)*100</f>
        <v>1.6460905349794239</v>
      </c>
      <c r="AY21" s="51" t="s">
        <v>59</v>
      </c>
      <c r="AZ21" s="51" t="s">
        <v>86</v>
      </c>
    </row>
    <row r="22" spans="2:52" ht="45.6" customHeight="1" x14ac:dyDescent="0.3">
      <c r="B22" s="62" t="s">
        <v>87</v>
      </c>
      <c r="C22" s="63"/>
      <c r="D22" s="64"/>
      <c r="E22" s="63"/>
      <c r="F22" s="63"/>
      <c r="G22" s="63"/>
      <c r="H22" s="64"/>
      <c r="I22" s="64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51" t="str">
        <f t="shared" ref="V22:V77" si="44">IF(U22&gt;T22,"contributing&gt;total","ok")</f>
        <v>ok</v>
      </c>
      <c r="W22" s="65"/>
      <c r="X22" s="66"/>
      <c r="Y22" s="67"/>
      <c r="Z22" s="66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51">
        <v>30</v>
      </c>
      <c r="AT22" s="51">
        <v>30</v>
      </c>
      <c r="AU22" s="51">
        <v>28</v>
      </c>
      <c r="AV22" s="51" t="s">
        <v>59</v>
      </c>
      <c r="AW22" s="53">
        <f>((AS22-AT22)/AS22)*100</f>
        <v>0</v>
      </c>
      <c r="AX22" s="53">
        <f>((AS22-AU22)/AS22)*100</f>
        <v>6.666666666666667</v>
      </c>
      <c r="AY22" s="51" t="s">
        <v>59</v>
      </c>
      <c r="AZ22" s="51" t="s">
        <v>86</v>
      </c>
    </row>
    <row r="23" spans="2:52" ht="43.2" x14ac:dyDescent="0.3">
      <c r="B23" s="62" t="s">
        <v>88</v>
      </c>
      <c r="C23" s="51" t="s">
        <v>59</v>
      </c>
      <c r="D23" s="52" t="s">
        <v>70</v>
      </c>
      <c r="E23" s="51" t="s">
        <v>80</v>
      </c>
      <c r="F23" s="51">
        <v>98</v>
      </c>
      <c r="G23" s="51">
        <v>78</v>
      </c>
      <c r="H23" s="52" t="s">
        <v>89</v>
      </c>
      <c r="I23" s="52" t="s">
        <v>90</v>
      </c>
      <c r="J23" s="51">
        <v>853</v>
      </c>
      <c r="K23" s="51">
        <f>0.01387556*1000</f>
        <v>13.87556</v>
      </c>
      <c r="L23" s="52" t="s">
        <v>91</v>
      </c>
      <c r="M23" s="51" t="s">
        <v>92</v>
      </c>
      <c r="N23" s="52" t="s">
        <v>93</v>
      </c>
      <c r="O23" s="51">
        <v>166.38</v>
      </c>
      <c r="P23" s="51">
        <v>0.377</v>
      </c>
      <c r="Q23" s="51">
        <v>1.2240000000000002</v>
      </c>
      <c r="R23" s="51">
        <v>1.7450000000000001</v>
      </c>
      <c r="S23" s="51">
        <v>16.325000000000003</v>
      </c>
      <c r="T23" s="51">
        <v>23.12</v>
      </c>
      <c r="U23" s="51">
        <v>23.12</v>
      </c>
      <c r="V23" s="51" t="str">
        <f t="shared" si="44"/>
        <v>ok</v>
      </c>
      <c r="W23" s="50">
        <f>SUM(P23:Q23)</f>
        <v>1.6010000000000002</v>
      </c>
      <c r="X23" s="59">
        <f t="shared" si="9"/>
        <v>6.9247404844290664E-2</v>
      </c>
      <c r="Y23" s="53">
        <f t="shared" si="1"/>
        <v>18.070000000000004</v>
      </c>
      <c r="Z23" s="59">
        <f t="shared" si="25"/>
        <v>0.78157439446366794</v>
      </c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>
        <v>1.0640000000000001</v>
      </c>
      <c r="AO23" s="51">
        <v>2.1280000000000001</v>
      </c>
      <c r="AP23" s="51" t="s">
        <v>59</v>
      </c>
      <c r="AQ23" s="51">
        <f>(AN23/W23)*100</f>
        <v>66.458463460337285</v>
      </c>
      <c r="AR23" s="51"/>
      <c r="AS23" s="51">
        <v>90</v>
      </c>
      <c r="AT23" s="51">
        <v>8</v>
      </c>
      <c r="AU23" s="51">
        <v>0</v>
      </c>
      <c r="AV23" s="51" t="s">
        <v>94</v>
      </c>
      <c r="AW23" s="53">
        <f t="shared" ref="AW23:AW27" si="45">((AS23-AT23)/AS23)*100</f>
        <v>91.111111111111114</v>
      </c>
      <c r="AX23" s="53">
        <f t="shared" ref="AX23:AX27" si="46">((AS23-AU23)/AS23)*100</f>
        <v>100</v>
      </c>
      <c r="AY23" s="51" t="s">
        <v>59</v>
      </c>
      <c r="AZ23" s="51" t="s">
        <v>86</v>
      </c>
    </row>
    <row r="24" spans="2:52" ht="55.2" customHeight="1" x14ac:dyDescent="0.3">
      <c r="B24" s="51" t="s">
        <v>95</v>
      </c>
      <c r="C24" s="51" t="s">
        <v>59</v>
      </c>
      <c r="D24" s="52" t="s">
        <v>55</v>
      </c>
      <c r="E24" s="51" t="s">
        <v>80</v>
      </c>
      <c r="F24" s="51">
        <v>144</v>
      </c>
      <c r="G24" s="51">
        <v>133</v>
      </c>
      <c r="H24" s="52" t="s">
        <v>96</v>
      </c>
      <c r="I24" s="52" t="s">
        <v>97</v>
      </c>
      <c r="J24" s="51">
        <v>694.77</v>
      </c>
      <c r="K24" s="51">
        <f>0.0091786*1000</f>
        <v>9.1785999999999994</v>
      </c>
      <c r="L24" s="51">
        <v>3</v>
      </c>
      <c r="M24" s="51" t="s">
        <v>98</v>
      </c>
      <c r="N24" s="51" t="s">
        <v>85</v>
      </c>
      <c r="O24" s="51">
        <v>100.77</v>
      </c>
      <c r="P24" s="51">
        <v>0</v>
      </c>
      <c r="Q24" s="51">
        <v>0.23899999999999999</v>
      </c>
      <c r="R24" s="51">
        <v>0</v>
      </c>
      <c r="S24" s="51">
        <v>51.795000000000002</v>
      </c>
      <c r="T24" s="51">
        <v>60.34</v>
      </c>
      <c r="U24" s="51">
        <v>51.94</v>
      </c>
      <c r="V24" s="51" t="str">
        <f t="shared" si="44"/>
        <v>ok</v>
      </c>
      <c r="W24" s="50">
        <f t="shared" si="8"/>
        <v>0.23899999999999999</v>
      </c>
      <c r="X24" s="59">
        <f t="shared" si="9"/>
        <v>4.6014632268001543E-3</v>
      </c>
      <c r="Y24" s="53">
        <f t="shared" si="1"/>
        <v>51.795000000000002</v>
      </c>
      <c r="Z24" s="59">
        <f t="shared" si="25"/>
        <v>0.99720831728917991</v>
      </c>
      <c r="AA24" s="51"/>
      <c r="AB24" s="51"/>
      <c r="AC24" s="54"/>
      <c r="AD24" s="54"/>
      <c r="AE24" s="54"/>
      <c r="AF24" s="51"/>
      <c r="AG24" s="51"/>
      <c r="AH24" s="51"/>
      <c r="AI24" s="51"/>
      <c r="AJ24" s="51"/>
      <c r="AK24" s="51"/>
      <c r="AL24" s="51"/>
      <c r="AM24" s="51"/>
      <c r="AN24" s="51">
        <v>0.121</v>
      </c>
      <c r="AO24" s="51">
        <v>0.23899999999999999</v>
      </c>
      <c r="AP24" s="51" t="s">
        <v>59</v>
      </c>
      <c r="AQ24" s="51">
        <f>(AN24/W24)*100</f>
        <v>50.627615062761514</v>
      </c>
      <c r="AR24" s="51">
        <f>(AO24/W24)*100</f>
        <v>100</v>
      </c>
      <c r="AS24" s="51">
        <v>867</v>
      </c>
      <c r="AT24" s="51">
        <v>864</v>
      </c>
      <c r="AU24" s="51">
        <v>855</v>
      </c>
      <c r="AV24" s="51" t="s">
        <v>59</v>
      </c>
      <c r="AW24" s="53">
        <f t="shared" si="45"/>
        <v>0.34602076124567477</v>
      </c>
      <c r="AX24" s="53">
        <f t="shared" si="46"/>
        <v>1.3840830449826991</v>
      </c>
      <c r="AY24" s="51" t="s">
        <v>59</v>
      </c>
      <c r="AZ24" s="51" t="s">
        <v>86</v>
      </c>
    </row>
    <row r="25" spans="2:52" ht="55.2" customHeight="1" x14ac:dyDescent="0.3">
      <c r="B25" s="62" t="s">
        <v>99</v>
      </c>
      <c r="C25" s="63"/>
      <c r="D25" s="64"/>
      <c r="E25" s="63"/>
      <c r="F25" s="63"/>
      <c r="G25" s="63"/>
      <c r="H25" s="64"/>
      <c r="I25" s="64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51" t="str">
        <f t="shared" si="44"/>
        <v>ok</v>
      </c>
      <c r="W25" s="65"/>
      <c r="X25" s="66"/>
      <c r="Y25" s="67"/>
      <c r="Z25" s="66"/>
      <c r="AA25" s="63"/>
      <c r="AB25" s="63"/>
      <c r="AC25" s="68"/>
      <c r="AD25" s="68"/>
      <c r="AE25" s="68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51" t="e">
        <f t="shared" ref="AQ25:AQ76" si="47">(AN25/W25)*100</f>
        <v>#DIV/0!</v>
      </c>
      <c r="AR25" s="51" t="e">
        <f t="shared" ref="AR25:AR77" si="48">(AO25/W25)*100</f>
        <v>#DIV/0!</v>
      </c>
      <c r="AS25" s="51">
        <v>0</v>
      </c>
      <c r="AT25" s="51">
        <v>0</v>
      </c>
      <c r="AU25" s="51">
        <v>0</v>
      </c>
      <c r="AV25" s="51" t="s">
        <v>59</v>
      </c>
      <c r="AW25" s="51" t="s">
        <v>59</v>
      </c>
      <c r="AX25" s="51" t="s">
        <v>59</v>
      </c>
      <c r="AY25" s="51" t="s">
        <v>59</v>
      </c>
      <c r="AZ25" s="51" t="s">
        <v>86</v>
      </c>
    </row>
    <row r="26" spans="2:52" ht="43.2" x14ac:dyDescent="0.3">
      <c r="B26" s="51" t="s">
        <v>100</v>
      </c>
      <c r="C26" s="51" t="s">
        <v>59</v>
      </c>
      <c r="D26" s="52" t="s">
        <v>55</v>
      </c>
      <c r="E26" s="52" t="s">
        <v>101</v>
      </c>
      <c r="F26" s="51">
        <v>224</v>
      </c>
      <c r="G26" s="51">
        <v>220</v>
      </c>
      <c r="H26" s="52" t="s">
        <v>102</v>
      </c>
      <c r="I26" s="52" t="s">
        <v>103</v>
      </c>
      <c r="J26" s="51">
        <v>888.56</v>
      </c>
      <c r="K26" s="51">
        <f>0.001*1000</f>
        <v>1</v>
      </c>
      <c r="L26" s="51" t="s">
        <v>83</v>
      </c>
      <c r="M26" s="51" t="s">
        <v>104</v>
      </c>
      <c r="N26" s="52" t="s">
        <v>93</v>
      </c>
      <c r="O26" s="51">
        <v>35.4</v>
      </c>
      <c r="P26" s="51">
        <v>0.11400000000000005</v>
      </c>
      <c r="Q26" s="51">
        <v>0.2360000000000001</v>
      </c>
      <c r="R26" s="51">
        <v>1.5430000000000001</v>
      </c>
      <c r="S26" s="51">
        <v>18.783999999999999</v>
      </c>
      <c r="T26" s="51">
        <v>43.38</v>
      </c>
      <c r="U26" s="51">
        <v>24.03</v>
      </c>
      <c r="V26" s="51" t="str">
        <f t="shared" si="44"/>
        <v>ok</v>
      </c>
      <c r="W26" s="50">
        <f t="shared" si="8"/>
        <v>0.35000000000000014</v>
      </c>
      <c r="X26" s="60">
        <f t="shared" si="9"/>
        <v>1.4565126924677492E-2</v>
      </c>
      <c r="Y26" s="53">
        <f t="shared" si="1"/>
        <v>20.326999999999998</v>
      </c>
      <c r="Z26" s="60">
        <f t="shared" si="25"/>
        <v>0.84590095713691205</v>
      </c>
      <c r="AA26" s="51"/>
      <c r="AB26" s="51"/>
      <c r="AC26" s="54"/>
      <c r="AD26" s="54"/>
      <c r="AE26" s="54"/>
      <c r="AF26" s="51"/>
      <c r="AG26" s="51"/>
      <c r="AH26" s="51"/>
      <c r="AI26" s="51"/>
      <c r="AJ26" s="51"/>
      <c r="AK26" s="51"/>
      <c r="AL26" s="51"/>
      <c r="AM26" s="51"/>
      <c r="AN26" s="51">
        <v>0.153</v>
      </c>
      <c r="AO26" s="51">
        <v>0.35699999999999998</v>
      </c>
      <c r="AP26" s="51" t="s">
        <v>59</v>
      </c>
      <c r="AQ26" s="51">
        <f t="shared" si="47"/>
        <v>43.714285714285694</v>
      </c>
      <c r="AR26" s="51">
        <f t="shared" si="48"/>
        <v>101.99999999999996</v>
      </c>
      <c r="AS26" s="51">
        <v>390</v>
      </c>
      <c r="AT26" s="51">
        <v>371</v>
      </c>
      <c r="AU26" s="51">
        <v>352</v>
      </c>
      <c r="AV26" s="51" t="s">
        <v>59</v>
      </c>
      <c r="AW26" s="53">
        <f t="shared" si="45"/>
        <v>4.8717948717948723</v>
      </c>
      <c r="AX26" s="53">
        <f t="shared" si="46"/>
        <v>9.7435897435897445</v>
      </c>
      <c r="AY26" s="51" t="s">
        <v>59</v>
      </c>
      <c r="AZ26" s="51" t="s">
        <v>86</v>
      </c>
    </row>
    <row r="27" spans="2:52" ht="49.2" customHeight="1" x14ac:dyDescent="0.3">
      <c r="B27" s="62" t="s">
        <v>105</v>
      </c>
      <c r="C27" s="63"/>
      <c r="D27" s="64"/>
      <c r="E27" s="64"/>
      <c r="F27" s="63"/>
      <c r="G27" s="63"/>
      <c r="H27" s="64"/>
      <c r="I27" s="64"/>
      <c r="J27" s="63"/>
      <c r="K27" s="63"/>
      <c r="L27" s="63"/>
      <c r="M27" s="63"/>
      <c r="N27" s="64"/>
      <c r="O27" s="63"/>
      <c r="P27" s="63"/>
      <c r="Q27" s="63"/>
      <c r="R27" s="63"/>
      <c r="S27" s="63"/>
      <c r="T27" s="63"/>
      <c r="U27" s="63"/>
      <c r="V27" s="51" t="str">
        <f t="shared" si="44"/>
        <v>ok</v>
      </c>
      <c r="W27" s="65"/>
      <c r="X27" s="66"/>
      <c r="Y27" s="67"/>
      <c r="Z27" s="66"/>
      <c r="AA27" s="63"/>
      <c r="AB27" s="63"/>
      <c r="AC27" s="68"/>
      <c r="AD27" s="68"/>
      <c r="AE27" s="68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51" t="e">
        <f t="shared" si="47"/>
        <v>#DIV/0!</v>
      </c>
      <c r="AR27" s="51" t="e">
        <f t="shared" si="48"/>
        <v>#DIV/0!</v>
      </c>
      <c r="AS27" s="51">
        <v>26</v>
      </c>
      <c r="AT27" s="51">
        <v>12</v>
      </c>
      <c r="AU27" s="51">
        <v>5</v>
      </c>
      <c r="AV27" s="51" t="s">
        <v>59</v>
      </c>
      <c r="AW27" s="53">
        <f t="shared" si="45"/>
        <v>53.846153846153847</v>
      </c>
      <c r="AX27" s="53">
        <f t="shared" si="46"/>
        <v>80.769230769230774</v>
      </c>
      <c r="AY27" s="51" t="s">
        <v>59</v>
      </c>
      <c r="AZ27" s="51" t="s">
        <v>86</v>
      </c>
    </row>
    <row r="28" spans="2:52" ht="43.2" x14ac:dyDescent="0.3">
      <c r="B28" s="51" t="s">
        <v>106</v>
      </c>
      <c r="C28" s="51" t="s">
        <v>59</v>
      </c>
      <c r="D28" s="52" t="s">
        <v>55</v>
      </c>
      <c r="E28" s="52" t="s">
        <v>80</v>
      </c>
      <c r="F28" s="51">
        <v>47</v>
      </c>
      <c r="G28" s="51">
        <v>42</v>
      </c>
      <c r="H28" s="52" t="s">
        <v>107</v>
      </c>
      <c r="I28" s="52" t="s">
        <v>108</v>
      </c>
      <c r="J28" s="51">
        <v>420</v>
      </c>
      <c r="K28" s="51">
        <f>0.00303096*1000</f>
        <v>3.0309599999999999</v>
      </c>
      <c r="L28" s="51">
        <v>1</v>
      </c>
      <c r="M28" s="51" t="s">
        <v>104</v>
      </c>
      <c r="N28" s="51" t="s">
        <v>85</v>
      </c>
      <c r="O28" s="51">
        <v>44.19</v>
      </c>
      <c r="P28" s="51">
        <v>0.24100000000000005</v>
      </c>
      <c r="Q28" s="51">
        <v>0.41000000000000009</v>
      </c>
      <c r="R28" s="51">
        <v>21.067000000000004</v>
      </c>
      <c r="S28" s="51">
        <v>21.067000000000004</v>
      </c>
      <c r="T28" s="51">
        <v>21.72</v>
      </c>
      <c r="U28" s="51">
        <v>21.6</v>
      </c>
      <c r="V28" s="51" t="str">
        <f t="shared" si="44"/>
        <v>ok</v>
      </c>
      <c r="W28" s="50">
        <f>SUM(P28:Q28)</f>
        <v>0.65100000000000013</v>
      </c>
      <c r="X28" s="60">
        <f>W28/U28</f>
        <v>3.0138888888888892E-2</v>
      </c>
      <c r="Y28" s="53">
        <f>SUM(R28:S28)</f>
        <v>42.134000000000007</v>
      </c>
      <c r="Z28" s="60">
        <f>Y28/U28</f>
        <v>1.9506481481481484</v>
      </c>
      <c r="AA28" s="51"/>
      <c r="AB28" s="51"/>
      <c r="AC28" s="54"/>
      <c r="AD28" s="54"/>
      <c r="AE28" s="54"/>
      <c r="AF28" s="51"/>
      <c r="AG28" s="51"/>
      <c r="AH28" s="51"/>
      <c r="AI28" s="51"/>
      <c r="AJ28" s="51"/>
      <c r="AK28" s="51"/>
      <c r="AL28" s="51"/>
      <c r="AM28" s="51"/>
      <c r="AN28" s="51">
        <v>0.32600000000000001</v>
      </c>
      <c r="AO28" s="51">
        <v>0.65100000000000002</v>
      </c>
      <c r="AP28" s="51" t="s">
        <v>59</v>
      </c>
      <c r="AQ28" s="51">
        <f t="shared" si="47"/>
        <v>50.076804915514586</v>
      </c>
      <c r="AR28" s="51">
        <f t="shared" si="48"/>
        <v>99.999999999999972</v>
      </c>
      <c r="AS28" s="51">
        <v>471</v>
      </c>
      <c r="AT28" s="51">
        <v>384</v>
      </c>
      <c r="AU28" s="51">
        <v>326</v>
      </c>
      <c r="AV28" s="51" t="s">
        <v>59</v>
      </c>
      <c r="AW28" s="53">
        <f t="shared" ref="AW28:AW49" si="49">((AS28-AT28)/AS28)*100</f>
        <v>18.471337579617835</v>
      </c>
      <c r="AX28" s="53">
        <f t="shared" ref="AX28:AX49" si="50">((AS28-AU28)/AS28)*100</f>
        <v>30.78556263269639</v>
      </c>
      <c r="AY28" s="51" t="s">
        <v>59</v>
      </c>
      <c r="AZ28" s="51" t="s">
        <v>86</v>
      </c>
    </row>
    <row r="29" spans="2:52" ht="42.6" customHeight="1" x14ac:dyDescent="0.3">
      <c r="B29" s="62" t="s">
        <v>109</v>
      </c>
      <c r="C29" s="63"/>
      <c r="D29" s="64"/>
      <c r="E29" s="64"/>
      <c r="F29" s="63"/>
      <c r="G29" s="63"/>
      <c r="H29" s="64"/>
      <c r="I29" s="64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51" t="str">
        <f t="shared" si="44"/>
        <v>ok</v>
      </c>
      <c r="W29" s="65"/>
      <c r="X29" s="66"/>
      <c r="Y29" s="67"/>
      <c r="Z29" s="66"/>
      <c r="AA29" s="63"/>
      <c r="AB29" s="63"/>
      <c r="AC29" s="68"/>
      <c r="AD29" s="68"/>
      <c r="AE29" s="68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51" t="e">
        <f t="shared" si="47"/>
        <v>#DIV/0!</v>
      </c>
      <c r="AR29" s="51" t="e">
        <f t="shared" si="48"/>
        <v>#DIV/0!</v>
      </c>
      <c r="AS29" s="51">
        <v>97</v>
      </c>
      <c r="AT29" s="51">
        <v>13</v>
      </c>
      <c r="AU29" s="51">
        <v>0</v>
      </c>
      <c r="AV29" s="51" t="s">
        <v>59</v>
      </c>
      <c r="AW29" s="53">
        <f t="shared" si="49"/>
        <v>86.597938144329902</v>
      </c>
      <c r="AX29" s="53">
        <f t="shared" si="50"/>
        <v>100</v>
      </c>
      <c r="AY29" s="51" t="s">
        <v>59</v>
      </c>
      <c r="AZ29" s="51" t="s">
        <v>86</v>
      </c>
    </row>
    <row r="30" spans="2:52" ht="43.2" x14ac:dyDescent="0.3">
      <c r="B30" s="62" t="s">
        <v>110</v>
      </c>
      <c r="C30" s="51" t="s">
        <v>59</v>
      </c>
      <c r="D30" s="52" t="s">
        <v>68</v>
      </c>
      <c r="E30" s="52" t="s">
        <v>101</v>
      </c>
      <c r="F30" s="51">
        <v>162</v>
      </c>
      <c r="G30" s="51">
        <v>146</v>
      </c>
      <c r="H30" s="52" t="s">
        <v>111</v>
      </c>
      <c r="I30" s="52" t="s">
        <v>112</v>
      </c>
      <c r="J30" s="51">
        <v>1279.1400000000001</v>
      </c>
      <c r="K30" s="51">
        <f>0.0063098*1000</f>
        <v>6.3098000000000001</v>
      </c>
      <c r="L30" s="51">
        <v>3</v>
      </c>
      <c r="M30" s="51" t="s">
        <v>113</v>
      </c>
      <c r="N30" s="51" t="s">
        <v>85</v>
      </c>
      <c r="O30" s="51">
        <v>34.42</v>
      </c>
      <c r="P30" s="51">
        <v>0.23900000000000013</v>
      </c>
      <c r="Q30" s="51">
        <v>0.27100000000000013</v>
      </c>
      <c r="R30" s="51">
        <v>3.3109999999999977</v>
      </c>
      <c r="S30" s="51">
        <v>39.947000000000003</v>
      </c>
      <c r="T30" s="51">
        <v>57.51</v>
      </c>
      <c r="U30" s="51">
        <v>54.66</v>
      </c>
      <c r="V30" s="51" t="str">
        <f t="shared" si="44"/>
        <v>ok</v>
      </c>
      <c r="W30" s="50">
        <f>SUM(P30:Q30)</f>
        <v>0.51000000000000023</v>
      </c>
      <c r="X30" s="60">
        <f>W30/U30</f>
        <v>9.330406147091113E-3</v>
      </c>
      <c r="Y30" s="53">
        <f>SUM(R30:S30)</f>
        <v>43.258000000000003</v>
      </c>
      <c r="Z30" s="60">
        <f>Y30/U30</f>
        <v>0.79140139041346513</v>
      </c>
      <c r="AA30" s="51"/>
      <c r="AB30" s="51"/>
      <c r="AC30" s="54"/>
      <c r="AD30" s="54"/>
      <c r="AE30" s="54"/>
      <c r="AF30" s="51"/>
      <c r="AG30" s="51"/>
      <c r="AH30" s="51"/>
      <c r="AI30" s="51"/>
      <c r="AJ30" s="51"/>
      <c r="AK30" s="51"/>
      <c r="AL30" s="51"/>
      <c r="AM30" s="51"/>
      <c r="AN30" s="51">
        <v>0.251</v>
      </c>
      <c r="AO30" s="51">
        <v>0.51</v>
      </c>
      <c r="AP30" s="51" t="s">
        <v>59</v>
      </c>
      <c r="AQ30" s="51">
        <f t="shared" si="47"/>
        <v>49.215686274509785</v>
      </c>
      <c r="AR30" s="51">
        <f t="shared" si="48"/>
        <v>99.999999999999957</v>
      </c>
      <c r="AS30" s="51">
        <v>7</v>
      </c>
      <c r="AT30" s="51">
        <v>1</v>
      </c>
      <c r="AU30" s="51">
        <v>0</v>
      </c>
      <c r="AV30" s="51" t="s">
        <v>59</v>
      </c>
      <c r="AW30" s="53">
        <f t="shared" si="49"/>
        <v>85.714285714285708</v>
      </c>
      <c r="AX30" s="53">
        <f t="shared" si="50"/>
        <v>100</v>
      </c>
      <c r="AY30" s="51" t="s">
        <v>59</v>
      </c>
      <c r="AZ30" s="51" t="s">
        <v>86</v>
      </c>
    </row>
    <row r="31" spans="2:52" ht="43.2" x14ac:dyDescent="0.3">
      <c r="B31" s="51" t="s">
        <v>114</v>
      </c>
      <c r="C31" s="51" t="s">
        <v>59</v>
      </c>
      <c r="D31" s="52" t="s">
        <v>68</v>
      </c>
      <c r="E31" s="52" t="s">
        <v>80</v>
      </c>
      <c r="F31" s="51">
        <v>323</v>
      </c>
      <c r="G31" s="51">
        <v>315</v>
      </c>
      <c r="H31" s="52" t="s">
        <v>115</v>
      </c>
      <c r="I31" s="52" t="s">
        <v>116</v>
      </c>
      <c r="J31" s="51">
        <v>1968</v>
      </c>
      <c r="K31" s="51">
        <f>0.00788416*1000</f>
        <v>7.8841599999999996</v>
      </c>
      <c r="L31" s="52">
        <v>5</v>
      </c>
      <c r="M31" s="52" t="s">
        <v>117</v>
      </c>
      <c r="N31" s="51" t="s">
        <v>85</v>
      </c>
      <c r="O31" s="51">
        <v>626.59</v>
      </c>
      <c r="P31" s="52">
        <v>0.39200000000000024</v>
      </c>
      <c r="Q31" s="52">
        <v>0.48800000000000032</v>
      </c>
      <c r="R31" s="51">
        <v>0</v>
      </c>
      <c r="S31" s="51">
        <v>48.281999999999989</v>
      </c>
      <c r="T31" s="52">
        <v>85.03</v>
      </c>
      <c r="U31" s="52">
        <v>84.66</v>
      </c>
      <c r="V31" s="51" t="str">
        <f t="shared" si="44"/>
        <v>ok</v>
      </c>
      <c r="W31" s="51">
        <f>SUM(P31:Q31)</f>
        <v>0.88000000000000056</v>
      </c>
      <c r="X31" s="53">
        <f>W31/U31</f>
        <v>1.0394519253484533E-2</v>
      </c>
      <c r="Y31" s="61">
        <f>SUM(R31:S31)</f>
        <v>48.281999999999989</v>
      </c>
      <c r="Z31" s="61">
        <f>Y31/U31</f>
        <v>0.57030474840538614</v>
      </c>
      <c r="AA31" s="51"/>
      <c r="AB31" s="51"/>
      <c r="AC31" s="52"/>
      <c r="AD31" s="52"/>
      <c r="AE31" s="51"/>
      <c r="AF31" s="51"/>
      <c r="AG31" s="52"/>
      <c r="AH31" s="52"/>
      <c r="AI31" s="51"/>
      <c r="AJ31" s="51"/>
      <c r="AK31" s="52"/>
      <c r="AL31" s="52"/>
      <c r="AM31" s="51"/>
      <c r="AN31" s="51">
        <v>0.442</v>
      </c>
      <c r="AO31" s="52">
        <v>0.88</v>
      </c>
      <c r="AP31" s="52" t="s">
        <v>59</v>
      </c>
      <c r="AQ31" s="51">
        <f t="shared" si="47"/>
        <v>50.227272727272698</v>
      </c>
      <c r="AR31" s="51">
        <f t="shared" si="48"/>
        <v>99.999999999999929</v>
      </c>
      <c r="AS31" s="51">
        <v>145</v>
      </c>
      <c r="AT31" s="51">
        <v>138</v>
      </c>
      <c r="AU31" s="52">
        <v>129</v>
      </c>
      <c r="AV31" s="52" t="s">
        <v>59</v>
      </c>
      <c r="AW31" s="53">
        <f t="shared" si="49"/>
        <v>4.8275862068965516</v>
      </c>
      <c r="AX31" s="53">
        <f t="shared" si="50"/>
        <v>11.03448275862069</v>
      </c>
      <c r="AY31" s="52" t="s">
        <v>59</v>
      </c>
      <c r="AZ31" s="51" t="s">
        <v>86</v>
      </c>
    </row>
    <row r="32" spans="2:52" ht="44.4" customHeight="1" x14ac:dyDescent="0.3">
      <c r="B32" s="62" t="s">
        <v>118</v>
      </c>
      <c r="C32" s="63"/>
      <c r="D32" s="64"/>
      <c r="E32" s="64"/>
      <c r="F32" s="63"/>
      <c r="G32" s="63"/>
      <c r="H32" s="64"/>
      <c r="I32" s="64"/>
      <c r="J32" s="63"/>
      <c r="K32" s="63"/>
      <c r="L32" s="63"/>
      <c r="M32" s="64"/>
      <c r="N32" s="63"/>
      <c r="O32" s="63"/>
      <c r="P32" s="64"/>
      <c r="Q32" s="64"/>
      <c r="R32" s="63"/>
      <c r="S32" s="63"/>
      <c r="T32" s="64"/>
      <c r="U32" s="64"/>
      <c r="V32" s="51" t="str">
        <f t="shared" si="44"/>
        <v>ok</v>
      </c>
      <c r="W32" s="63"/>
      <c r="X32" s="67"/>
      <c r="Y32" s="69"/>
      <c r="Z32" s="69"/>
      <c r="AA32" s="63"/>
      <c r="AB32" s="63"/>
      <c r="AC32" s="64"/>
      <c r="AD32" s="64"/>
      <c r="AE32" s="63"/>
      <c r="AF32" s="63"/>
      <c r="AG32" s="64"/>
      <c r="AH32" s="64"/>
      <c r="AI32" s="63"/>
      <c r="AJ32" s="63"/>
      <c r="AK32" s="64"/>
      <c r="AL32" s="64"/>
      <c r="AM32" s="63"/>
      <c r="AN32" s="63"/>
      <c r="AO32" s="64"/>
      <c r="AP32" s="64"/>
      <c r="AQ32" s="51" t="e">
        <f t="shared" si="47"/>
        <v>#DIV/0!</v>
      </c>
      <c r="AR32" s="51" t="e">
        <f t="shared" si="48"/>
        <v>#DIV/0!</v>
      </c>
      <c r="AS32" s="51">
        <v>0</v>
      </c>
      <c r="AT32" s="51">
        <v>0</v>
      </c>
      <c r="AU32" s="52">
        <v>0</v>
      </c>
      <c r="AV32" s="52" t="s">
        <v>59</v>
      </c>
      <c r="AW32" s="52" t="s">
        <v>59</v>
      </c>
      <c r="AX32" s="52" t="s">
        <v>59</v>
      </c>
      <c r="AY32" s="52" t="s">
        <v>59</v>
      </c>
      <c r="AZ32" s="51" t="s">
        <v>86</v>
      </c>
    </row>
    <row r="33" spans="2:52" ht="48" customHeight="1" x14ac:dyDescent="0.3">
      <c r="B33" s="51" t="s">
        <v>119</v>
      </c>
      <c r="C33" s="51" t="s">
        <v>59</v>
      </c>
      <c r="D33" s="52" t="s">
        <v>70</v>
      </c>
      <c r="E33" s="52" t="s">
        <v>80</v>
      </c>
      <c r="F33" s="51">
        <v>122</v>
      </c>
      <c r="G33" s="51">
        <v>117</v>
      </c>
      <c r="H33" s="52" t="s">
        <v>120</v>
      </c>
      <c r="I33" s="52" t="s">
        <v>121</v>
      </c>
      <c r="J33" s="51">
        <v>1493.04</v>
      </c>
      <c r="K33" s="51">
        <f>0.00556757*1000</f>
        <v>5.5675699999999999</v>
      </c>
      <c r="L33" s="52">
        <v>2</v>
      </c>
      <c r="M33" s="52" t="s">
        <v>104</v>
      </c>
      <c r="N33" s="51" t="s">
        <v>85</v>
      </c>
      <c r="O33" s="51">
        <v>75.069999999999993</v>
      </c>
      <c r="P33" s="52">
        <v>0.505</v>
      </c>
      <c r="Q33" s="52">
        <v>0.91700000000000004</v>
      </c>
      <c r="R33" s="51">
        <v>3.7949999999999999</v>
      </c>
      <c r="S33" s="51">
        <v>19.588000000000001</v>
      </c>
      <c r="T33" s="52">
        <v>39.04</v>
      </c>
      <c r="U33" s="52">
        <v>37</v>
      </c>
      <c r="V33" s="51" t="str">
        <f t="shared" si="44"/>
        <v>ok</v>
      </c>
      <c r="W33" s="51">
        <f>SUM(P33:Q33)</f>
        <v>1.4220000000000002</v>
      </c>
      <c r="X33" s="53">
        <f>W33/U33</f>
        <v>3.843243243243244E-2</v>
      </c>
      <c r="Y33" s="61">
        <f>SUM(R33:S33)</f>
        <v>23.383000000000003</v>
      </c>
      <c r="Z33" s="61">
        <f>Y33/U33</f>
        <v>0.63197297297297306</v>
      </c>
      <c r="AA33" s="51"/>
      <c r="AB33" s="51"/>
      <c r="AC33" s="52"/>
      <c r="AD33" s="52"/>
      <c r="AE33" s="51"/>
      <c r="AF33" s="51"/>
      <c r="AG33" s="52"/>
      <c r="AH33" s="52"/>
      <c r="AI33" s="51"/>
      <c r="AJ33" s="51"/>
      <c r="AK33" s="52"/>
      <c r="AL33" s="52"/>
      <c r="AM33" s="51"/>
      <c r="AN33" s="51">
        <v>0.71099999999999997</v>
      </c>
      <c r="AO33" s="52">
        <v>1.4219999999999999</v>
      </c>
      <c r="AP33" s="52" t="s">
        <v>59</v>
      </c>
      <c r="AQ33" s="51">
        <f t="shared" si="47"/>
        <v>49.999999999999993</v>
      </c>
      <c r="AR33" s="51">
        <f t="shared" si="48"/>
        <v>99.999999999999986</v>
      </c>
      <c r="AS33" s="51">
        <v>522</v>
      </c>
      <c r="AT33" s="51">
        <v>467</v>
      </c>
      <c r="AU33" s="52">
        <v>412</v>
      </c>
      <c r="AV33" s="52" t="s">
        <v>59</v>
      </c>
      <c r="AW33" s="53">
        <f t="shared" si="49"/>
        <v>10.536398467432949</v>
      </c>
      <c r="AX33" s="53">
        <f t="shared" si="50"/>
        <v>21.072796934865899</v>
      </c>
      <c r="AY33" s="52" t="s">
        <v>59</v>
      </c>
      <c r="AZ33" s="51" t="s">
        <v>86</v>
      </c>
    </row>
    <row r="34" spans="2:52" ht="48" customHeight="1" x14ac:dyDescent="0.3">
      <c r="B34" s="62" t="s">
        <v>122</v>
      </c>
      <c r="C34" s="63"/>
      <c r="D34" s="64"/>
      <c r="E34" s="64"/>
      <c r="F34" s="63"/>
      <c r="G34" s="63"/>
      <c r="H34" s="64"/>
      <c r="I34" s="64"/>
      <c r="J34" s="63"/>
      <c r="K34" s="63"/>
      <c r="L34" s="63"/>
      <c r="M34" s="64"/>
      <c r="N34" s="63"/>
      <c r="O34" s="63"/>
      <c r="P34" s="64"/>
      <c r="Q34" s="64"/>
      <c r="R34" s="63"/>
      <c r="S34" s="63"/>
      <c r="T34" s="64"/>
      <c r="U34" s="64"/>
      <c r="V34" s="51" t="str">
        <f t="shared" si="44"/>
        <v>ok</v>
      </c>
      <c r="W34" s="63"/>
      <c r="X34" s="67"/>
      <c r="Y34" s="69"/>
      <c r="Z34" s="69"/>
      <c r="AA34" s="70"/>
      <c r="AB34" s="70"/>
      <c r="AC34" s="71"/>
      <c r="AD34" s="71"/>
      <c r="AE34" s="70"/>
      <c r="AF34" s="70"/>
      <c r="AG34" s="71"/>
      <c r="AH34" s="71"/>
      <c r="AI34" s="70"/>
      <c r="AJ34" s="70"/>
      <c r="AK34" s="71"/>
      <c r="AL34" s="71"/>
      <c r="AM34" s="70"/>
      <c r="AN34" s="63"/>
      <c r="AO34" s="64"/>
      <c r="AP34" s="64"/>
      <c r="AQ34" s="51" t="e">
        <f t="shared" si="47"/>
        <v>#DIV/0!</v>
      </c>
      <c r="AR34" s="51" t="e">
        <f t="shared" si="48"/>
        <v>#DIV/0!</v>
      </c>
      <c r="AS34" s="51">
        <v>94</v>
      </c>
      <c r="AT34" s="51">
        <v>41</v>
      </c>
      <c r="AU34" s="52">
        <v>12</v>
      </c>
      <c r="AV34" s="52" t="s">
        <v>59</v>
      </c>
      <c r="AW34" s="53">
        <f t="shared" si="49"/>
        <v>56.38297872340425</v>
      </c>
      <c r="AX34" s="53">
        <f t="shared" si="50"/>
        <v>87.2340425531915</v>
      </c>
      <c r="AY34" s="52" t="s">
        <v>59</v>
      </c>
      <c r="AZ34" s="51" t="s">
        <v>86</v>
      </c>
    </row>
    <row r="35" spans="2:52" ht="43.2" x14ac:dyDescent="0.3">
      <c r="B35" s="51" t="s">
        <v>123</v>
      </c>
      <c r="C35" s="51" t="s">
        <v>59</v>
      </c>
      <c r="D35" s="52" t="s">
        <v>70</v>
      </c>
      <c r="E35" s="52" t="s">
        <v>80</v>
      </c>
      <c r="F35" s="51">
        <v>423</v>
      </c>
      <c r="G35" s="51">
        <v>416</v>
      </c>
      <c r="H35" s="52" t="s">
        <v>124</v>
      </c>
      <c r="I35" s="52" t="s">
        <v>125</v>
      </c>
      <c r="J35" s="51">
        <v>2638.1</v>
      </c>
      <c r="K35" s="51">
        <f>0.01713357*1000</f>
        <v>17.133570000000002</v>
      </c>
      <c r="L35" s="52">
        <v>2</v>
      </c>
      <c r="M35" s="52" t="s">
        <v>126</v>
      </c>
      <c r="N35" s="51" t="s">
        <v>85</v>
      </c>
      <c r="O35" s="51">
        <v>270.52999999999997</v>
      </c>
      <c r="P35" s="52">
        <v>0.745</v>
      </c>
      <c r="Q35" s="52">
        <v>2.7160000000000002</v>
      </c>
      <c r="R35" s="51">
        <v>54.576000000000001</v>
      </c>
      <c r="S35" s="51">
        <v>0</v>
      </c>
      <c r="T35" s="52">
        <v>160.88</v>
      </c>
      <c r="U35" s="52">
        <v>160.88</v>
      </c>
      <c r="V35" s="51" t="str">
        <f t="shared" si="44"/>
        <v>ok</v>
      </c>
      <c r="W35" s="51">
        <f>SUM(P35:Q35)</f>
        <v>3.4610000000000003</v>
      </c>
      <c r="X35" s="53">
        <f>W35/U35</f>
        <v>2.1512928891098959E-2</v>
      </c>
      <c r="Y35" s="61">
        <f>SUM(R35:S35)</f>
        <v>54.576000000000001</v>
      </c>
      <c r="Z35" s="61">
        <f>Y35/U35</f>
        <v>0.33923421183490804</v>
      </c>
      <c r="AA35" s="51"/>
      <c r="AB35" s="51"/>
      <c r="AC35" s="52"/>
      <c r="AD35" s="52"/>
      <c r="AE35" s="51"/>
      <c r="AF35" s="51"/>
      <c r="AG35" s="52"/>
      <c r="AH35" s="52"/>
      <c r="AI35" s="51"/>
      <c r="AJ35" s="51"/>
      <c r="AK35" s="52"/>
      <c r="AL35" s="52"/>
      <c r="AM35" s="51"/>
      <c r="AN35" s="51">
        <v>1.419</v>
      </c>
      <c r="AO35" s="52">
        <v>2.8290000000000002</v>
      </c>
      <c r="AP35" s="52" t="s">
        <v>59</v>
      </c>
      <c r="AQ35" s="51">
        <f t="shared" si="47"/>
        <v>40.999711066165844</v>
      </c>
      <c r="AR35" s="51">
        <f t="shared" si="48"/>
        <v>81.739381681594921</v>
      </c>
      <c r="AS35" s="51">
        <v>96</v>
      </c>
      <c r="AT35" s="51">
        <v>61</v>
      </c>
      <c r="AU35" s="52">
        <v>52</v>
      </c>
      <c r="AV35" s="52" t="s">
        <v>59</v>
      </c>
      <c r="AW35" s="53">
        <f t="shared" si="49"/>
        <v>36.458333333333329</v>
      </c>
      <c r="AX35" s="53">
        <f t="shared" si="50"/>
        <v>45.833333333333329</v>
      </c>
      <c r="AY35" s="52" t="s">
        <v>59</v>
      </c>
      <c r="AZ35" s="51" t="s">
        <v>86</v>
      </c>
    </row>
    <row r="36" spans="2:52" ht="40.950000000000003" customHeight="1" x14ac:dyDescent="0.3">
      <c r="B36" s="62" t="s">
        <v>127</v>
      </c>
      <c r="C36" s="63"/>
      <c r="D36" s="64"/>
      <c r="E36" s="64"/>
      <c r="F36" s="63"/>
      <c r="G36" s="63"/>
      <c r="H36" s="64"/>
      <c r="I36" s="64"/>
      <c r="J36" s="63"/>
      <c r="K36" s="63"/>
      <c r="L36" s="63"/>
      <c r="M36" s="64"/>
      <c r="N36" s="63"/>
      <c r="O36" s="63"/>
      <c r="P36" s="64"/>
      <c r="Q36" s="64"/>
      <c r="R36" s="63"/>
      <c r="S36" s="63"/>
      <c r="T36" s="64"/>
      <c r="U36" s="64"/>
      <c r="V36" s="51" t="str">
        <f t="shared" si="44"/>
        <v>ok</v>
      </c>
      <c r="W36" s="63"/>
      <c r="X36" s="67"/>
      <c r="Y36" s="69"/>
      <c r="Z36" s="69"/>
      <c r="AA36" s="63"/>
      <c r="AB36" s="63"/>
      <c r="AC36" s="64"/>
      <c r="AD36" s="64"/>
      <c r="AE36" s="63"/>
      <c r="AF36" s="63"/>
      <c r="AG36" s="64"/>
      <c r="AH36" s="64"/>
      <c r="AI36" s="63"/>
      <c r="AJ36" s="63"/>
      <c r="AK36" s="64"/>
      <c r="AL36" s="64"/>
      <c r="AM36" s="63"/>
      <c r="AN36" s="63"/>
      <c r="AO36" s="64"/>
      <c r="AP36" s="64"/>
      <c r="AQ36" s="51" t="e">
        <f t="shared" si="47"/>
        <v>#DIV/0!</v>
      </c>
      <c r="AR36" s="51" t="e">
        <f t="shared" si="48"/>
        <v>#DIV/0!</v>
      </c>
      <c r="AS36" s="51">
        <v>48</v>
      </c>
      <c r="AT36" s="51">
        <v>7</v>
      </c>
      <c r="AU36" s="52">
        <v>4</v>
      </c>
      <c r="AV36" s="52" t="s">
        <v>59</v>
      </c>
      <c r="AW36" s="53">
        <f t="shared" si="49"/>
        <v>85.416666666666657</v>
      </c>
      <c r="AX36" s="53">
        <f t="shared" si="50"/>
        <v>91.666666666666657</v>
      </c>
      <c r="AY36" s="52" t="s">
        <v>59</v>
      </c>
      <c r="AZ36" s="51" t="s">
        <v>86</v>
      </c>
    </row>
    <row r="37" spans="2:52" ht="43.2" x14ac:dyDescent="0.3">
      <c r="B37" s="51" t="s">
        <v>128</v>
      </c>
      <c r="C37" s="51" t="s">
        <v>59</v>
      </c>
      <c r="D37" s="52" t="s">
        <v>79</v>
      </c>
      <c r="E37" s="52" t="s">
        <v>101</v>
      </c>
      <c r="F37" s="51">
        <v>153</v>
      </c>
      <c r="G37" s="51">
        <v>148</v>
      </c>
      <c r="H37" s="52" t="s">
        <v>129</v>
      </c>
      <c r="I37" s="52" t="s">
        <v>130</v>
      </c>
      <c r="J37" s="51">
        <v>1853.44</v>
      </c>
      <c r="K37" s="51">
        <v>6.97</v>
      </c>
      <c r="L37" s="52">
        <v>1</v>
      </c>
      <c r="M37" s="52" t="s">
        <v>113</v>
      </c>
      <c r="N37" s="51" t="s">
        <v>85</v>
      </c>
      <c r="O37" s="51">
        <v>161.44999999999999</v>
      </c>
      <c r="P37" s="52">
        <v>0.28800000000000014</v>
      </c>
      <c r="Q37" s="52">
        <v>0.86000000000000054</v>
      </c>
      <c r="R37" s="51">
        <v>0</v>
      </c>
      <c r="S37" s="51">
        <v>25.092000000000002</v>
      </c>
      <c r="T37" s="52">
        <v>66</v>
      </c>
      <c r="U37" s="52">
        <v>66.010000000000005</v>
      </c>
      <c r="V37" s="51" t="str">
        <f t="shared" si="44"/>
        <v>contributing&gt;total</v>
      </c>
      <c r="W37" s="51">
        <f>SUM(P37:Q37)</f>
        <v>1.1480000000000006</v>
      </c>
      <c r="X37" s="53">
        <f>W37/U37</f>
        <v>1.7391304347826094E-2</v>
      </c>
      <c r="Y37" s="61">
        <f>SUM(R37:S37)</f>
        <v>25.092000000000002</v>
      </c>
      <c r="Z37" s="61">
        <f>Y37/U37</f>
        <v>0.38012422360248449</v>
      </c>
      <c r="AA37" s="51"/>
      <c r="AB37" s="51"/>
      <c r="AC37" s="52"/>
      <c r="AD37" s="52"/>
      <c r="AE37" s="51"/>
      <c r="AF37" s="51"/>
      <c r="AG37" s="52"/>
      <c r="AH37" s="52"/>
      <c r="AI37" s="51"/>
      <c r="AJ37" s="51"/>
      <c r="AK37" s="52"/>
      <c r="AL37" s="52"/>
      <c r="AM37" s="51"/>
      <c r="AN37" s="51">
        <v>0.57299999999999995</v>
      </c>
      <c r="AO37" s="52">
        <v>1.1479999999999999</v>
      </c>
      <c r="AP37" s="52" t="s">
        <v>59</v>
      </c>
      <c r="AQ37" s="51">
        <f t="shared" si="47"/>
        <v>49.912891986062689</v>
      </c>
      <c r="AR37" s="51">
        <f t="shared" si="48"/>
        <v>99.999999999999943</v>
      </c>
      <c r="AS37" s="51">
        <v>1576</v>
      </c>
      <c r="AT37" s="51">
        <v>1552</v>
      </c>
      <c r="AU37" s="52">
        <v>1542</v>
      </c>
      <c r="AV37" s="52" t="s">
        <v>59</v>
      </c>
      <c r="AW37" s="53">
        <f t="shared" si="49"/>
        <v>1.5228426395939088</v>
      </c>
      <c r="AX37" s="53">
        <f t="shared" si="50"/>
        <v>2.1573604060913705</v>
      </c>
      <c r="AY37" s="52" t="s">
        <v>59</v>
      </c>
      <c r="AZ37" s="51" t="s">
        <v>86</v>
      </c>
    </row>
    <row r="38" spans="2:52" ht="40.950000000000003" customHeight="1" x14ac:dyDescent="0.3">
      <c r="B38" s="62" t="s">
        <v>131</v>
      </c>
      <c r="C38" s="63"/>
      <c r="D38" s="64"/>
      <c r="E38" s="64"/>
      <c r="F38" s="63"/>
      <c r="G38" s="63"/>
      <c r="H38" s="64"/>
      <c r="I38" s="64"/>
      <c r="J38" s="63"/>
      <c r="K38" s="63"/>
      <c r="L38" s="63"/>
      <c r="M38" s="64"/>
      <c r="N38" s="63"/>
      <c r="O38" s="63"/>
      <c r="P38" s="64"/>
      <c r="Q38" s="64"/>
      <c r="R38" s="63"/>
      <c r="S38" s="63"/>
      <c r="T38" s="64"/>
      <c r="U38" s="64"/>
      <c r="V38" s="51" t="str">
        <f t="shared" si="44"/>
        <v>ok</v>
      </c>
      <c r="W38" s="64"/>
      <c r="X38" s="64"/>
      <c r="Y38" s="64"/>
      <c r="Z38" s="64"/>
      <c r="AA38" s="63"/>
      <c r="AB38" s="63"/>
      <c r="AC38" s="64"/>
      <c r="AD38" s="64"/>
      <c r="AE38" s="63"/>
      <c r="AF38" s="63"/>
      <c r="AG38" s="64"/>
      <c r="AH38" s="64"/>
      <c r="AI38" s="63"/>
      <c r="AJ38" s="63"/>
      <c r="AK38" s="64"/>
      <c r="AL38" s="64"/>
      <c r="AM38" s="63"/>
      <c r="AN38" s="63"/>
      <c r="AO38" s="64"/>
      <c r="AP38" s="64"/>
      <c r="AQ38" s="51" t="e">
        <f t="shared" si="47"/>
        <v>#DIV/0!</v>
      </c>
      <c r="AR38" s="51" t="e">
        <f t="shared" si="48"/>
        <v>#DIV/0!</v>
      </c>
      <c r="AS38" s="51">
        <v>57</v>
      </c>
      <c r="AT38" s="51">
        <v>6</v>
      </c>
      <c r="AU38" s="52">
        <v>0</v>
      </c>
      <c r="AV38" s="52" t="s">
        <v>59</v>
      </c>
      <c r="AW38" s="53">
        <f t="shared" si="49"/>
        <v>89.473684210526315</v>
      </c>
      <c r="AX38" s="53">
        <f t="shared" si="50"/>
        <v>100</v>
      </c>
      <c r="AY38" s="52" t="s">
        <v>59</v>
      </c>
      <c r="AZ38" s="51" t="s">
        <v>86</v>
      </c>
    </row>
    <row r="39" spans="2:52" ht="49.2" customHeight="1" x14ac:dyDescent="0.3">
      <c r="B39" s="76" t="s">
        <v>132</v>
      </c>
      <c r="C39" s="51" t="s">
        <v>59</v>
      </c>
      <c r="D39" s="52" t="s">
        <v>55</v>
      </c>
      <c r="E39" s="52" t="s">
        <v>80</v>
      </c>
      <c r="F39" s="51">
        <v>2400</v>
      </c>
      <c r="G39" s="51">
        <v>2358</v>
      </c>
      <c r="H39" s="52" t="s">
        <v>133</v>
      </c>
      <c r="I39" s="52" t="s">
        <v>134</v>
      </c>
      <c r="J39" s="51">
        <v>37607.890000000014</v>
      </c>
      <c r="K39" s="51">
        <f>0.13951065*1000</f>
        <v>139.51065000000003</v>
      </c>
      <c r="L39" s="52">
        <v>36</v>
      </c>
      <c r="M39" s="52" t="s">
        <v>98</v>
      </c>
      <c r="N39" s="51" t="s">
        <v>85</v>
      </c>
      <c r="O39" s="51">
        <v>2305.9499999999998</v>
      </c>
      <c r="P39" s="52">
        <v>19.431999999999984</v>
      </c>
      <c r="Q39" s="52">
        <v>22.002999999999968</v>
      </c>
      <c r="R39" s="51">
        <v>192.23699999999997</v>
      </c>
      <c r="S39" s="51">
        <v>0</v>
      </c>
      <c r="T39" s="52">
        <v>1110.95</v>
      </c>
      <c r="U39" s="52">
        <v>1090.8800000000001</v>
      </c>
      <c r="V39" s="51" t="str">
        <f t="shared" si="44"/>
        <v>ok</v>
      </c>
      <c r="W39" s="51">
        <f t="shared" ref="W39:W76" si="51">SUM(P39:Q39)</f>
        <v>41.434999999999953</v>
      </c>
      <c r="X39" s="53">
        <f t="shared" ref="X39:X50" si="52">W39/U39</f>
        <v>3.7983096215899043E-2</v>
      </c>
      <c r="Y39" s="61">
        <f t="shared" ref="Y39:Y48" si="53">SUM(R39:S39)</f>
        <v>192.23699999999997</v>
      </c>
      <c r="Z39" s="61">
        <f t="shared" ref="Z39:Z50" si="54">Y39/U39</f>
        <v>0.17622194925198001</v>
      </c>
      <c r="AA39" s="51"/>
      <c r="AB39" s="51"/>
      <c r="AC39" s="52"/>
      <c r="AD39" s="52"/>
      <c r="AE39" s="51"/>
      <c r="AF39" s="51"/>
      <c r="AG39" s="52"/>
      <c r="AH39" s="52"/>
      <c r="AI39" s="51"/>
      <c r="AJ39" s="51"/>
      <c r="AK39" s="52"/>
      <c r="AL39" s="52"/>
      <c r="AM39" s="51"/>
      <c r="AN39" s="51">
        <v>20.720999999999986</v>
      </c>
      <c r="AO39" s="52">
        <v>41.434999999999953</v>
      </c>
      <c r="AP39" s="52" t="s">
        <v>59</v>
      </c>
      <c r="AQ39" s="51">
        <f t="shared" si="47"/>
        <v>50.008446965126133</v>
      </c>
      <c r="AR39" s="51">
        <f t="shared" si="48"/>
        <v>100</v>
      </c>
      <c r="AS39" s="88">
        <v>0</v>
      </c>
      <c r="AT39" s="88">
        <v>0</v>
      </c>
      <c r="AU39" s="89">
        <v>0</v>
      </c>
      <c r="AV39" s="89" t="s">
        <v>59</v>
      </c>
      <c r="AW39" s="89" t="s">
        <v>59</v>
      </c>
      <c r="AX39" s="89" t="s">
        <v>59</v>
      </c>
      <c r="AY39" s="89" t="s">
        <v>59</v>
      </c>
      <c r="AZ39" s="89" t="s">
        <v>135</v>
      </c>
    </row>
    <row r="40" spans="2:52" ht="49.95" customHeight="1" x14ac:dyDescent="0.3">
      <c r="B40" s="76" t="s">
        <v>136</v>
      </c>
      <c r="C40" s="51" t="s">
        <v>59</v>
      </c>
      <c r="D40" s="52" t="s">
        <v>55</v>
      </c>
      <c r="E40" s="52" t="s">
        <v>80</v>
      </c>
      <c r="F40" s="51">
        <v>341</v>
      </c>
      <c r="G40" s="51">
        <v>340</v>
      </c>
      <c r="H40" s="52" t="s">
        <v>137</v>
      </c>
      <c r="I40" s="52" t="s">
        <v>138</v>
      </c>
      <c r="J40" s="51">
        <v>2676.18</v>
      </c>
      <c r="K40" s="51">
        <f>0.00967276*1000</f>
        <v>9.6727600000000002</v>
      </c>
      <c r="L40" s="52">
        <v>0</v>
      </c>
      <c r="M40" s="52" t="s">
        <v>139</v>
      </c>
      <c r="N40" s="51" t="s">
        <v>140</v>
      </c>
      <c r="O40" s="51">
        <v>75.459999999999994</v>
      </c>
      <c r="P40" s="52">
        <v>5.0000000000000001E-3</v>
      </c>
      <c r="Q40" s="52">
        <v>0.01</v>
      </c>
      <c r="R40" s="51">
        <v>0.14580000000000001</v>
      </c>
      <c r="S40" s="51">
        <v>0</v>
      </c>
      <c r="T40" s="52">
        <v>159.38999999999999</v>
      </c>
      <c r="U40" s="52">
        <v>159.34</v>
      </c>
      <c r="V40" s="51" t="str">
        <f t="shared" si="44"/>
        <v>ok</v>
      </c>
      <c r="W40" s="51">
        <f>SUM(P40:Q40)</f>
        <v>1.4999999999999999E-2</v>
      </c>
      <c r="X40" s="53">
        <f t="shared" si="52"/>
        <v>9.4138320572360987E-5</v>
      </c>
      <c r="Y40" s="61">
        <f t="shared" si="53"/>
        <v>0.14580000000000001</v>
      </c>
      <c r="Z40" s="61">
        <f t="shared" si="54"/>
        <v>9.1502447596334888E-4</v>
      </c>
      <c r="AA40" s="51"/>
      <c r="AB40" s="51"/>
      <c r="AC40" s="52"/>
      <c r="AD40" s="52"/>
      <c r="AE40" s="51"/>
      <c r="AF40" s="51"/>
      <c r="AG40" s="52"/>
      <c r="AH40" s="52"/>
      <c r="AI40" s="51"/>
      <c r="AJ40" s="51"/>
      <c r="AK40" s="52"/>
      <c r="AL40" s="52"/>
      <c r="AM40" s="51"/>
      <c r="AN40" s="51">
        <v>2.95</v>
      </c>
      <c r="AO40" s="52">
        <v>5.9050000000000002</v>
      </c>
      <c r="AP40" s="52" t="s">
        <v>59</v>
      </c>
      <c r="AQ40" s="55">
        <f t="shared" si="47"/>
        <v>19666.666666666668</v>
      </c>
      <c r="AR40" s="55">
        <f t="shared" si="48"/>
        <v>39366.666666666672</v>
      </c>
      <c r="AS40" s="51">
        <v>40</v>
      </c>
      <c r="AT40" s="51">
        <v>6</v>
      </c>
      <c r="AU40" s="52">
        <v>0</v>
      </c>
      <c r="AV40" s="52" t="s">
        <v>59</v>
      </c>
      <c r="AW40" s="53">
        <f t="shared" si="49"/>
        <v>85</v>
      </c>
      <c r="AX40" s="53">
        <f t="shared" si="50"/>
        <v>100</v>
      </c>
      <c r="AY40" s="52" t="s">
        <v>59</v>
      </c>
      <c r="AZ40" s="51" t="s">
        <v>86</v>
      </c>
    </row>
    <row r="41" spans="2:52" ht="46.2" customHeight="1" x14ac:dyDescent="0.3">
      <c r="B41" s="76" t="s">
        <v>141</v>
      </c>
      <c r="C41" s="51" t="s">
        <v>59</v>
      </c>
      <c r="D41" s="52" t="s">
        <v>55</v>
      </c>
      <c r="E41" s="52" t="s">
        <v>80</v>
      </c>
      <c r="F41" s="51">
        <v>492</v>
      </c>
      <c r="G41" s="51">
        <v>485</v>
      </c>
      <c r="H41" s="52" t="s">
        <v>142</v>
      </c>
      <c r="I41" s="52" t="s">
        <v>143</v>
      </c>
      <c r="J41" s="51">
        <v>9167.5990000000002</v>
      </c>
      <c r="K41" s="51">
        <f>0.0352324*1000</f>
        <v>35.232399999999998</v>
      </c>
      <c r="L41" s="52">
        <v>7</v>
      </c>
      <c r="M41" s="52" t="s">
        <v>139</v>
      </c>
      <c r="N41" s="51" t="s">
        <v>140</v>
      </c>
      <c r="O41" s="51">
        <v>468.41</v>
      </c>
      <c r="P41" s="52">
        <v>4.1649999999999956</v>
      </c>
      <c r="Q41" s="52">
        <v>3.922999999999996</v>
      </c>
      <c r="R41" s="51">
        <v>43.514960000000002</v>
      </c>
      <c r="S41" s="51">
        <v>0</v>
      </c>
      <c r="T41" s="52">
        <v>290.58999999999997</v>
      </c>
      <c r="U41" s="52">
        <v>278.76</v>
      </c>
      <c r="V41" s="51" t="str">
        <f t="shared" si="44"/>
        <v>ok</v>
      </c>
      <c r="W41" s="51">
        <f t="shared" si="51"/>
        <v>8.0879999999999921</v>
      </c>
      <c r="X41" s="53">
        <f t="shared" si="52"/>
        <v>2.9014205768402898E-2</v>
      </c>
      <c r="Y41" s="61">
        <f t="shared" si="53"/>
        <v>43.514960000000002</v>
      </c>
      <c r="Z41" s="61">
        <f t="shared" si="54"/>
        <v>0.15610187975319273</v>
      </c>
      <c r="AA41" s="51"/>
      <c r="AB41" s="51"/>
      <c r="AC41" s="52"/>
      <c r="AD41" s="52"/>
      <c r="AE41" s="51"/>
      <c r="AF41" s="51"/>
      <c r="AG41" s="52"/>
      <c r="AH41" s="52"/>
      <c r="AI41" s="51"/>
      <c r="AJ41" s="51"/>
      <c r="AK41" s="52"/>
      <c r="AL41" s="52"/>
      <c r="AM41" s="51"/>
      <c r="AN41" s="51">
        <v>4.0419999999999998</v>
      </c>
      <c r="AO41" s="52">
        <v>8.0879999999999992</v>
      </c>
      <c r="AP41" s="52" t="s">
        <v>59</v>
      </c>
      <c r="AQ41" s="51">
        <f t="shared" si="47"/>
        <v>49.975272007912999</v>
      </c>
      <c r="AR41" s="51">
        <f t="shared" si="48"/>
        <v>100.00000000000009</v>
      </c>
      <c r="AS41" s="51">
        <v>0</v>
      </c>
      <c r="AT41" s="51">
        <v>0</v>
      </c>
      <c r="AU41" s="52">
        <v>0</v>
      </c>
      <c r="AV41" s="52" t="s">
        <v>59</v>
      </c>
      <c r="AW41" s="52" t="s">
        <v>59</v>
      </c>
      <c r="AX41" s="52" t="s">
        <v>59</v>
      </c>
      <c r="AY41" s="52" t="s">
        <v>59</v>
      </c>
      <c r="AZ41" s="51" t="s">
        <v>86</v>
      </c>
    </row>
    <row r="42" spans="2:52" ht="37.200000000000003" customHeight="1" x14ac:dyDescent="0.3">
      <c r="B42" s="52" t="s">
        <v>144</v>
      </c>
      <c r="C42" s="51" t="s">
        <v>59</v>
      </c>
      <c r="D42" s="52" t="s">
        <v>70</v>
      </c>
      <c r="E42" s="52" t="s">
        <v>80</v>
      </c>
      <c r="F42" s="51">
        <v>362</v>
      </c>
      <c r="G42" s="51">
        <v>347</v>
      </c>
      <c r="H42" s="52" t="s">
        <v>145</v>
      </c>
      <c r="I42" s="52" t="s">
        <v>146</v>
      </c>
      <c r="J42" s="51">
        <v>5217.1400000000003</v>
      </c>
      <c r="K42" s="51">
        <f>0.00276775*1000</f>
        <v>2.7677499999999999</v>
      </c>
      <c r="L42" s="52">
        <v>4</v>
      </c>
      <c r="M42" s="52" t="s">
        <v>147</v>
      </c>
      <c r="N42" s="51" t="s">
        <v>85</v>
      </c>
      <c r="O42" s="51">
        <v>37.79</v>
      </c>
      <c r="P42" s="52">
        <v>38.585000000000001</v>
      </c>
      <c r="Q42" s="52">
        <v>26.395</v>
      </c>
      <c r="R42" s="51">
        <v>108.187</v>
      </c>
      <c r="S42" s="51">
        <v>0</v>
      </c>
      <c r="T42" s="52">
        <v>173.17</v>
      </c>
      <c r="U42" s="52">
        <v>173.17</v>
      </c>
      <c r="V42" s="51" t="str">
        <f t="shared" si="44"/>
        <v>ok</v>
      </c>
      <c r="W42" s="51">
        <f t="shared" si="51"/>
        <v>64.98</v>
      </c>
      <c r="X42" s="53">
        <f t="shared" si="52"/>
        <v>0.37523820523185314</v>
      </c>
      <c r="Y42" s="61">
        <f t="shared" si="53"/>
        <v>108.187</v>
      </c>
      <c r="Z42" s="61">
        <f t="shared" si="54"/>
        <v>0.62474447075128492</v>
      </c>
      <c r="AA42" s="51"/>
      <c r="AB42" s="51"/>
      <c r="AC42" s="52"/>
      <c r="AD42" s="52"/>
      <c r="AE42" s="51"/>
      <c r="AF42" s="51"/>
      <c r="AG42" s="52"/>
      <c r="AH42" s="52"/>
      <c r="AI42" s="51"/>
      <c r="AJ42" s="51"/>
      <c r="AK42" s="52"/>
      <c r="AL42" s="52"/>
      <c r="AM42" s="51"/>
      <c r="AN42" s="51">
        <v>26.878</v>
      </c>
      <c r="AO42" s="52">
        <v>53.781999999999996</v>
      </c>
      <c r="AP42" s="52" t="s">
        <v>59</v>
      </c>
      <c r="AQ42" s="51">
        <f t="shared" si="47"/>
        <v>41.363496460449369</v>
      </c>
      <c r="AR42" s="51">
        <f t="shared" si="48"/>
        <v>82.767005232379191</v>
      </c>
      <c r="AS42" s="51">
        <v>908</v>
      </c>
      <c r="AT42" s="51">
        <v>615</v>
      </c>
      <c r="AU42" s="52">
        <v>12</v>
      </c>
      <c r="AV42" s="52" t="s">
        <v>59</v>
      </c>
      <c r="AW42" s="53">
        <f t="shared" si="49"/>
        <v>32.268722466960355</v>
      </c>
      <c r="AX42" s="53">
        <f t="shared" si="50"/>
        <v>98.678414096916299</v>
      </c>
      <c r="AY42" s="52" t="s">
        <v>59</v>
      </c>
      <c r="AZ42" s="51" t="s">
        <v>86</v>
      </c>
    </row>
    <row r="43" spans="2:52" ht="45.6" customHeight="1" x14ac:dyDescent="0.3">
      <c r="B43" s="76" t="s">
        <v>148</v>
      </c>
      <c r="C43" s="77"/>
      <c r="D43" s="77"/>
      <c r="E43" s="77"/>
      <c r="F43" s="78"/>
      <c r="G43" s="78"/>
      <c r="H43" s="77"/>
      <c r="I43" s="77"/>
      <c r="J43" s="78"/>
      <c r="K43" s="78"/>
      <c r="L43" s="78"/>
      <c r="M43" s="78"/>
      <c r="N43" s="78"/>
      <c r="O43" s="78"/>
      <c r="P43" s="77"/>
      <c r="Q43" s="77"/>
      <c r="R43" s="78"/>
      <c r="S43" s="78"/>
      <c r="T43" s="77"/>
      <c r="U43" s="77"/>
      <c r="V43" s="51" t="str">
        <f t="shared" si="44"/>
        <v>ok</v>
      </c>
      <c r="W43" s="77"/>
      <c r="X43" s="77"/>
      <c r="Y43" s="77"/>
      <c r="Z43" s="77"/>
      <c r="AA43" s="78"/>
      <c r="AB43" s="78"/>
      <c r="AC43" s="77"/>
      <c r="AD43" s="77"/>
      <c r="AE43" s="78"/>
      <c r="AF43" s="78"/>
      <c r="AG43" s="77"/>
      <c r="AH43" s="77"/>
      <c r="AI43" s="78"/>
      <c r="AJ43" s="78"/>
      <c r="AK43" s="77"/>
      <c r="AL43" s="77"/>
      <c r="AM43" s="78"/>
      <c r="AN43" s="78"/>
      <c r="AO43" s="77"/>
      <c r="AP43" s="77"/>
      <c r="AQ43" s="51" t="e">
        <f t="shared" si="47"/>
        <v>#DIV/0!</v>
      </c>
      <c r="AR43" s="51" t="e">
        <f t="shared" si="48"/>
        <v>#DIV/0!</v>
      </c>
      <c r="AS43" s="51">
        <v>908</v>
      </c>
      <c r="AT43" s="51">
        <v>615</v>
      </c>
      <c r="AU43" s="52">
        <v>12</v>
      </c>
      <c r="AV43" s="52" t="s">
        <v>59</v>
      </c>
      <c r="AW43" s="53">
        <f t="shared" si="49"/>
        <v>32.268722466960355</v>
      </c>
      <c r="AX43" s="53">
        <f t="shared" si="50"/>
        <v>98.678414096916299</v>
      </c>
      <c r="AY43" s="52" t="s">
        <v>59</v>
      </c>
      <c r="AZ43" s="51" t="s">
        <v>86</v>
      </c>
    </row>
    <row r="44" spans="2:52" ht="43.2" customHeight="1" x14ac:dyDescent="0.3">
      <c r="B44" s="52" t="s">
        <v>149</v>
      </c>
      <c r="C44" s="51" t="s">
        <v>59</v>
      </c>
      <c r="D44" s="52" t="s">
        <v>68</v>
      </c>
      <c r="E44" s="52" t="s">
        <v>80</v>
      </c>
      <c r="F44" s="51">
        <v>106</v>
      </c>
      <c r="G44" s="52">
        <v>104</v>
      </c>
      <c r="H44" s="52" t="s">
        <v>150</v>
      </c>
      <c r="I44" s="52" t="s">
        <v>151</v>
      </c>
      <c r="J44" s="51">
        <v>1763.94</v>
      </c>
      <c r="K44" s="51">
        <f>0.00095908*1000</f>
        <v>0.95907999999999993</v>
      </c>
      <c r="L44" s="52">
        <v>0</v>
      </c>
      <c r="M44" s="52" t="s">
        <v>139</v>
      </c>
      <c r="N44" s="51" t="s">
        <v>140</v>
      </c>
      <c r="O44" s="51">
        <v>173.42</v>
      </c>
      <c r="P44" s="52">
        <v>1.0360000000000005</v>
      </c>
      <c r="Q44" s="52">
        <v>7.8000000000000042E-2</v>
      </c>
      <c r="R44" s="51">
        <v>5.3859999999999983</v>
      </c>
      <c r="S44" s="51">
        <v>0</v>
      </c>
      <c r="T44" s="52">
        <v>49.99</v>
      </c>
      <c r="U44" s="52">
        <v>6.49</v>
      </c>
      <c r="V44" s="51" t="str">
        <f t="shared" si="44"/>
        <v>ok</v>
      </c>
      <c r="W44" s="51">
        <f t="shared" si="51"/>
        <v>1.1140000000000005</v>
      </c>
      <c r="X44" s="53">
        <f t="shared" si="52"/>
        <v>0.17164869029275817</v>
      </c>
      <c r="Y44" s="61">
        <f t="shared" si="53"/>
        <v>5.3859999999999983</v>
      </c>
      <c r="Z44" s="61">
        <f t="shared" si="54"/>
        <v>0.82989214175654824</v>
      </c>
      <c r="AA44" s="51"/>
      <c r="AB44" s="51"/>
      <c r="AC44" s="52"/>
      <c r="AD44" s="52"/>
      <c r="AE44" s="51"/>
      <c r="AF44" s="51"/>
      <c r="AG44" s="52"/>
      <c r="AH44" s="52"/>
      <c r="AI44" s="51"/>
      <c r="AJ44" s="51"/>
      <c r="AK44" s="52"/>
      <c r="AL44" s="52"/>
      <c r="AM44" s="51"/>
      <c r="AN44" s="51">
        <v>0.56899999999999995</v>
      </c>
      <c r="AO44" s="52">
        <v>1.1140000000000001</v>
      </c>
      <c r="AP44" s="52" t="s">
        <v>59</v>
      </c>
      <c r="AQ44" s="51">
        <f t="shared" si="47"/>
        <v>51.077199281867117</v>
      </c>
      <c r="AR44" s="51">
        <f t="shared" si="48"/>
        <v>99.999999999999957</v>
      </c>
      <c r="AS44" s="51">
        <v>29</v>
      </c>
      <c r="AT44" s="51">
        <v>29</v>
      </c>
      <c r="AU44" s="51">
        <v>29</v>
      </c>
      <c r="AV44" s="52" t="s">
        <v>59</v>
      </c>
      <c r="AW44" s="53">
        <f t="shared" si="49"/>
        <v>0</v>
      </c>
      <c r="AX44" s="53">
        <f>((AS44-AU44)/AS44)*100</f>
        <v>0</v>
      </c>
      <c r="AY44" s="52" t="s">
        <v>59</v>
      </c>
      <c r="AZ44" s="51" t="s">
        <v>86</v>
      </c>
    </row>
    <row r="45" spans="2:52" ht="43.2" customHeight="1" x14ac:dyDescent="0.3">
      <c r="B45" s="76" t="s">
        <v>152</v>
      </c>
      <c r="C45" s="78"/>
      <c r="D45" s="77"/>
      <c r="E45" s="77"/>
      <c r="F45" s="78"/>
      <c r="G45" s="77"/>
      <c r="H45" s="77"/>
      <c r="I45" s="77"/>
      <c r="J45" s="78"/>
      <c r="K45" s="78"/>
      <c r="L45" s="77"/>
      <c r="M45" s="78"/>
      <c r="N45" s="77"/>
      <c r="O45" s="77"/>
      <c r="P45" s="77"/>
      <c r="Q45" s="77"/>
      <c r="R45" s="78"/>
      <c r="S45" s="78"/>
      <c r="T45" s="77"/>
      <c r="U45" s="77"/>
      <c r="V45" s="51" t="str">
        <f t="shared" si="44"/>
        <v>ok</v>
      </c>
      <c r="W45" s="78"/>
      <c r="X45" s="79"/>
      <c r="Y45" s="80"/>
      <c r="Z45" s="80"/>
      <c r="AA45" s="78"/>
      <c r="AB45" s="78"/>
      <c r="AC45" s="77"/>
      <c r="AD45" s="77"/>
      <c r="AE45" s="78"/>
      <c r="AF45" s="78"/>
      <c r="AG45" s="77"/>
      <c r="AH45" s="77"/>
      <c r="AI45" s="78"/>
      <c r="AJ45" s="78"/>
      <c r="AK45" s="77"/>
      <c r="AL45" s="77"/>
      <c r="AM45" s="78"/>
      <c r="AN45" s="78"/>
      <c r="AO45" s="77"/>
      <c r="AP45" s="77"/>
      <c r="AQ45" s="51" t="e">
        <f t="shared" si="47"/>
        <v>#DIV/0!</v>
      </c>
      <c r="AR45" s="51" t="e">
        <f t="shared" si="48"/>
        <v>#DIV/0!</v>
      </c>
      <c r="AS45" s="51">
        <v>27</v>
      </c>
      <c r="AT45" s="51">
        <v>29</v>
      </c>
      <c r="AU45" s="52">
        <v>27</v>
      </c>
      <c r="AV45" s="52" t="s">
        <v>59</v>
      </c>
      <c r="AW45" s="53">
        <f t="shared" si="49"/>
        <v>-7.4074074074074066</v>
      </c>
      <c r="AX45" s="53">
        <f t="shared" si="50"/>
        <v>0</v>
      </c>
      <c r="AY45" s="52" t="s">
        <v>59</v>
      </c>
      <c r="AZ45" s="51" t="s">
        <v>86</v>
      </c>
    </row>
    <row r="46" spans="2:52" ht="43.2" customHeight="1" x14ac:dyDescent="0.3">
      <c r="B46" s="52" t="s">
        <v>153</v>
      </c>
      <c r="C46" s="51" t="s">
        <v>59</v>
      </c>
      <c r="D46" s="52" t="s">
        <v>68</v>
      </c>
      <c r="E46" s="52" t="s">
        <v>80</v>
      </c>
      <c r="F46" s="51">
        <v>2138</v>
      </c>
      <c r="G46" s="51">
        <v>2139</v>
      </c>
      <c r="H46" s="52" t="s">
        <v>154</v>
      </c>
      <c r="I46" s="52" t="s">
        <v>155</v>
      </c>
      <c r="J46" s="51">
        <v>26717.34</v>
      </c>
      <c r="K46" s="51">
        <f>0.06536757*1000</f>
        <v>65.367570000000001</v>
      </c>
      <c r="L46" s="52">
        <v>4</v>
      </c>
      <c r="M46" s="51" t="s">
        <v>117</v>
      </c>
      <c r="N46" s="52" t="s">
        <v>140</v>
      </c>
      <c r="O46" s="51">
        <v>873.93</v>
      </c>
      <c r="P46" s="52">
        <v>27.452000000000005</v>
      </c>
      <c r="Q46" s="52">
        <v>3.9509999999999477</v>
      </c>
      <c r="R46" s="51">
        <v>30.410000000000021</v>
      </c>
      <c r="S46" s="51">
        <v>0</v>
      </c>
      <c r="T46" s="52">
        <v>541.17999999999995</v>
      </c>
      <c r="U46" s="52">
        <v>61.73</v>
      </c>
      <c r="V46" s="51" t="str">
        <f t="shared" si="44"/>
        <v>ok</v>
      </c>
      <c r="W46" s="51">
        <f t="shared" si="51"/>
        <v>31.402999999999953</v>
      </c>
      <c r="X46" s="53">
        <f t="shared" si="52"/>
        <v>0.50871537340029083</v>
      </c>
      <c r="Y46" s="61">
        <f t="shared" si="53"/>
        <v>30.410000000000021</v>
      </c>
      <c r="Z46" s="61">
        <f t="shared" si="54"/>
        <v>0.49262919164101771</v>
      </c>
      <c r="AA46" s="51"/>
      <c r="AB46" s="51"/>
      <c r="AC46" s="52"/>
      <c r="AD46" s="52"/>
      <c r="AE46" s="51"/>
      <c r="AF46" s="51"/>
      <c r="AG46" s="52"/>
      <c r="AH46" s="52"/>
      <c r="AI46" s="51"/>
      <c r="AJ46" s="51"/>
      <c r="AK46" s="52"/>
      <c r="AL46" s="52"/>
      <c r="AM46" s="51"/>
      <c r="AN46" s="51">
        <v>15.776</v>
      </c>
      <c r="AO46" s="52">
        <v>31.402999999999999</v>
      </c>
      <c r="AP46" s="52" t="s">
        <v>59</v>
      </c>
      <c r="AQ46" s="51">
        <f t="shared" si="47"/>
        <v>50.237238480400038</v>
      </c>
      <c r="AR46" s="51">
        <f t="shared" si="48"/>
        <v>100.00000000000016</v>
      </c>
      <c r="AS46" s="51">
        <v>0</v>
      </c>
      <c r="AT46" s="51">
        <v>0</v>
      </c>
      <c r="AU46" s="51">
        <v>0</v>
      </c>
      <c r="AV46" s="52" t="s">
        <v>59</v>
      </c>
      <c r="AW46" s="52" t="s">
        <v>59</v>
      </c>
      <c r="AX46" s="52" t="s">
        <v>59</v>
      </c>
      <c r="AY46" s="52" t="s">
        <v>59</v>
      </c>
      <c r="AZ46" s="51" t="s">
        <v>86</v>
      </c>
    </row>
    <row r="47" spans="2:52" ht="43.2" customHeight="1" x14ac:dyDescent="0.3">
      <c r="B47" s="76" t="s">
        <v>153</v>
      </c>
      <c r="C47" s="78"/>
      <c r="D47" s="77"/>
      <c r="E47" s="77"/>
      <c r="F47" s="78"/>
      <c r="G47" s="78"/>
      <c r="H47" s="77"/>
      <c r="I47" s="77"/>
      <c r="J47" s="78"/>
      <c r="K47" s="78"/>
      <c r="L47" s="77"/>
      <c r="M47" s="78"/>
      <c r="N47" s="77"/>
      <c r="O47" s="77"/>
      <c r="P47" s="77"/>
      <c r="Q47" s="77"/>
      <c r="R47" s="78"/>
      <c r="S47" s="78"/>
      <c r="T47" s="77"/>
      <c r="U47" s="77"/>
      <c r="V47" s="51" t="str">
        <f t="shared" si="44"/>
        <v>ok</v>
      </c>
      <c r="W47" s="78"/>
      <c r="X47" s="79"/>
      <c r="Y47" s="80"/>
      <c r="Z47" s="80"/>
      <c r="AA47" s="78"/>
      <c r="AB47" s="78"/>
      <c r="AC47" s="77"/>
      <c r="AD47" s="77"/>
      <c r="AE47" s="78"/>
      <c r="AF47" s="78"/>
      <c r="AG47" s="77"/>
      <c r="AH47" s="77"/>
      <c r="AI47" s="78"/>
      <c r="AJ47" s="78"/>
      <c r="AK47" s="77"/>
      <c r="AL47" s="77"/>
      <c r="AM47" s="78"/>
      <c r="AN47" s="78"/>
      <c r="AO47" s="77"/>
      <c r="AP47" s="77"/>
      <c r="AQ47" s="51" t="e">
        <f t="shared" si="47"/>
        <v>#DIV/0!</v>
      </c>
      <c r="AR47" s="51" t="e">
        <f t="shared" si="48"/>
        <v>#DIV/0!</v>
      </c>
      <c r="AS47" s="51">
        <v>0</v>
      </c>
      <c r="AT47" s="51">
        <v>0</v>
      </c>
      <c r="AU47" s="52">
        <v>0</v>
      </c>
      <c r="AV47" s="52" t="s">
        <v>59</v>
      </c>
      <c r="AW47" s="52" t="s">
        <v>59</v>
      </c>
      <c r="AX47" s="52" t="s">
        <v>59</v>
      </c>
      <c r="AY47" s="52" t="s">
        <v>59</v>
      </c>
      <c r="AZ47" s="51" t="s">
        <v>86</v>
      </c>
    </row>
    <row r="48" spans="2:52" ht="43.2" customHeight="1" x14ac:dyDescent="0.3">
      <c r="B48" s="52" t="s">
        <v>156</v>
      </c>
      <c r="C48" s="51" t="s">
        <v>59</v>
      </c>
      <c r="D48" s="52" t="s">
        <v>55</v>
      </c>
      <c r="E48" s="52" t="s">
        <v>157</v>
      </c>
      <c r="F48" s="51">
        <v>436</v>
      </c>
      <c r="G48" s="51">
        <v>428</v>
      </c>
      <c r="H48" s="52" t="s">
        <v>158</v>
      </c>
      <c r="I48" s="52" t="s">
        <v>159</v>
      </c>
      <c r="J48" s="51">
        <v>5322</v>
      </c>
      <c r="K48" s="51">
        <f>0.02137249*1000</f>
        <v>21.372490000000003</v>
      </c>
      <c r="L48" s="52">
        <v>7</v>
      </c>
      <c r="M48" s="52" t="s">
        <v>160</v>
      </c>
      <c r="N48" s="51" t="s">
        <v>85</v>
      </c>
      <c r="O48" s="51">
        <v>67.680000000000007</v>
      </c>
      <c r="P48" s="52">
        <v>0.87600000000000067</v>
      </c>
      <c r="Q48" s="52">
        <v>1.5189999999999988</v>
      </c>
      <c r="R48" s="51">
        <v>2.0289999999999995</v>
      </c>
      <c r="S48" s="51">
        <v>37.264999999999979</v>
      </c>
      <c r="T48" s="52">
        <v>184.61</v>
      </c>
      <c r="U48" s="52">
        <v>169.53</v>
      </c>
      <c r="V48" s="51" t="str">
        <f t="shared" si="44"/>
        <v>ok</v>
      </c>
      <c r="W48" s="51">
        <f t="shared" si="51"/>
        <v>2.3949999999999996</v>
      </c>
      <c r="X48" s="53">
        <f t="shared" si="52"/>
        <v>1.4127293104465284E-2</v>
      </c>
      <c r="Y48" s="61">
        <f t="shared" si="53"/>
        <v>39.293999999999976</v>
      </c>
      <c r="Z48" s="61">
        <f t="shared" si="54"/>
        <v>0.2317819854892938</v>
      </c>
      <c r="AA48" s="51"/>
      <c r="AB48" s="51"/>
      <c r="AC48" s="52"/>
      <c r="AD48" s="52"/>
      <c r="AE48" s="51"/>
      <c r="AF48" s="51"/>
      <c r="AG48" s="52"/>
      <c r="AH48" s="52"/>
      <c r="AI48" s="51"/>
      <c r="AJ48" s="51"/>
      <c r="AK48" s="52"/>
      <c r="AL48" s="52"/>
      <c r="AM48" s="51"/>
      <c r="AN48" s="51">
        <v>1.1890000000000001</v>
      </c>
      <c r="AO48" s="52">
        <v>2.395</v>
      </c>
      <c r="AP48" s="52" t="s">
        <v>59</v>
      </c>
      <c r="AQ48" s="51">
        <f t="shared" si="47"/>
        <v>49.645093945720262</v>
      </c>
      <c r="AR48" s="51">
        <f t="shared" si="48"/>
        <v>100.00000000000003</v>
      </c>
      <c r="AS48" s="51">
        <v>211</v>
      </c>
      <c r="AT48" s="51">
        <v>104</v>
      </c>
      <c r="AU48" s="52">
        <v>34</v>
      </c>
      <c r="AV48" s="52" t="s">
        <v>59</v>
      </c>
      <c r="AW48" s="53">
        <f t="shared" si="49"/>
        <v>50.710900473933648</v>
      </c>
      <c r="AX48" s="53">
        <f t="shared" si="50"/>
        <v>83.886255924170612</v>
      </c>
      <c r="AY48" s="52" t="s">
        <v>59</v>
      </c>
      <c r="AZ48" s="51" t="s">
        <v>86</v>
      </c>
    </row>
    <row r="49" spans="2:52" ht="43.2" customHeight="1" x14ac:dyDescent="0.3">
      <c r="B49" s="76" t="s">
        <v>161</v>
      </c>
      <c r="C49" s="78"/>
      <c r="D49" s="77"/>
      <c r="E49" s="77"/>
      <c r="F49" s="78"/>
      <c r="G49" s="78"/>
      <c r="H49" s="77"/>
      <c r="I49" s="77"/>
      <c r="J49" s="78"/>
      <c r="K49" s="78"/>
      <c r="L49" s="77"/>
      <c r="M49" s="77"/>
      <c r="N49" s="78"/>
      <c r="O49" s="78"/>
      <c r="P49" s="77"/>
      <c r="Q49" s="77"/>
      <c r="R49" s="78"/>
      <c r="S49" s="78"/>
      <c r="T49" s="77"/>
      <c r="U49" s="77"/>
      <c r="V49" s="51" t="str">
        <f t="shared" si="44"/>
        <v>ok</v>
      </c>
      <c r="W49" s="78"/>
      <c r="X49" s="79"/>
      <c r="Y49" s="80"/>
      <c r="Z49" s="80"/>
      <c r="AA49" s="78"/>
      <c r="AB49" s="78"/>
      <c r="AC49" s="77"/>
      <c r="AD49" s="77"/>
      <c r="AE49" s="78"/>
      <c r="AF49" s="78"/>
      <c r="AG49" s="77"/>
      <c r="AH49" s="77"/>
      <c r="AI49" s="78"/>
      <c r="AJ49" s="78"/>
      <c r="AK49" s="77"/>
      <c r="AL49" s="77"/>
      <c r="AM49" s="78"/>
      <c r="AN49" s="78"/>
      <c r="AO49" s="77"/>
      <c r="AP49" s="77"/>
      <c r="AQ49" s="51" t="e">
        <f t="shared" si="47"/>
        <v>#DIV/0!</v>
      </c>
      <c r="AR49" s="51" t="e">
        <f t="shared" si="48"/>
        <v>#DIV/0!</v>
      </c>
      <c r="AS49" s="51">
        <v>12</v>
      </c>
      <c r="AT49" s="51">
        <v>1</v>
      </c>
      <c r="AU49" s="52">
        <v>0</v>
      </c>
      <c r="AV49" s="52" t="s">
        <v>59</v>
      </c>
      <c r="AW49" s="53">
        <f t="shared" si="49"/>
        <v>91.666666666666657</v>
      </c>
      <c r="AX49" s="53">
        <f t="shared" si="50"/>
        <v>100</v>
      </c>
      <c r="AY49" s="52" t="s">
        <v>59</v>
      </c>
      <c r="AZ49" s="51" t="s">
        <v>86</v>
      </c>
    </row>
    <row r="50" spans="2:52" ht="54" x14ac:dyDescent="0.3">
      <c r="B50" s="52" t="s">
        <v>162</v>
      </c>
      <c r="C50" s="51" t="s">
        <v>59</v>
      </c>
      <c r="D50" s="52" t="s">
        <v>79</v>
      </c>
      <c r="E50" s="52" t="s">
        <v>157</v>
      </c>
      <c r="F50" s="52">
        <v>226</v>
      </c>
      <c r="G50" s="51">
        <v>219</v>
      </c>
      <c r="H50" s="52" t="s">
        <v>163</v>
      </c>
      <c r="I50" s="52" t="s">
        <v>164</v>
      </c>
      <c r="J50" s="52">
        <v>1210.32</v>
      </c>
      <c r="K50" s="51">
        <f>0.00510453*1000</f>
        <v>5.1045300000000005</v>
      </c>
      <c r="L50" s="51">
        <v>0</v>
      </c>
      <c r="M50" s="52" t="s">
        <v>92</v>
      </c>
      <c r="N50" s="52" t="s">
        <v>85</v>
      </c>
      <c r="O50" s="51">
        <v>60.16</v>
      </c>
      <c r="P50" s="51">
        <v>0.19900000000000001</v>
      </c>
      <c r="Q50" s="52">
        <v>0.39100000000000001</v>
      </c>
      <c r="R50" s="52">
        <v>10.003</v>
      </c>
      <c r="S50" s="51">
        <v>16.617999999999999</v>
      </c>
      <c r="T50" s="53">
        <v>62.15</v>
      </c>
      <c r="U50" s="61">
        <v>57.44</v>
      </c>
      <c r="V50" s="51" t="str">
        <f t="shared" si="44"/>
        <v>ok</v>
      </c>
      <c r="W50" s="51">
        <f>SUM(P50:Q50)</f>
        <v>0.59000000000000008</v>
      </c>
      <c r="X50" s="53">
        <f t="shared" si="52"/>
        <v>1.0271587743732592E-2</v>
      </c>
      <c r="Y50" s="61">
        <f>SUM(R50:S50)</f>
        <v>26.620999999999999</v>
      </c>
      <c r="Z50" s="61">
        <f t="shared" si="54"/>
        <v>0.46345752089136488</v>
      </c>
      <c r="AN50" s="51">
        <v>0.318</v>
      </c>
      <c r="AO50" s="52">
        <v>0.59</v>
      </c>
      <c r="AP50" s="52" t="s">
        <v>59</v>
      </c>
      <c r="AQ50" s="51">
        <f t="shared" si="47"/>
        <v>53.898305084745758</v>
      </c>
      <c r="AR50" s="51">
        <f t="shared" si="48"/>
        <v>99.999999999999972</v>
      </c>
      <c r="AS50" s="51">
        <v>281</v>
      </c>
      <c r="AT50" s="51">
        <v>252</v>
      </c>
      <c r="AU50" s="51">
        <v>231</v>
      </c>
      <c r="AV50" s="52" t="s">
        <v>59</v>
      </c>
      <c r="AW50" s="53">
        <f t="shared" ref="AW50:AW53" si="55">((AS50-AT50)/AS50)*100</f>
        <v>10.320284697508896</v>
      </c>
      <c r="AX50" s="53">
        <f t="shared" ref="AX50:AX53" si="56">((AS50-AU50)/AS50)*100</f>
        <v>17.793594306049823</v>
      </c>
      <c r="AY50" s="52" t="s">
        <v>59</v>
      </c>
      <c r="AZ50" s="51" t="s">
        <v>86</v>
      </c>
    </row>
    <row r="51" spans="2:52" ht="31.95" customHeight="1" x14ac:dyDescent="0.3">
      <c r="B51" s="76" t="s">
        <v>165</v>
      </c>
      <c r="C51" s="78"/>
      <c r="D51" s="77"/>
      <c r="E51" s="77"/>
      <c r="F51" s="78"/>
      <c r="G51" s="78"/>
      <c r="H51" s="77"/>
      <c r="I51" s="77"/>
      <c r="J51" s="78"/>
      <c r="K51" s="78"/>
      <c r="L51" s="77"/>
      <c r="M51" s="77"/>
      <c r="N51" s="78"/>
      <c r="O51" s="78"/>
      <c r="P51" s="77"/>
      <c r="Q51" s="77"/>
      <c r="R51" s="78"/>
      <c r="S51" s="78"/>
      <c r="T51" s="77"/>
      <c r="U51" s="77"/>
      <c r="V51" s="51" t="str">
        <f t="shared" si="44"/>
        <v>ok</v>
      </c>
      <c r="W51" s="77"/>
      <c r="X51" s="77"/>
      <c r="Y51" s="77"/>
      <c r="Z51" s="77"/>
      <c r="AN51" s="78"/>
      <c r="AO51" s="77"/>
      <c r="AP51" s="77"/>
      <c r="AQ51" s="51" t="e">
        <f t="shared" si="47"/>
        <v>#DIV/0!</v>
      </c>
      <c r="AR51" s="51" t="e">
        <f t="shared" si="48"/>
        <v>#DIV/0!</v>
      </c>
      <c r="AS51" s="51">
        <v>38</v>
      </c>
      <c r="AT51" s="51">
        <v>29</v>
      </c>
      <c r="AU51" s="51">
        <v>23</v>
      </c>
      <c r="AV51" s="52" t="s">
        <v>59</v>
      </c>
      <c r="AW51" s="53">
        <f t="shared" si="55"/>
        <v>23.684210526315788</v>
      </c>
      <c r="AX51" s="53">
        <f t="shared" si="56"/>
        <v>39.473684210526315</v>
      </c>
      <c r="AY51" s="52" t="s">
        <v>59</v>
      </c>
      <c r="AZ51" s="51" t="s">
        <v>86</v>
      </c>
    </row>
    <row r="52" spans="2:52" ht="43.2" x14ac:dyDescent="0.3">
      <c r="B52" s="52" t="s">
        <v>166</v>
      </c>
      <c r="C52" s="51" t="s">
        <v>59</v>
      </c>
      <c r="D52" s="52" t="s">
        <v>167</v>
      </c>
      <c r="E52" s="52" t="s">
        <v>80</v>
      </c>
      <c r="F52" s="52">
        <v>49</v>
      </c>
      <c r="G52" s="51">
        <v>41</v>
      </c>
      <c r="H52" s="51" t="s">
        <v>168</v>
      </c>
      <c r="I52" s="52" t="s">
        <v>169</v>
      </c>
      <c r="J52" s="52">
        <v>287.02999999999997</v>
      </c>
      <c r="K52" s="51">
        <f>0.00139813*1000</f>
        <v>1.3981300000000001</v>
      </c>
      <c r="L52" s="51">
        <v>0</v>
      </c>
      <c r="M52" s="52" t="s">
        <v>139</v>
      </c>
      <c r="N52" s="52" t="s">
        <v>85</v>
      </c>
      <c r="O52" s="51">
        <v>154.15</v>
      </c>
      <c r="P52" s="51">
        <v>0.04</v>
      </c>
      <c r="Q52" s="52">
        <v>8.8999999999999996E-2</v>
      </c>
      <c r="R52" s="52">
        <v>0</v>
      </c>
      <c r="S52" s="51">
        <v>11.298999999999999</v>
      </c>
      <c r="T52" s="53">
        <v>11.52</v>
      </c>
      <c r="U52" s="61">
        <v>1.07</v>
      </c>
      <c r="V52" s="51" t="str">
        <f t="shared" si="44"/>
        <v>ok</v>
      </c>
      <c r="W52" s="51">
        <f t="shared" si="51"/>
        <v>0.129</v>
      </c>
      <c r="X52" s="53">
        <f t="shared" ref="X52" si="57">W52/U52</f>
        <v>0.1205607476635514</v>
      </c>
      <c r="Y52" s="61">
        <f>SUM(R52:S52)</f>
        <v>11.298999999999999</v>
      </c>
      <c r="Z52" s="61">
        <f>Y52/U52</f>
        <v>10.559813084112148</v>
      </c>
      <c r="AN52" s="51">
        <v>6.5000000000000002E-2</v>
      </c>
      <c r="AO52" s="52">
        <v>0.129</v>
      </c>
      <c r="AP52" s="52" t="s">
        <v>59</v>
      </c>
      <c r="AQ52" s="51">
        <f t="shared" si="47"/>
        <v>50.387596899224803</v>
      </c>
      <c r="AR52" s="51">
        <f t="shared" si="48"/>
        <v>100</v>
      </c>
      <c r="AS52" s="51">
        <v>302</v>
      </c>
      <c r="AT52" s="51">
        <v>241</v>
      </c>
      <c r="AU52" s="51">
        <v>211</v>
      </c>
      <c r="AV52" s="52" t="s">
        <v>59</v>
      </c>
      <c r="AW52" s="53">
        <f t="shared" si="55"/>
        <v>20.198675496688743</v>
      </c>
      <c r="AX52" s="53">
        <f>((AS52-AU52)/AS52)*100</f>
        <v>30.132450331125828</v>
      </c>
      <c r="AY52" s="52" t="s">
        <v>59</v>
      </c>
      <c r="AZ52" s="51" t="s">
        <v>86</v>
      </c>
    </row>
    <row r="53" spans="2:52" ht="24" customHeight="1" x14ac:dyDescent="0.3">
      <c r="B53" s="76" t="s">
        <v>170</v>
      </c>
      <c r="C53" s="78"/>
      <c r="D53" s="77"/>
      <c r="E53" s="77"/>
      <c r="F53" s="78"/>
      <c r="G53" s="78"/>
      <c r="H53" s="77"/>
      <c r="I53" s="77"/>
      <c r="J53" s="78"/>
      <c r="K53" s="78"/>
      <c r="L53" s="77"/>
      <c r="M53" s="77"/>
      <c r="N53" s="78"/>
      <c r="O53" s="78"/>
      <c r="P53" s="77"/>
      <c r="Q53" s="77"/>
      <c r="R53" s="78"/>
      <c r="S53" s="78"/>
      <c r="T53" s="77"/>
      <c r="U53" s="77"/>
      <c r="V53" s="51" t="str">
        <f t="shared" si="44"/>
        <v>ok</v>
      </c>
      <c r="W53" s="77"/>
      <c r="X53" s="77"/>
      <c r="Y53" s="77"/>
      <c r="Z53" s="77"/>
      <c r="AN53" s="78"/>
      <c r="AO53" s="77"/>
      <c r="AP53" s="77"/>
      <c r="AQ53" s="51" t="e">
        <f t="shared" si="47"/>
        <v>#DIV/0!</v>
      </c>
      <c r="AR53" s="51" t="e">
        <f t="shared" si="48"/>
        <v>#DIV/0!</v>
      </c>
      <c r="AS53" s="51">
        <v>63</v>
      </c>
      <c r="AT53" s="51">
        <v>16</v>
      </c>
      <c r="AU53" s="51">
        <v>0</v>
      </c>
      <c r="AV53" s="52" t="s">
        <v>59</v>
      </c>
      <c r="AW53" s="53">
        <f t="shared" si="55"/>
        <v>74.603174603174608</v>
      </c>
      <c r="AX53" s="53">
        <f t="shared" si="56"/>
        <v>100</v>
      </c>
      <c r="AY53" s="52" t="s">
        <v>59</v>
      </c>
      <c r="AZ53" s="51" t="s">
        <v>86</v>
      </c>
    </row>
    <row r="54" spans="2:52" ht="51" customHeight="1" x14ac:dyDescent="0.3">
      <c r="B54" s="52" t="s">
        <v>171</v>
      </c>
      <c r="C54" s="51" t="s">
        <v>59</v>
      </c>
      <c r="D54" s="52" t="s">
        <v>79</v>
      </c>
      <c r="E54" s="52" t="s">
        <v>157</v>
      </c>
      <c r="F54" s="52">
        <v>510</v>
      </c>
      <c r="G54" s="51">
        <v>495</v>
      </c>
      <c r="H54" s="52" t="s">
        <v>172</v>
      </c>
      <c r="I54" s="52" t="s">
        <v>173</v>
      </c>
      <c r="J54" s="52">
        <v>5045.7299999999996</v>
      </c>
      <c r="K54" s="1">
        <f>0.02029*1000</f>
        <v>20.29</v>
      </c>
      <c r="L54" s="51">
        <v>12</v>
      </c>
      <c r="M54" s="52" t="s">
        <v>113</v>
      </c>
      <c r="N54" s="52" t="s">
        <v>85</v>
      </c>
      <c r="O54" s="51">
        <v>501.33</v>
      </c>
      <c r="P54" s="51">
        <v>0.107</v>
      </c>
      <c r="Q54" s="52">
        <v>2.8339999999999925</v>
      </c>
      <c r="R54" s="52">
        <v>26.217000000000006</v>
      </c>
      <c r="S54" s="51">
        <v>81.526000000000025</v>
      </c>
      <c r="T54" s="53">
        <v>173.58</v>
      </c>
      <c r="U54" s="61">
        <v>110.68</v>
      </c>
      <c r="V54" s="51" t="str">
        <f t="shared" si="44"/>
        <v>ok</v>
      </c>
      <c r="W54" s="51">
        <f t="shared" si="51"/>
        <v>2.9409999999999927</v>
      </c>
      <c r="X54" s="53">
        <f t="shared" ref="X54:X64" si="58">W54/U54</f>
        <v>2.6572099747018366E-2</v>
      </c>
      <c r="Y54" s="61">
        <f t="shared" ref="Y54:Y66" si="59">SUM(R54:S54)</f>
        <v>107.74300000000002</v>
      </c>
      <c r="Z54" s="61">
        <f t="shared" ref="Z54:Z66" si="60">Y54/U54</f>
        <v>0.97346404047705115</v>
      </c>
      <c r="AN54" s="51">
        <v>1.294</v>
      </c>
      <c r="AO54" s="52">
        <v>2.9409999999999998</v>
      </c>
      <c r="AP54" s="52" t="s">
        <v>59</v>
      </c>
      <c r="AQ54" s="51">
        <f t="shared" si="47"/>
        <v>43.998639918395213</v>
      </c>
      <c r="AR54" s="51">
        <f t="shared" si="48"/>
        <v>100.00000000000024</v>
      </c>
      <c r="AS54" s="51">
        <v>631</v>
      </c>
      <c r="AT54" s="51">
        <v>602</v>
      </c>
      <c r="AU54" s="51">
        <v>583</v>
      </c>
      <c r="AV54" s="52" t="s">
        <v>59</v>
      </c>
      <c r="AW54" s="53">
        <f t="shared" ref="AW54:AW60" si="61">((AS54-AT54)/AS54)*100</f>
        <v>4.5958795562599049</v>
      </c>
      <c r="AX54" s="53">
        <f t="shared" ref="AX54:AX61" si="62">((AS54-AU54)/AS54)*100</f>
        <v>7.6069730586370845</v>
      </c>
      <c r="AY54" s="52" t="s">
        <v>59</v>
      </c>
      <c r="AZ54" s="51" t="s">
        <v>86</v>
      </c>
    </row>
    <row r="55" spans="2:52" ht="25.2" customHeight="1" x14ac:dyDescent="0.3">
      <c r="B55" s="76" t="s">
        <v>174</v>
      </c>
      <c r="C55" s="78"/>
      <c r="D55" s="77"/>
      <c r="E55" s="77"/>
      <c r="F55" s="78"/>
      <c r="G55" s="78"/>
      <c r="H55" s="77"/>
      <c r="I55" s="77"/>
      <c r="J55" s="78"/>
      <c r="K55" s="78"/>
      <c r="L55" s="77"/>
      <c r="M55" s="77"/>
      <c r="N55" s="78"/>
      <c r="O55" s="78"/>
      <c r="P55" s="77"/>
      <c r="Q55" s="77"/>
      <c r="R55" s="78"/>
      <c r="S55" s="78"/>
      <c r="T55" s="77"/>
      <c r="U55" s="77"/>
      <c r="V55" s="51" t="str">
        <f t="shared" si="44"/>
        <v>ok</v>
      </c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8"/>
      <c r="AO55" s="77"/>
      <c r="AP55" s="77"/>
      <c r="AQ55" s="51" t="e">
        <f t="shared" si="47"/>
        <v>#DIV/0!</v>
      </c>
      <c r="AR55" s="51" t="e">
        <f t="shared" si="48"/>
        <v>#DIV/0!</v>
      </c>
      <c r="AS55" s="51">
        <v>38</v>
      </c>
      <c r="AT55" s="51">
        <v>25</v>
      </c>
      <c r="AU55" s="51">
        <v>14</v>
      </c>
      <c r="AV55" s="52" t="s">
        <v>59</v>
      </c>
      <c r="AW55" s="53">
        <f t="shared" si="61"/>
        <v>34.210526315789473</v>
      </c>
      <c r="AX55" s="53">
        <f t="shared" si="62"/>
        <v>63.157894736842103</v>
      </c>
      <c r="AY55" s="52" t="s">
        <v>59</v>
      </c>
      <c r="AZ55" s="51" t="s">
        <v>86</v>
      </c>
    </row>
    <row r="56" spans="2:52" ht="39" customHeight="1" x14ac:dyDescent="0.3">
      <c r="B56" s="52" t="s">
        <v>175</v>
      </c>
      <c r="C56" s="51" t="s">
        <v>59</v>
      </c>
      <c r="D56" s="52" t="s">
        <v>55</v>
      </c>
      <c r="E56" s="52" t="s">
        <v>80</v>
      </c>
      <c r="F56" s="52">
        <v>64</v>
      </c>
      <c r="G56" s="51">
        <v>53</v>
      </c>
      <c r="H56" s="52" t="s">
        <v>176</v>
      </c>
      <c r="I56" s="52" t="s">
        <v>177</v>
      </c>
      <c r="J56" s="52">
        <v>219.11</v>
      </c>
      <c r="K56" s="51">
        <f>0.00257757*1000</f>
        <v>2.5775700000000001</v>
      </c>
      <c r="L56" s="51">
        <v>2</v>
      </c>
      <c r="M56" s="52" t="s">
        <v>147</v>
      </c>
      <c r="N56" s="52" t="s">
        <v>85</v>
      </c>
      <c r="O56" s="51">
        <v>20.16</v>
      </c>
      <c r="P56" s="51">
        <v>0</v>
      </c>
      <c r="Q56" s="52">
        <v>0.26900000000000007</v>
      </c>
      <c r="R56" s="52">
        <v>9.6709999999999994</v>
      </c>
      <c r="S56" s="51">
        <v>0</v>
      </c>
      <c r="T56" s="53">
        <v>12.85</v>
      </c>
      <c r="U56" s="61">
        <v>9.94</v>
      </c>
      <c r="V56" s="51" t="str">
        <f t="shared" si="44"/>
        <v>ok</v>
      </c>
      <c r="W56" s="51">
        <f t="shared" si="51"/>
        <v>0.26900000000000007</v>
      </c>
      <c r="X56" s="53">
        <f t="shared" si="58"/>
        <v>2.7062374245472847E-2</v>
      </c>
      <c r="Y56" s="61">
        <f t="shared" si="59"/>
        <v>9.6709999999999994</v>
      </c>
      <c r="Z56" s="61">
        <f t="shared" si="60"/>
        <v>0.97293762575452714</v>
      </c>
      <c r="AN56" s="51">
        <v>0.13300000000000001</v>
      </c>
      <c r="AO56" s="52">
        <v>0.26900000000000002</v>
      </c>
      <c r="AP56" s="52" t="s">
        <v>59</v>
      </c>
      <c r="AQ56" s="51">
        <f t="shared" si="47"/>
        <v>49.442379182156124</v>
      </c>
      <c r="AR56" s="51">
        <f t="shared" si="48"/>
        <v>99.999999999999972</v>
      </c>
      <c r="AS56" s="51">
        <v>215</v>
      </c>
      <c r="AT56" s="51">
        <v>183</v>
      </c>
      <c r="AU56" s="51">
        <v>157</v>
      </c>
      <c r="AV56" s="52" t="s">
        <v>59</v>
      </c>
      <c r="AW56" s="53">
        <f t="shared" si="61"/>
        <v>14.883720930232558</v>
      </c>
      <c r="AX56" s="53">
        <f>((AS56-AU56)/AS56)*100</f>
        <v>26.976744186046513</v>
      </c>
      <c r="AY56" s="52" t="s">
        <v>59</v>
      </c>
      <c r="AZ56" s="51" t="s">
        <v>86</v>
      </c>
    </row>
    <row r="57" spans="2:52" ht="25.2" customHeight="1" x14ac:dyDescent="0.3">
      <c r="B57" s="76" t="s">
        <v>178</v>
      </c>
      <c r="C57" s="78"/>
      <c r="D57" s="77"/>
      <c r="E57" s="77"/>
      <c r="F57" s="78"/>
      <c r="G57" s="78"/>
      <c r="H57" s="77"/>
      <c r="I57" s="77"/>
      <c r="J57" s="78"/>
      <c r="K57" s="78"/>
      <c r="L57" s="77"/>
      <c r="M57" s="77"/>
      <c r="N57" s="78"/>
      <c r="O57" s="78"/>
      <c r="P57" s="77"/>
      <c r="Q57" s="77"/>
      <c r="R57" s="78"/>
      <c r="S57" s="78"/>
      <c r="T57" s="77"/>
      <c r="U57" s="77"/>
      <c r="V57" s="51" t="str">
        <f t="shared" si="44"/>
        <v>ok</v>
      </c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51" t="e">
        <f t="shared" si="47"/>
        <v>#DIV/0!</v>
      </c>
      <c r="AR57" s="51" t="e">
        <f t="shared" si="48"/>
        <v>#DIV/0!</v>
      </c>
      <c r="AS57" s="51">
        <v>115</v>
      </c>
      <c r="AT57" s="51">
        <v>86</v>
      </c>
      <c r="AU57" s="51">
        <v>71</v>
      </c>
      <c r="AV57" s="52" t="s">
        <v>59</v>
      </c>
      <c r="AW57" s="53">
        <f t="shared" si="61"/>
        <v>25.217391304347824</v>
      </c>
      <c r="AX57" s="53">
        <f t="shared" si="62"/>
        <v>38.260869565217391</v>
      </c>
      <c r="AY57" s="52" t="s">
        <v>59</v>
      </c>
      <c r="AZ57" s="51" t="s">
        <v>86</v>
      </c>
    </row>
    <row r="58" spans="2:52" ht="32.4" x14ac:dyDescent="0.3">
      <c r="B58" s="52" t="s">
        <v>179</v>
      </c>
      <c r="C58" s="51" t="s">
        <v>59</v>
      </c>
      <c r="D58" s="52" t="s">
        <v>180</v>
      </c>
      <c r="E58" s="52" t="s">
        <v>80</v>
      </c>
      <c r="F58" s="52">
        <v>23</v>
      </c>
      <c r="G58" s="51">
        <v>20</v>
      </c>
      <c r="H58" s="52" t="s">
        <v>181</v>
      </c>
      <c r="I58" s="52" t="s">
        <v>182</v>
      </c>
      <c r="J58" s="52">
        <v>112.4</v>
      </c>
      <c r="K58" s="51">
        <v>1.3</v>
      </c>
      <c r="L58" s="51">
        <v>1</v>
      </c>
      <c r="M58" s="52" t="s">
        <v>183</v>
      </c>
      <c r="N58" s="52" t="s">
        <v>184</v>
      </c>
      <c r="O58" s="51">
        <v>19.14</v>
      </c>
      <c r="P58" s="51">
        <v>0.03</v>
      </c>
      <c r="Q58" s="52">
        <v>0.12</v>
      </c>
      <c r="R58" s="52">
        <v>0.442</v>
      </c>
      <c r="S58" s="52">
        <v>6.633</v>
      </c>
      <c r="T58" s="52">
        <v>6.7</v>
      </c>
      <c r="U58" s="52">
        <v>6.56</v>
      </c>
      <c r="V58" s="51" t="str">
        <f t="shared" si="44"/>
        <v>ok</v>
      </c>
      <c r="W58" s="51">
        <f t="shared" si="51"/>
        <v>0.15</v>
      </c>
      <c r="X58" s="81">
        <f>W58/U58</f>
        <v>2.2865853658536585E-2</v>
      </c>
      <c r="Y58" s="61">
        <f>SUM(R58:S58)</f>
        <v>7.0750000000000002</v>
      </c>
      <c r="Z58" s="61">
        <f>Y58/U58</f>
        <v>1.0785060975609757</v>
      </c>
      <c r="AN58" s="51">
        <v>1.4999999999999998E-2</v>
      </c>
      <c r="AO58" s="52">
        <v>6.031551000000003E-2</v>
      </c>
      <c r="AP58" s="52" t="s">
        <v>59</v>
      </c>
      <c r="AQ58" s="51">
        <f t="shared" si="47"/>
        <v>10</v>
      </c>
      <c r="AR58" s="51">
        <f t="shared" si="48"/>
        <v>40.210340000000024</v>
      </c>
      <c r="AS58" s="51">
        <v>204</v>
      </c>
      <c r="AT58" s="51">
        <v>194</v>
      </c>
      <c r="AU58" s="51">
        <v>191</v>
      </c>
      <c r="AV58" s="52" t="s">
        <v>59</v>
      </c>
      <c r="AW58" s="53">
        <f t="shared" si="61"/>
        <v>4.9019607843137258</v>
      </c>
      <c r="AX58" s="53">
        <f>((AS58-AU58)/AS58)*100</f>
        <v>6.3725490196078427</v>
      </c>
      <c r="AY58" s="52" t="s">
        <v>59</v>
      </c>
      <c r="AZ58" s="51" t="s">
        <v>86</v>
      </c>
    </row>
    <row r="59" spans="2:52" ht="10.8" x14ac:dyDescent="0.3">
      <c r="B59" s="76" t="s">
        <v>185</v>
      </c>
      <c r="C59" s="78"/>
      <c r="D59" s="77"/>
      <c r="E59" s="77"/>
      <c r="F59" s="78"/>
      <c r="G59" s="78"/>
      <c r="H59" s="77"/>
      <c r="I59" s="77"/>
      <c r="J59" s="78"/>
      <c r="K59" s="78"/>
      <c r="L59" s="77"/>
      <c r="M59" s="77"/>
      <c r="N59" s="78"/>
      <c r="O59" s="78"/>
      <c r="P59" s="77"/>
      <c r="Q59" s="77"/>
      <c r="R59" s="78"/>
      <c r="S59" s="78"/>
      <c r="T59" s="78"/>
      <c r="U59" s="77"/>
      <c r="V59" s="51" t="str">
        <f t="shared" si="44"/>
        <v>ok</v>
      </c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8"/>
      <c r="AO59" s="77"/>
      <c r="AP59" s="77"/>
      <c r="AQ59" s="51" t="e">
        <f t="shared" si="47"/>
        <v>#DIV/0!</v>
      </c>
      <c r="AR59" s="51" t="e">
        <f t="shared" si="48"/>
        <v>#DIV/0!</v>
      </c>
      <c r="AS59" s="51">
        <v>2</v>
      </c>
      <c r="AT59" s="51">
        <v>0</v>
      </c>
      <c r="AU59" s="51">
        <v>0</v>
      </c>
      <c r="AV59" s="52" t="s">
        <v>59</v>
      </c>
      <c r="AW59" s="53">
        <f>((AS59-AT59)/AS59)*100</f>
        <v>100</v>
      </c>
      <c r="AX59" s="53">
        <f t="shared" si="62"/>
        <v>100</v>
      </c>
      <c r="AY59" s="52" t="s">
        <v>59</v>
      </c>
      <c r="AZ59" s="51" t="s">
        <v>86</v>
      </c>
    </row>
    <row r="60" spans="2:52" ht="32.4" x14ac:dyDescent="0.3">
      <c r="B60" s="52" t="s">
        <v>186</v>
      </c>
      <c r="C60" s="51" t="s">
        <v>59</v>
      </c>
      <c r="D60" s="52" t="s">
        <v>180</v>
      </c>
      <c r="E60" s="52" t="s">
        <v>80</v>
      </c>
      <c r="F60" s="52">
        <v>208</v>
      </c>
      <c r="G60" s="51">
        <v>199</v>
      </c>
      <c r="H60" s="52" t="s">
        <v>187</v>
      </c>
      <c r="I60" s="52" t="s">
        <v>188</v>
      </c>
      <c r="J60" s="52">
        <v>981.7</v>
      </c>
      <c r="K60" s="51">
        <v>9</v>
      </c>
      <c r="L60" s="51">
        <v>1</v>
      </c>
      <c r="M60" s="52" t="s">
        <v>104</v>
      </c>
      <c r="N60" s="52" t="s">
        <v>189</v>
      </c>
      <c r="O60" s="55"/>
      <c r="P60" s="51">
        <v>0.39900000000000002</v>
      </c>
      <c r="Q60" s="53">
        <v>0.308</v>
      </c>
      <c r="R60" s="52">
        <v>2.3650000000000002</v>
      </c>
      <c r="S60" s="51">
        <v>44.191000000000003</v>
      </c>
      <c r="T60" s="53">
        <v>47.262999999999998</v>
      </c>
      <c r="U60" s="53">
        <v>47.262999999999998</v>
      </c>
      <c r="V60" s="51" t="str">
        <f t="shared" si="44"/>
        <v>ok</v>
      </c>
      <c r="W60" s="51">
        <f t="shared" si="51"/>
        <v>0.70700000000000007</v>
      </c>
      <c r="X60" s="81">
        <f t="shared" ref="X60" si="63">W60/U60</f>
        <v>1.4958847301271609E-2</v>
      </c>
      <c r="Y60" s="61">
        <f t="shared" si="59"/>
        <v>46.556000000000004</v>
      </c>
      <c r="Z60" s="61">
        <f t="shared" si="60"/>
        <v>0.98504115269872849</v>
      </c>
      <c r="AN60" s="51">
        <v>0.34899999999999998</v>
      </c>
      <c r="AO60" s="52">
        <v>0.70699999999999996</v>
      </c>
      <c r="AP60" s="52" t="s">
        <v>59</v>
      </c>
      <c r="AQ60" s="51">
        <f t="shared" si="47"/>
        <v>49.363507779349355</v>
      </c>
      <c r="AR60" s="51">
        <f t="shared" si="48"/>
        <v>99.999999999999986</v>
      </c>
      <c r="AS60" s="51">
        <v>13</v>
      </c>
      <c r="AT60" s="51">
        <v>1</v>
      </c>
      <c r="AU60" s="51">
        <v>1</v>
      </c>
      <c r="AV60" s="52" t="s">
        <v>59</v>
      </c>
      <c r="AW60" s="53">
        <f t="shared" si="61"/>
        <v>92.307692307692307</v>
      </c>
      <c r="AX60" s="53">
        <f>((AS60-AU60)/AS60)*100</f>
        <v>92.307692307692307</v>
      </c>
      <c r="AY60" s="52" t="s">
        <v>59</v>
      </c>
      <c r="AZ60" s="51" t="s">
        <v>86</v>
      </c>
    </row>
    <row r="61" spans="2:52" ht="10.8" x14ac:dyDescent="0.3">
      <c r="B61" s="76" t="s">
        <v>190</v>
      </c>
      <c r="C61" s="78"/>
      <c r="D61" s="77"/>
      <c r="E61" s="77"/>
      <c r="F61" s="78"/>
      <c r="G61" s="78"/>
      <c r="H61" s="77"/>
      <c r="I61" s="77"/>
      <c r="J61" s="78"/>
      <c r="K61" s="78"/>
      <c r="L61" s="77"/>
      <c r="M61" s="77"/>
      <c r="N61" s="78"/>
      <c r="O61" s="78"/>
      <c r="P61" s="77"/>
      <c r="Q61" s="77"/>
      <c r="R61" s="78"/>
      <c r="S61" s="78"/>
      <c r="T61" s="77"/>
      <c r="U61" s="77"/>
      <c r="V61" s="51" t="str">
        <f t="shared" si="44"/>
        <v>ok</v>
      </c>
      <c r="W61" s="77"/>
      <c r="X61" s="77"/>
      <c r="Y61" s="77"/>
      <c r="Z61" s="77"/>
      <c r="AN61" s="78"/>
      <c r="AO61" s="77"/>
      <c r="AP61" s="77"/>
      <c r="AQ61" s="51" t="e">
        <f t="shared" si="47"/>
        <v>#DIV/0!</v>
      </c>
      <c r="AR61" s="51" t="e">
        <f t="shared" si="48"/>
        <v>#DIV/0!</v>
      </c>
      <c r="AS61" s="51">
        <v>1</v>
      </c>
      <c r="AT61" s="51">
        <v>0</v>
      </c>
      <c r="AU61" s="51">
        <v>0</v>
      </c>
      <c r="AV61" s="52" t="s">
        <v>59</v>
      </c>
      <c r="AW61" s="53">
        <f>((AS61-AT61)/AS61)*100</f>
        <v>100</v>
      </c>
      <c r="AX61" s="53">
        <f t="shared" si="62"/>
        <v>100</v>
      </c>
      <c r="AY61" s="52" t="s">
        <v>59</v>
      </c>
      <c r="AZ61" s="51" t="s">
        <v>86</v>
      </c>
    </row>
    <row r="62" spans="2:52" ht="32.4" x14ac:dyDescent="0.3">
      <c r="B62" s="52" t="s">
        <v>191</v>
      </c>
      <c r="C62" s="51" t="s">
        <v>59</v>
      </c>
      <c r="D62" s="52" t="s">
        <v>192</v>
      </c>
      <c r="E62" s="52" t="s">
        <v>80</v>
      </c>
      <c r="F62" s="52">
        <v>127</v>
      </c>
      <c r="G62" s="51">
        <v>123</v>
      </c>
      <c r="H62" s="52" t="s">
        <v>193</v>
      </c>
      <c r="I62" s="52" t="s">
        <v>194</v>
      </c>
      <c r="J62" s="52">
        <v>1407</v>
      </c>
      <c r="K62" s="51">
        <v>5.17</v>
      </c>
      <c r="L62" s="51">
        <v>2</v>
      </c>
      <c r="M62" s="52" t="s">
        <v>117</v>
      </c>
      <c r="N62" s="52" t="s">
        <v>189</v>
      </c>
      <c r="O62" s="51">
        <v>41</v>
      </c>
      <c r="P62" s="51">
        <v>0.17199999999999999</v>
      </c>
      <c r="Q62" s="52">
        <v>0.20200000000000001</v>
      </c>
      <c r="R62" s="52">
        <v>2.0169999999999999</v>
      </c>
      <c r="S62" s="51">
        <v>28.16</v>
      </c>
      <c r="T62" s="53">
        <v>28.763999999999999</v>
      </c>
      <c r="U62" s="61">
        <v>28.763999999999999</v>
      </c>
      <c r="V62" s="51" t="str">
        <f t="shared" si="44"/>
        <v>ok</v>
      </c>
      <c r="W62" s="51">
        <v>0.374</v>
      </c>
      <c r="X62" s="81">
        <v>1.3002364066193853E-2</v>
      </c>
      <c r="Y62" s="61">
        <v>30.177</v>
      </c>
      <c r="Z62" s="61">
        <v>1.0491239048811014</v>
      </c>
      <c r="AN62" s="51">
        <v>0.218</v>
      </c>
      <c r="AO62" s="52">
        <v>0.374</v>
      </c>
      <c r="AP62" s="52" t="s">
        <v>59</v>
      </c>
      <c r="AQ62" s="51">
        <f t="shared" si="47"/>
        <v>58.288770053475936</v>
      </c>
      <c r="AR62" s="51">
        <f t="shared" si="48"/>
        <v>100</v>
      </c>
      <c r="AS62" s="51">
        <v>82</v>
      </c>
      <c r="AT62" s="51">
        <v>72</v>
      </c>
      <c r="AU62" s="51">
        <v>70</v>
      </c>
      <c r="AV62" s="52" t="s">
        <v>59</v>
      </c>
      <c r="AW62" s="53">
        <f t="shared" ref="AW62:AW63" si="64">((AS62-AT62)/AS62)*100</f>
        <v>12.195121951219512</v>
      </c>
      <c r="AX62" s="53">
        <f>((AS62-AU62)/AS62)*100</f>
        <v>14.634146341463413</v>
      </c>
      <c r="AY62" s="52" t="s">
        <v>59</v>
      </c>
      <c r="AZ62" s="51" t="s">
        <v>86</v>
      </c>
    </row>
    <row r="63" spans="2:52" ht="10.8" x14ac:dyDescent="0.3">
      <c r="B63" s="76" t="s">
        <v>195</v>
      </c>
      <c r="C63" s="78"/>
      <c r="D63" s="77"/>
      <c r="E63" s="77"/>
      <c r="F63" s="78"/>
      <c r="G63" s="78"/>
      <c r="H63" s="77"/>
      <c r="I63" s="77"/>
      <c r="J63" s="78"/>
      <c r="K63" s="78"/>
      <c r="L63" s="77"/>
      <c r="M63" s="77"/>
      <c r="N63" s="78"/>
      <c r="O63" s="78"/>
      <c r="P63" s="77"/>
      <c r="Q63" s="77"/>
      <c r="R63" s="78"/>
      <c r="S63" s="78"/>
      <c r="T63" s="77"/>
      <c r="U63" s="77"/>
      <c r="V63" s="51" t="str">
        <f t="shared" si="44"/>
        <v>ok</v>
      </c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51" t="e">
        <f t="shared" si="47"/>
        <v>#DIV/0!</v>
      </c>
      <c r="AR63" s="51" t="e">
        <f t="shared" si="48"/>
        <v>#DIV/0!</v>
      </c>
      <c r="AS63" s="51">
        <v>10</v>
      </c>
      <c r="AT63" s="51">
        <v>1</v>
      </c>
      <c r="AU63" s="51">
        <v>0</v>
      </c>
      <c r="AV63" s="52" t="s">
        <v>59</v>
      </c>
      <c r="AW63" s="53">
        <f t="shared" si="64"/>
        <v>90</v>
      </c>
      <c r="AX63" s="53">
        <f t="shared" ref="AX63" si="65">((AS63-AU63)/AS63)*100</f>
        <v>100</v>
      </c>
      <c r="AY63" s="52" t="s">
        <v>59</v>
      </c>
      <c r="AZ63" s="51" t="s">
        <v>86</v>
      </c>
    </row>
    <row r="64" spans="2:52" ht="32.4" x14ac:dyDescent="0.3">
      <c r="B64" s="52" t="s">
        <v>196</v>
      </c>
      <c r="C64" s="51" t="s">
        <v>59</v>
      </c>
      <c r="D64" s="52" t="s">
        <v>55</v>
      </c>
      <c r="E64" s="52" t="s">
        <v>80</v>
      </c>
      <c r="F64" s="52">
        <v>37</v>
      </c>
      <c r="G64" s="51">
        <v>35</v>
      </c>
      <c r="H64" s="52" t="s">
        <v>197</v>
      </c>
      <c r="I64" s="52" t="s">
        <v>198</v>
      </c>
      <c r="J64" s="52">
        <v>169.91900000000001</v>
      </c>
      <c r="K64" s="51">
        <v>0.73</v>
      </c>
      <c r="L64" s="51">
        <v>2</v>
      </c>
      <c r="M64" s="52" t="s">
        <v>117</v>
      </c>
      <c r="N64" s="52" t="s">
        <v>184</v>
      </c>
      <c r="O64" s="51">
        <v>42.73</v>
      </c>
      <c r="P64" s="51">
        <v>0</v>
      </c>
      <c r="Q64" s="52">
        <v>7.4999999999999997E-2</v>
      </c>
      <c r="R64" s="52">
        <v>0</v>
      </c>
      <c r="S64" s="51">
        <v>10.784000000000001</v>
      </c>
      <c r="T64" s="53">
        <v>10.85</v>
      </c>
      <c r="U64" s="61">
        <v>10.85</v>
      </c>
      <c r="V64" s="51" t="str">
        <f t="shared" si="44"/>
        <v>ok</v>
      </c>
      <c r="W64" s="51">
        <f t="shared" si="51"/>
        <v>7.4999999999999997E-2</v>
      </c>
      <c r="X64" s="53">
        <f t="shared" si="58"/>
        <v>6.9124423963133636E-3</v>
      </c>
      <c r="Y64" s="61">
        <f t="shared" si="59"/>
        <v>10.784000000000001</v>
      </c>
      <c r="Z64" s="61">
        <f t="shared" si="60"/>
        <v>0.99391705069124436</v>
      </c>
      <c r="AN64" s="51">
        <v>3.9E-2</v>
      </c>
      <c r="AO64" s="52">
        <v>7.4999999999999997E-2</v>
      </c>
      <c r="AP64" s="52" t="s">
        <v>59</v>
      </c>
      <c r="AQ64" s="51">
        <f t="shared" si="47"/>
        <v>52</v>
      </c>
      <c r="AR64" s="51">
        <f t="shared" si="48"/>
        <v>100</v>
      </c>
      <c r="AS64" s="51">
        <v>466</v>
      </c>
      <c r="AT64" s="51">
        <v>459</v>
      </c>
      <c r="AU64" s="51">
        <v>451</v>
      </c>
      <c r="AV64" s="52" t="s">
        <v>59</v>
      </c>
      <c r="AW64" s="53">
        <f t="shared" ref="AW64" si="66">((AS64-AT64)/AS64)*100</f>
        <v>1.502145922746781</v>
      </c>
      <c r="AX64" s="53">
        <f>((AS64-AU64)/AS64)*100</f>
        <v>3.2188841201716736</v>
      </c>
      <c r="AY64" s="52" t="s">
        <v>59</v>
      </c>
      <c r="AZ64" s="51" t="s">
        <v>86</v>
      </c>
    </row>
    <row r="65" spans="2:52" ht="10.8" x14ac:dyDescent="0.3">
      <c r="B65" s="76" t="s">
        <v>199</v>
      </c>
      <c r="C65" s="78"/>
      <c r="D65" s="77"/>
      <c r="E65" s="77"/>
      <c r="F65" s="78"/>
      <c r="G65" s="78"/>
      <c r="H65" s="77"/>
      <c r="I65" s="77"/>
      <c r="J65" s="78"/>
      <c r="K65" s="78"/>
      <c r="L65" s="77"/>
      <c r="M65" s="77"/>
      <c r="N65" s="78"/>
      <c r="O65" s="78"/>
      <c r="P65" s="77"/>
      <c r="Q65" s="77"/>
      <c r="R65" s="78"/>
      <c r="S65" s="78"/>
      <c r="T65" s="77"/>
      <c r="U65" s="77"/>
      <c r="V65" s="51" t="str">
        <f t="shared" si="44"/>
        <v>ok</v>
      </c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51" t="e">
        <f t="shared" si="47"/>
        <v>#DIV/0!</v>
      </c>
      <c r="AR65" s="51" t="e">
        <f t="shared" si="48"/>
        <v>#DIV/0!</v>
      </c>
      <c r="AS65" s="51">
        <v>0</v>
      </c>
      <c r="AT65" s="51">
        <v>0</v>
      </c>
      <c r="AU65" s="51">
        <v>0</v>
      </c>
      <c r="AV65" s="52" t="s">
        <v>59</v>
      </c>
      <c r="AW65" s="52" t="s">
        <v>59</v>
      </c>
      <c r="AX65" s="52" t="s">
        <v>59</v>
      </c>
      <c r="AY65" s="52" t="s">
        <v>59</v>
      </c>
      <c r="AZ65" s="51" t="s">
        <v>86</v>
      </c>
    </row>
    <row r="66" spans="2:52" ht="43.2" x14ac:dyDescent="0.3">
      <c r="B66" s="52" t="s">
        <v>200</v>
      </c>
      <c r="C66" s="51" t="s">
        <v>59</v>
      </c>
      <c r="D66" s="52" t="s">
        <v>79</v>
      </c>
      <c r="E66" s="52" t="s">
        <v>201</v>
      </c>
      <c r="F66" s="52">
        <v>102</v>
      </c>
      <c r="G66" s="51">
        <v>98</v>
      </c>
      <c r="H66" s="52" t="s">
        <v>202</v>
      </c>
      <c r="I66" s="52" t="s">
        <v>203</v>
      </c>
      <c r="J66" s="52">
        <v>552</v>
      </c>
      <c r="K66" s="51">
        <v>5.18</v>
      </c>
      <c r="L66" s="51">
        <v>1</v>
      </c>
      <c r="M66" s="52" t="s">
        <v>92</v>
      </c>
      <c r="N66" s="52" t="s">
        <v>184</v>
      </c>
      <c r="O66" s="55"/>
      <c r="P66" s="51">
        <v>0.28000000000000003</v>
      </c>
      <c r="Q66" s="52">
        <v>0.54400000000000004</v>
      </c>
      <c r="R66" s="52">
        <v>2.6339999999999999</v>
      </c>
      <c r="S66" s="51">
        <v>26.199000000000002</v>
      </c>
      <c r="T66" s="53">
        <v>30.64</v>
      </c>
      <c r="U66" s="61">
        <v>29.41</v>
      </c>
      <c r="V66" s="51" t="str">
        <f t="shared" si="44"/>
        <v>ok</v>
      </c>
      <c r="W66" s="51">
        <f t="shared" si="51"/>
        <v>0.82400000000000007</v>
      </c>
      <c r="X66" s="53">
        <f t="shared" ref="X66" si="67">W66/U66</f>
        <v>2.8017681060863654E-2</v>
      </c>
      <c r="Y66" s="61">
        <f t="shared" si="59"/>
        <v>28.833000000000002</v>
      </c>
      <c r="Z66" s="61">
        <f t="shared" si="60"/>
        <v>0.980380822849371</v>
      </c>
      <c r="AN66" s="51">
        <v>0.41199999999999998</v>
      </c>
      <c r="AO66" s="52">
        <v>0.82399999999999995</v>
      </c>
      <c r="AP66" s="52" t="s">
        <v>59</v>
      </c>
      <c r="AQ66" s="51">
        <f t="shared" si="47"/>
        <v>49.999999999999993</v>
      </c>
      <c r="AR66" s="51">
        <f t="shared" si="48"/>
        <v>99.999999999999986</v>
      </c>
      <c r="AS66" s="111">
        <v>1017</v>
      </c>
      <c r="AT66" s="111">
        <v>953</v>
      </c>
      <c r="AU66" s="111">
        <v>913</v>
      </c>
      <c r="AV66" s="52" t="s">
        <v>59</v>
      </c>
      <c r="AW66" s="53">
        <f t="shared" ref="AW66:AW77" si="68">((AS66-AT66)/AS66)*100</f>
        <v>6.2930186823992136</v>
      </c>
      <c r="AX66" s="53">
        <f>((AS66-AU66)/AS66)*100</f>
        <v>10.226155358898721</v>
      </c>
      <c r="AY66" s="52" t="s">
        <v>59</v>
      </c>
      <c r="AZ66" s="51" t="s">
        <v>86</v>
      </c>
    </row>
    <row r="67" spans="2:52" ht="10.8" x14ac:dyDescent="0.3">
      <c r="B67" s="76" t="s">
        <v>204</v>
      </c>
      <c r="C67" s="78"/>
      <c r="D67" s="77"/>
      <c r="E67" s="77"/>
      <c r="F67" s="78"/>
      <c r="G67" s="78"/>
      <c r="H67" s="77"/>
      <c r="I67" s="77"/>
      <c r="J67" s="78"/>
      <c r="K67" s="78"/>
      <c r="L67" s="77"/>
      <c r="M67" s="77"/>
      <c r="N67" s="78"/>
      <c r="O67" s="78"/>
      <c r="P67" s="77"/>
      <c r="Q67" s="77"/>
      <c r="R67" s="78"/>
      <c r="S67" s="78"/>
      <c r="T67" s="77"/>
      <c r="U67" s="77"/>
      <c r="V67" s="51" t="str">
        <f t="shared" si="44"/>
        <v>ok</v>
      </c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51" t="e">
        <f t="shared" si="47"/>
        <v>#DIV/0!</v>
      </c>
      <c r="AR67" s="51" t="e">
        <f t="shared" si="48"/>
        <v>#DIV/0!</v>
      </c>
      <c r="AS67" s="111">
        <v>171</v>
      </c>
      <c r="AT67" s="111">
        <v>57</v>
      </c>
      <c r="AU67" s="111">
        <v>11</v>
      </c>
      <c r="AV67" s="52" t="s">
        <v>59</v>
      </c>
      <c r="AW67" s="53">
        <f t="shared" si="68"/>
        <v>66.666666666666657</v>
      </c>
      <c r="AX67" s="53">
        <f t="shared" ref="AX67" si="69">((AS67-AU67)/AS67)*100</f>
        <v>93.567251461988292</v>
      </c>
      <c r="AY67" s="52" t="s">
        <v>59</v>
      </c>
      <c r="AZ67" s="51" t="s">
        <v>86</v>
      </c>
    </row>
    <row r="68" spans="2:52" ht="43.2" x14ac:dyDescent="0.3">
      <c r="B68" s="52" t="s">
        <v>205</v>
      </c>
      <c r="C68" s="51" t="s">
        <v>59</v>
      </c>
      <c r="D68" s="52" t="s">
        <v>206</v>
      </c>
      <c r="E68" s="52" t="s">
        <v>157</v>
      </c>
      <c r="F68" s="52">
        <v>118</v>
      </c>
      <c r="G68" s="51">
        <v>112</v>
      </c>
      <c r="H68" s="52" t="s">
        <v>207</v>
      </c>
      <c r="I68" s="52" t="s">
        <v>208</v>
      </c>
      <c r="J68" s="52">
        <v>858</v>
      </c>
      <c r="K68" s="51">
        <v>5.8</v>
      </c>
      <c r="L68" s="51">
        <v>2</v>
      </c>
      <c r="M68" s="52" t="s">
        <v>92</v>
      </c>
      <c r="N68" s="52" t="s">
        <v>184</v>
      </c>
      <c r="O68" s="55"/>
      <c r="P68" s="51">
        <v>0.316</v>
      </c>
      <c r="Q68" s="52">
        <v>0.29299999999999998</v>
      </c>
      <c r="R68" s="52">
        <v>5.194</v>
      </c>
      <c r="S68" s="51">
        <v>26.916</v>
      </c>
      <c r="T68" s="53">
        <v>42.63</v>
      </c>
      <c r="U68" s="61">
        <v>32.44</v>
      </c>
      <c r="V68" s="51" t="str">
        <f t="shared" si="44"/>
        <v>ok</v>
      </c>
      <c r="W68" s="51">
        <f t="shared" si="51"/>
        <v>0.60899999999999999</v>
      </c>
      <c r="X68" s="53">
        <f t="shared" ref="X68:X76" si="70">W68/U68</f>
        <v>1.8773119605425402E-2</v>
      </c>
      <c r="Y68" s="61">
        <f t="shared" ref="Y68:Y76" si="71">SUM(R68:S68)</f>
        <v>32.11</v>
      </c>
      <c r="Z68" s="61">
        <f t="shared" ref="Z68:Z76" si="72">Y68/U68</f>
        <v>0.98982737361282369</v>
      </c>
      <c r="AN68" s="51">
        <v>0.30299999999999999</v>
      </c>
      <c r="AO68" s="52">
        <v>0.60899999999999999</v>
      </c>
      <c r="AP68" s="52" t="s">
        <v>59</v>
      </c>
      <c r="AQ68" s="51">
        <f t="shared" si="47"/>
        <v>49.75369458128079</v>
      </c>
      <c r="AR68" s="51">
        <f t="shared" si="48"/>
        <v>100</v>
      </c>
      <c r="AS68" s="111">
        <v>148</v>
      </c>
      <c r="AT68" s="111">
        <v>128</v>
      </c>
      <c r="AU68" s="111">
        <v>122</v>
      </c>
      <c r="AV68" s="52" t="s">
        <v>59</v>
      </c>
      <c r="AW68" s="53">
        <f t="shared" si="68"/>
        <v>13.513513513513514</v>
      </c>
      <c r="AX68" s="53">
        <f>((AS68-AU68)/AS68)*100</f>
        <v>17.567567567567568</v>
      </c>
      <c r="AY68" s="52" t="s">
        <v>59</v>
      </c>
      <c r="AZ68" s="51" t="s">
        <v>86</v>
      </c>
    </row>
    <row r="69" spans="2:52" ht="10.8" x14ac:dyDescent="0.3">
      <c r="B69" s="76" t="s">
        <v>209</v>
      </c>
      <c r="C69" s="78"/>
      <c r="D69" s="77"/>
      <c r="E69" s="77"/>
      <c r="F69" s="78"/>
      <c r="G69" s="78"/>
      <c r="H69" s="77"/>
      <c r="I69" s="77"/>
      <c r="J69" s="78"/>
      <c r="K69" s="78"/>
      <c r="L69" s="77"/>
      <c r="M69" s="77"/>
      <c r="N69" s="78"/>
      <c r="O69" s="78"/>
      <c r="P69" s="77"/>
      <c r="Q69" s="77"/>
      <c r="R69" s="78"/>
      <c r="S69" s="78"/>
      <c r="T69" s="77"/>
      <c r="U69" s="77"/>
      <c r="V69" s="51" t="str">
        <f t="shared" si="44"/>
        <v>ok</v>
      </c>
      <c r="W69" s="77"/>
      <c r="X69" s="77"/>
      <c r="Y69" s="77"/>
      <c r="Z69" s="77"/>
      <c r="AN69" s="78"/>
      <c r="AO69" s="77"/>
      <c r="AP69" s="77"/>
      <c r="AQ69" s="51" t="e">
        <f t="shared" si="47"/>
        <v>#DIV/0!</v>
      </c>
      <c r="AR69" s="51" t="e">
        <f t="shared" si="48"/>
        <v>#DIV/0!</v>
      </c>
      <c r="AS69" s="111">
        <v>8</v>
      </c>
      <c r="AT69" s="111">
        <v>4</v>
      </c>
      <c r="AU69" s="111">
        <v>3</v>
      </c>
      <c r="AV69" s="52" t="s">
        <v>59</v>
      </c>
      <c r="AW69" s="53">
        <f t="shared" si="68"/>
        <v>50</v>
      </c>
      <c r="AX69" s="53">
        <f t="shared" ref="AX69:AX77" si="73">((AS69-AU69)/AS69)*100</f>
        <v>62.5</v>
      </c>
      <c r="AY69" s="52" t="s">
        <v>59</v>
      </c>
      <c r="AZ69" s="51" t="s">
        <v>86</v>
      </c>
    </row>
    <row r="70" spans="2:52" ht="43.2" x14ac:dyDescent="0.3">
      <c r="B70" s="52" t="s">
        <v>210</v>
      </c>
      <c r="C70" s="51" t="s">
        <v>59</v>
      </c>
      <c r="D70" s="52" t="s">
        <v>68</v>
      </c>
      <c r="E70" s="52" t="s">
        <v>211</v>
      </c>
      <c r="F70" s="52">
        <v>98</v>
      </c>
      <c r="G70" s="51">
        <v>93</v>
      </c>
      <c r="H70" s="52" t="s">
        <v>212</v>
      </c>
      <c r="I70" s="52" t="s">
        <v>213</v>
      </c>
      <c r="J70" s="52">
        <v>719</v>
      </c>
      <c r="K70" s="51">
        <v>5.35</v>
      </c>
      <c r="L70" s="51">
        <v>4</v>
      </c>
      <c r="M70" s="52" t="s">
        <v>117</v>
      </c>
      <c r="N70" s="52" t="s">
        <v>184</v>
      </c>
      <c r="O70" s="55"/>
      <c r="P70" s="51">
        <v>0.11600000000000001</v>
      </c>
      <c r="Q70" s="52">
        <v>0.14099999999999999</v>
      </c>
      <c r="R70" s="52">
        <v>1.7290000000000001</v>
      </c>
      <c r="S70" s="51">
        <v>16.135000000000002</v>
      </c>
      <c r="T70" s="53">
        <v>22.73</v>
      </c>
      <c r="U70" s="61">
        <v>22.4</v>
      </c>
      <c r="V70" s="51" t="str">
        <f t="shared" si="44"/>
        <v>ok</v>
      </c>
      <c r="W70" s="51">
        <f t="shared" si="51"/>
        <v>0.25700000000000001</v>
      </c>
      <c r="X70" s="53">
        <f t="shared" si="70"/>
        <v>1.1473214285714286E-2</v>
      </c>
      <c r="Y70" s="61">
        <f t="shared" si="71"/>
        <v>17.864000000000001</v>
      </c>
      <c r="Z70" s="61">
        <f t="shared" si="72"/>
        <v>0.7975000000000001</v>
      </c>
      <c r="AN70" s="51">
        <v>0.161</v>
      </c>
      <c r="AO70" s="52">
        <v>0.25700000000000001</v>
      </c>
      <c r="AP70" s="52" t="s">
        <v>59</v>
      </c>
      <c r="AQ70" s="51">
        <f t="shared" si="47"/>
        <v>62.645914396887157</v>
      </c>
      <c r="AR70" s="51">
        <f t="shared" si="48"/>
        <v>100</v>
      </c>
      <c r="AS70" s="111">
        <v>52</v>
      </c>
      <c r="AT70" s="111">
        <v>47</v>
      </c>
      <c r="AU70" s="111">
        <v>42</v>
      </c>
      <c r="AV70" s="52" t="s">
        <v>59</v>
      </c>
      <c r="AW70" s="53">
        <f t="shared" si="68"/>
        <v>9.6153846153846168</v>
      </c>
      <c r="AX70" s="53">
        <f t="shared" si="73"/>
        <v>19.230769230769234</v>
      </c>
      <c r="AY70" s="52" t="s">
        <v>59</v>
      </c>
      <c r="AZ70" s="51" t="s">
        <v>86</v>
      </c>
    </row>
    <row r="71" spans="2:52" ht="10.8" x14ac:dyDescent="0.3">
      <c r="B71" s="76" t="s">
        <v>214</v>
      </c>
      <c r="C71" s="78"/>
      <c r="D71" s="77"/>
      <c r="E71" s="77"/>
      <c r="F71" s="78"/>
      <c r="G71" s="78"/>
      <c r="H71" s="77"/>
      <c r="I71" s="77"/>
      <c r="J71" s="78"/>
      <c r="K71" s="78"/>
      <c r="L71" s="77"/>
      <c r="M71" s="77"/>
      <c r="N71" s="78"/>
      <c r="O71" s="78"/>
      <c r="P71" s="77"/>
      <c r="Q71" s="77"/>
      <c r="R71" s="78"/>
      <c r="S71" s="78"/>
      <c r="T71" s="77"/>
      <c r="U71" s="77"/>
      <c r="V71" s="51" t="str">
        <f t="shared" si="44"/>
        <v>ok</v>
      </c>
      <c r="W71" s="77"/>
      <c r="X71" s="77"/>
      <c r="Y71" s="77"/>
      <c r="Z71" s="77"/>
      <c r="AN71" s="78"/>
      <c r="AO71" s="77"/>
      <c r="AP71" s="77"/>
      <c r="AQ71" s="51" t="e">
        <f t="shared" si="47"/>
        <v>#DIV/0!</v>
      </c>
      <c r="AR71" s="51" t="e">
        <f t="shared" si="48"/>
        <v>#DIV/0!</v>
      </c>
      <c r="AS71" s="111">
        <v>0</v>
      </c>
      <c r="AT71" s="111">
        <v>0</v>
      </c>
      <c r="AU71" s="111">
        <v>0</v>
      </c>
      <c r="AV71" s="52" t="s">
        <v>59</v>
      </c>
      <c r="AW71" s="53" t="e">
        <f t="shared" si="68"/>
        <v>#DIV/0!</v>
      </c>
      <c r="AX71" s="53" t="e">
        <f t="shared" si="73"/>
        <v>#DIV/0!</v>
      </c>
      <c r="AY71" s="52" t="s">
        <v>59</v>
      </c>
      <c r="AZ71" s="51" t="s">
        <v>86</v>
      </c>
    </row>
    <row r="72" spans="2:52" ht="43.2" x14ac:dyDescent="0.3">
      <c r="B72" s="52" t="s">
        <v>215</v>
      </c>
      <c r="C72" s="51" t="s">
        <v>59</v>
      </c>
      <c r="D72" s="52" t="s">
        <v>206</v>
      </c>
      <c r="E72" s="52" t="s">
        <v>80</v>
      </c>
      <c r="F72" s="52">
        <v>101</v>
      </c>
      <c r="G72" s="51">
        <v>100</v>
      </c>
      <c r="H72" s="52" t="s">
        <v>216</v>
      </c>
      <c r="I72" s="52" t="s">
        <v>217</v>
      </c>
      <c r="J72" s="52">
        <v>335.28</v>
      </c>
      <c r="K72" s="51">
        <v>1.75</v>
      </c>
      <c r="L72" s="51">
        <v>0</v>
      </c>
      <c r="M72" s="52" t="s">
        <v>104</v>
      </c>
      <c r="N72" s="52" t="s">
        <v>184</v>
      </c>
      <c r="O72" s="55"/>
      <c r="P72" s="51">
        <v>2E-3</v>
      </c>
      <c r="Q72" s="52">
        <v>4.2000000000000003E-2</v>
      </c>
      <c r="R72" s="52">
        <v>0</v>
      </c>
      <c r="S72" s="51">
        <v>11.391</v>
      </c>
      <c r="T72" s="53">
        <v>19.329999999999998</v>
      </c>
      <c r="U72" s="61">
        <v>18.010000000000002</v>
      </c>
      <c r="V72" s="51" t="str">
        <f t="shared" si="44"/>
        <v>ok</v>
      </c>
      <c r="W72" s="51">
        <f t="shared" si="51"/>
        <v>4.4000000000000004E-2</v>
      </c>
      <c r="X72" s="53">
        <f t="shared" si="70"/>
        <v>2.4430871737923378E-3</v>
      </c>
      <c r="Y72" s="61">
        <f t="shared" si="71"/>
        <v>11.391</v>
      </c>
      <c r="Z72" s="61">
        <f t="shared" si="72"/>
        <v>0.63248195446973898</v>
      </c>
      <c r="AN72" s="51">
        <v>2.5000000000000001E-2</v>
      </c>
      <c r="AO72" s="52">
        <v>4.3999999999999997E-2</v>
      </c>
      <c r="AP72" s="52" t="s">
        <v>59</v>
      </c>
      <c r="AQ72" s="51">
        <f t="shared" si="47"/>
        <v>56.818181818181813</v>
      </c>
      <c r="AR72" s="51">
        <f t="shared" si="48"/>
        <v>99.999999999999986</v>
      </c>
      <c r="AS72" s="111">
        <v>42</v>
      </c>
      <c r="AT72" s="111">
        <v>41</v>
      </c>
      <c r="AU72" s="111">
        <v>42</v>
      </c>
      <c r="AV72" s="52" t="s">
        <v>59</v>
      </c>
      <c r="AW72" s="53">
        <f t="shared" si="68"/>
        <v>2.3809523809523809</v>
      </c>
      <c r="AX72" s="53">
        <f t="shared" si="73"/>
        <v>0</v>
      </c>
      <c r="AY72" s="52" t="s">
        <v>59</v>
      </c>
      <c r="AZ72" s="51" t="s">
        <v>86</v>
      </c>
    </row>
    <row r="73" spans="2:52" ht="10.8" x14ac:dyDescent="0.3">
      <c r="B73" s="76" t="s">
        <v>218</v>
      </c>
      <c r="C73" s="78"/>
      <c r="D73" s="77"/>
      <c r="E73" s="77"/>
      <c r="F73" s="78"/>
      <c r="G73" s="78"/>
      <c r="H73" s="77"/>
      <c r="I73" s="77"/>
      <c r="J73" s="78"/>
      <c r="K73" s="78"/>
      <c r="L73" s="77"/>
      <c r="M73" s="77"/>
      <c r="N73" s="78"/>
      <c r="O73" s="78"/>
      <c r="P73" s="77"/>
      <c r="Q73" s="77"/>
      <c r="R73" s="78"/>
      <c r="S73" s="78"/>
      <c r="T73" s="77"/>
      <c r="U73" s="77"/>
      <c r="V73" s="51" t="str">
        <f t="shared" si="44"/>
        <v>ok</v>
      </c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8"/>
      <c r="AO73" s="77"/>
      <c r="AP73" s="77"/>
      <c r="AQ73" s="51" t="e">
        <f t="shared" si="47"/>
        <v>#DIV/0!</v>
      </c>
      <c r="AR73" s="51" t="e">
        <f t="shared" si="48"/>
        <v>#DIV/0!</v>
      </c>
      <c r="AS73" s="111">
        <v>0</v>
      </c>
      <c r="AT73" s="111">
        <v>0</v>
      </c>
      <c r="AU73" s="111">
        <v>0</v>
      </c>
      <c r="AV73" s="52" t="s">
        <v>59</v>
      </c>
      <c r="AW73" s="53" t="e">
        <f t="shared" si="68"/>
        <v>#DIV/0!</v>
      </c>
      <c r="AX73" s="53" t="e">
        <f t="shared" si="73"/>
        <v>#DIV/0!</v>
      </c>
      <c r="AY73" s="52" t="s">
        <v>59</v>
      </c>
      <c r="AZ73" s="51" t="s">
        <v>86</v>
      </c>
    </row>
    <row r="74" spans="2:52" ht="46.2" customHeight="1" x14ac:dyDescent="0.3">
      <c r="B74" s="52" t="s">
        <v>219</v>
      </c>
      <c r="C74" s="51" t="s">
        <v>59</v>
      </c>
      <c r="D74" s="52" t="s">
        <v>68</v>
      </c>
      <c r="E74" s="52" t="s">
        <v>157</v>
      </c>
      <c r="F74" s="52">
        <v>138</v>
      </c>
      <c r="G74" s="51">
        <v>127</v>
      </c>
      <c r="H74" s="52" t="s">
        <v>220</v>
      </c>
      <c r="I74" s="52" t="s">
        <v>221</v>
      </c>
      <c r="J74" s="52">
        <v>689.67</v>
      </c>
      <c r="K74" s="51">
        <v>8.5399999999999991</v>
      </c>
      <c r="L74" s="51">
        <v>2</v>
      </c>
      <c r="M74" s="52" t="s">
        <v>104</v>
      </c>
      <c r="N74" s="52" t="s">
        <v>184</v>
      </c>
      <c r="O74" s="55"/>
      <c r="P74" s="51">
        <v>6.8000000000000005E-2</v>
      </c>
      <c r="Q74" s="52">
        <v>0.50600000000000001</v>
      </c>
      <c r="R74" s="52">
        <v>22.756</v>
      </c>
      <c r="S74" s="51">
        <v>4.7480000000000002</v>
      </c>
      <c r="T74" s="53">
        <v>48.55</v>
      </c>
      <c r="U74" s="61">
        <v>28.08</v>
      </c>
      <c r="V74" s="51" t="str">
        <f t="shared" si="44"/>
        <v>ok</v>
      </c>
      <c r="W74" s="51">
        <f t="shared" si="51"/>
        <v>0.57400000000000007</v>
      </c>
      <c r="X74" s="53">
        <f t="shared" si="70"/>
        <v>2.0441595441595444E-2</v>
      </c>
      <c r="Y74" s="61">
        <f t="shared" si="71"/>
        <v>27.504000000000001</v>
      </c>
      <c r="Z74" s="61">
        <f t="shared" si="72"/>
        <v>0.97948717948717956</v>
      </c>
      <c r="AN74" s="51">
        <v>0.27400000000000002</v>
      </c>
      <c r="AO74" s="52">
        <v>0.57399999999999995</v>
      </c>
      <c r="AP74" s="52" t="s">
        <v>59</v>
      </c>
      <c r="AQ74" s="51">
        <f t="shared" si="47"/>
        <v>47.735191637630656</v>
      </c>
      <c r="AR74" s="51">
        <f t="shared" si="48"/>
        <v>99.999999999999972</v>
      </c>
      <c r="AS74" s="111">
        <v>1044</v>
      </c>
      <c r="AT74" s="111">
        <v>1025</v>
      </c>
      <c r="AU74" s="111">
        <v>1004</v>
      </c>
      <c r="AV74" s="52" t="s">
        <v>59</v>
      </c>
      <c r="AW74" s="53">
        <f t="shared" si="68"/>
        <v>1.8199233716475096</v>
      </c>
      <c r="AX74" s="53">
        <f>((AS74-AU74)/AS74)*100</f>
        <v>3.8314176245210727</v>
      </c>
      <c r="AY74" s="52" t="s">
        <v>59</v>
      </c>
      <c r="AZ74" s="51" t="s">
        <v>86</v>
      </c>
    </row>
    <row r="75" spans="2:52" ht="10.8" x14ac:dyDescent="0.3">
      <c r="B75" s="76" t="s">
        <v>222</v>
      </c>
      <c r="C75" s="78"/>
      <c r="D75" s="77"/>
      <c r="E75" s="77"/>
      <c r="F75" s="78"/>
      <c r="G75" s="78"/>
      <c r="H75" s="77"/>
      <c r="I75" s="77"/>
      <c r="J75" s="78"/>
      <c r="K75" s="78"/>
      <c r="L75" s="77"/>
      <c r="M75" s="77"/>
      <c r="N75" s="78"/>
      <c r="O75" s="78"/>
      <c r="P75" s="77"/>
      <c r="Q75" s="77"/>
      <c r="R75" s="78"/>
      <c r="S75" s="78"/>
      <c r="T75" s="77"/>
      <c r="U75" s="77"/>
      <c r="V75" s="51" t="str">
        <f t="shared" si="44"/>
        <v>ok</v>
      </c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  <c r="AN75" s="78"/>
      <c r="AO75" s="77"/>
      <c r="AP75" s="77"/>
      <c r="AQ75" s="51" t="e">
        <f t="shared" si="47"/>
        <v>#DIV/0!</v>
      </c>
      <c r="AR75" s="51" t="e">
        <f t="shared" si="48"/>
        <v>#DIV/0!</v>
      </c>
      <c r="AS75" s="111">
        <v>440</v>
      </c>
      <c r="AT75" s="111">
        <v>405</v>
      </c>
      <c r="AU75" s="111">
        <v>368</v>
      </c>
      <c r="AV75" s="52" t="s">
        <v>59</v>
      </c>
      <c r="AW75" s="53">
        <f t="shared" si="68"/>
        <v>7.9545454545454541</v>
      </c>
      <c r="AX75" s="53">
        <f t="shared" si="73"/>
        <v>16.363636363636363</v>
      </c>
      <c r="AY75" s="52" t="s">
        <v>59</v>
      </c>
      <c r="AZ75" s="51" t="s">
        <v>86</v>
      </c>
    </row>
    <row r="76" spans="2:52" ht="43.2" x14ac:dyDescent="0.3">
      <c r="B76" s="52" t="s">
        <v>223</v>
      </c>
      <c r="C76" s="51" t="s">
        <v>59</v>
      </c>
      <c r="D76" s="52" t="s">
        <v>206</v>
      </c>
      <c r="E76" s="52" t="s">
        <v>157</v>
      </c>
      <c r="F76" s="52">
        <v>4361</v>
      </c>
      <c r="G76" s="51">
        <v>4333</v>
      </c>
      <c r="H76" s="52" t="s">
        <v>224</v>
      </c>
      <c r="I76" s="52" t="s">
        <v>225</v>
      </c>
      <c r="J76" s="52">
        <v>76277.990000000005</v>
      </c>
      <c r="K76" s="51">
        <v>531.9</v>
      </c>
      <c r="L76" s="51">
        <v>55</v>
      </c>
      <c r="M76" s="52" t="s">
        <v>126</v>
      </c>
      <c r="N76" s="52" t="s">
        <v>184</v>
      </c>
      <c r="O76" s="55"/>
      <c r="P76" s="51">
        <v>40.478000000000002</v>
      </c>
      <c r="Q76" s="52">
        <v>19.556000000000001</v>
      </c>
      <c r="R76" s="52">
        <v>68.822999999999993</v>
      </c>
      <c r="S76" s="51">
        <v>168.703</v>
      </c>
      <c r="T76" s="53">
        <v>1404.34</v>
      </c>
      <c r="U76" s="61">
        <v>208.18</v>
      </c>
      <c r="V76" s="51" t="str">
        <f t="shared" si="44"/>
        <v>ok</v>
      </c>
      <c r="W76" s="51">
        <f t="shared" si="51"/>
        <v>60.034000000000006</v>
      </c>
      <c r="X76" s="53">
        <f t="shared" si="70"/>
        <v>0.28837544432702472</v>
      </c>
      <c r="Y76" s="61">
        <f t="shared" si="71"/>
        <v>237.52600000000001</v>
      </c>
      <c r="Z76" s="61">
        <f t="shared" si="72"/>
        <v>1.1409645499087329</v>
      </c>
      <c r="AN76" s="51">
        <v>3.0000000000000001E-3</v>
      </c>
      <c r="AO76" s="52">
        <v>6.0000000000000001E-3</v>
      </c>
      <c r="AP76" s="52" t="s">
        <v>59</v>
      </c>
      <c r="AQ76" s="55">
        <f t="shared" si="47"/>
        <v>4.9971682713129224E-3</v>
      </c>
      <c r="AR76" s="55">
        <f t="shared" si="48"/>
        <v>9.9943365426258448E-3</v>
      </c>
      <c r="AS76" s="111">
        <v>6</v>
      </c>
      <c r="AT76" s="111">
        <v>3</v>
      </c>
      <c r="AU76" s="111">
        <v>3</v>
      </c>
      <c r="AV76" s="52" t="s">
        <v>59</v>
      </c>
      <c r="AW76" s="53">
        <f t="shared" si="68"/>
        <v>50</v>
      </c>
      <c r="AX76" s="53">
        <f t="shared" si="73"/>
        <v>50</v>
      </c>
      <c r="AY76" s="52" t="s">
        <v>59</v>
      </c>
      <c r="AZ76" s="51" t="s">
        <v>86</v>
      </c>
    </row>
    <row r="77" spans="2:52" ht="10.8" x14ac:dyDescent="0.3">
      <c r="B77" s="76" t="s">
        <v>226</v>
      </c>
      <c r="C77" s="78"/>
      <c r="D77" s="77"/>
      <c r="E77" s="77"/>
      <c r="F77" s="78"/>
      <c r="G77" s="78"/>
      <c r="H77" s="77"/>
      <c r="I77" s="77"/>
      <c r="J77" s="78"/>
      <c r="K77" s="78"/>
      <c r="L77" s="77"/>
      <c r="M77" s="77"/>
      <c r="N77" s="78"/>
      <c r="O77" s="78"/>
      <c r="P77" s="77"/>
      <c r="Q77" s="77"/>
      <c r="R77" s="78"/>
      <c r="S77" s="78"/>
      <c r="T77" s="77"/>
      <c r="U77" s="77"/>
      <c r="V77" s="51" t="str">
        <f t="shared" si="44"/>
        <v>ok</v>
      </c>
      <c r="W77" s="77"/>
      <c r="X77" s="77"/>
      <c r="Y77" s="77"/>
      <c r="Z77" s="77"/>
      <c r="AN77" s="78"/>
      <c r="AO77" s="77"/>
      <c r="AP77" s="77"/>
      <c r="AQ77" s="77"/>
      <c r="AR77" s="51" t="e">
        <f t="shared" si="48"/>
        <v>#DIV/0!</v>
      </c>
      <c r="AS77" s="111">
        <v>0</v>
      </c>
      <c r="AT77" s="111">
        <v>0</v>
      </c>
      <c r="AU77" s="111">
        <v>0</v>
      </c>
      <c r="AV77" s="52" t="s">
        <v>59</v>
      </c>
      <c r="AW77" s="53" t="e">
        <f t="shared" si="68"/>
        <v>#DIV/0!</v>
      </c>
      <c r="AX77" s="53" t="e">
        <f t="shared" si="73"/>
        <v>#DIV/0!</v>
      </c>
      <c r="AY77" s="52" t="s">
        <v>59</v>
      </c>
      <c r="AZ77" s="51" t="s">
        <v>86</v>
      </c>
    </row>
    <row r="79" spans="2:52" ht="10.8" x14ac:dyDescent="0.3">
      <c r="S79" s="51" t="s">
        <v>227</v>
      </c>
      <c r="T79" s="53">
        <f>MAX(T5:T57)</f>
        <v>1496.114</v>
      </c>
    </row>
    <row r="80" spans="2:52" ht="10.8" x14ac:dyDescent="0.3">
      <c r="S80" s="78" t="s">
        <v>228</v>
      </c>
      <c r="T80" s="77">
        <f>AVERAGE(T5:T57)</f>
        <v>207.23802702702704</v>
      </c>
    </row>
    <row r="85" spans="2:2" ht="10.8" x14ac:dyDescent="0.3">
      <c r="B85" s="1" t="s">
        <v>229</v>
      </c>
    </row>
    <row r="86" spans="2:2" ht="10.8" x14ac:dyDescent="0.3">
      <c r="B86" s="1" t="s">
        <v>230</v>
      </c>
    </row>
  </sheetData>
  <autoFilter ref="B4:AK59" xr:uid="{4D8B5997-17F9-4B2B-BFB0-931333792D71}">
    <filterColumn colId="28" showButton="0"/>
  </autoFilter>
  <mergeCells count="38">
    <mergeCell ref="AZ3:AZ4"/>
    <mergeCell ref="AN2:AZ2"/>
    <mergeCell ref="AA2:AM2"/>
    <mergeCell ref="AW3:AY3"/>
    <mergeCell ref="AD3:AE4"/>
    <mergeCell ref="AM3:AM4"/>
    <mergeCell ref="AL3:AL4"/>
    <mergeCell ref="AK3:AK4"/>
    <mergeCell ref="AJ3:AJ4"/>
    <mergeCell ref="AI3:AI4"/>
    <mergeCell ref="AH3:AH4"/>
    <mergeCell ref="AG3:AG4"/>
    <mergeCell ref="AF3:AF4"/>
    <mergeCell ref="AC3:AC4"/>
    <mergeCell ref="AS3:AV3"/>
    <mergeCell ref="D2:Z2"/>
    <mergeCell ref="D3:D4"/>
    <mergeCell ref="E3:E4"/>
    <mergeCell ref="J3:J4"/>
    <mergeCell ref="F3:F4"/>
    <mergeCell ref="G3:G4"/>
    <mergeCell ref="H3:H4"/>
    <mergeCell ref="I3:I4"/>
    <mergeCell ref="N3:N4"/>
    <mergeCell ref="O3:O4"/>
    <mergeCell ref="U3:U4"/>
    <mergeCell ref="W3:W4"/>
    <mergeCell ref="X3:X4"/>
    <mergeCell ref="Y3:Y4"/>
    <mergeCell ref="Z3:Z4"/>
    <mergeCell ref="AN3:AR3"/>
    <mergeCell ref="V3:V4"/>
    <mergeCell ref="K3:K4"/>
    <mergeCell ref="L3:L4"/>
    <mergeCell ref="M3:M4"/>
    <mergeCell ref="T3:T4"/>
    <mergeCell ref="AB3:AB4"/>
    <mergeCell ref="AA3:AA4"/>
  </mergeCells>
  <phoneticPr fontId="4" type="noConversion"/>
  <conditionalFormatting sqref="V1:V1048576">
    <cfRule type="cellIs" dxfId="0" priority="3" operator="lessThan">
      <formula>0</formula>
    </cfRule>
    <cfRule type="cellIs" dxfId="1" priority="1" operator="equal">
      <formula>"contributing&gt;total"</formula>
    </cfRule>
  </conditionalFormatting>
  <conditionalFormatting sqref="V21:V77">
    <cfRule type="cellIs" dxfId="2" priority="2" operator="equal">
      <formula>"ok"</formula>
    </cfRule>
  </conditionalFormatting>
  <pageMargins left="0.7" right="0.7" top="0.75" bottom="0.75" header="0.3" footer="0.3"/>
  <headerFooter>
    <oddFooter>&amp;C_x000D_&amp;1#&amp;"Calibri"&amp;10&amp;K000000 Mott MacDonald Restricted</oddFooter>
  </headerFooter>
  <ignoredErrors>
    <ignoredError sqref="W5 Y5:Y16 Y18:Y20 W7:W16 U14:U15" formulaRange="1"/>
    <ignoredError sqref="X5 X8:X16 X18:X20" formula="1"/>
    <ignoredError sqref="AF6:AG6 AL6 Z7 AF13:AL16 Z17 AF17:AL19" evalError="1"/>
    <ignoredError sqref="X7 X17" evalError="1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87186-D3F9-4CDE-8B57-41662131E2F0}">
  <dimension ref="A2:P60"/>
  <sheetViews>
    <sheetView topLeftCell="A67" zoomScale="59" zoomScaleNormal="59" workbookViewId="0">
      <selection activeCell="G62" sqref="G62"/>
    </sheetView>
  </sheetViews>
  <sheetFormatPr defaultColWidth="8.88671875" defaultRowHeight="14.4" x14ac:dyDescent="0.3"/>
  <cols>
    <col min="1" max="2" width="8.88671875" style="74"/>
    <col min="3" max="3" width="11.5546875" style="74" customWidth="1"/>
    <col min="4" max="16384" width="8.88671875" style="74"/>
  </cols>
  <sheetData>
    <row r="2" spans="1:15" s="72" customFormat="1" x14ac:dyDescent="0.3">
      <c r="A2" s="72">
        <v>1</v>
      </c>
      <c r="C2" s="75" t="s">
        <v>231</v>
      </c>
      <c r="D2" s="75"/>
      <c r="E2" s="75"/>
      <c r="J2" s="75" t="s">
        <v>232</v>
      </c>
      <c r="O2" s="75" t="s">
        <v>233</v>
      </c>
    </row>
    <row r="5" spans="1:15" x14ac:dyDescent="0.3">
      <c r="A5" s="73"/>
    </row>
    <row r="18" spans="1:15" s="72" customFormat="1" x14ac:dyDescent="0.3">
      <c r="A18" s="72">
        <v>2</v>
      </c>
      <c r="C18" s="72" t="s">
        <v>234</v>
      </c>
      <c r="J18" s="72" t="s">
        <v>235</v>
      </c>
      <c r="O18" s="72" t="s">
        <v>236</v>
      </c>
    </row>
    <row r="35" spans="1:16" x14ac:dyDescent="0.3">
      <c r="B35" s="74" t="s">
        <v>237</v>
      </c>
      <c r="I35" s="74" t="s">
        <v>238</v>
      </c>
      <c r="P35" s="74" t="s">
        <v>239</v>
      </c>
    </row>
    <row r="40" spans="1:16" s="72" customFormat="1" x14ac:dyDescent="0.3">
      <c r="A40" s="72">
        <v>3</v>
      </c>
      <c r="C40" s="75" t="s">
        <v>240</v>
      </c>
      <c r="I40" s="72" t="s">
        <v>241</v>
      </c>
      <c r="P40" s="72" t="s">
        <v>242</v>
      </c>
    </row>
    <row r="60" spans="1:4" x14ac:dyDescent="0.3">
      <c r="A60" s="74">
        <v>4</v>
      </c>
      <c r="C60" s="74" t="s">
        <v>223</v>
      </c>
      <c r="D60" s="74" t="s">
        <v>240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795B5-816E-4D74-9CB2-8A9BF35CB73C}">
  <dimension ref="B2:D9"/>
  <sheetViews>
    <sheetView workbookViewId="0">
      <selection activeCell="B3" sqref="B3"/>
    </sheetView>
  </sheetViews>
  <sheetFormatPr defaultRowHeight="14.4" x14ac:dyDescent="0.3"/>
  <cols>
    <col min="2" max="2" width="25.6640625" customWidth="1"/>
    <col min="3" max="3" width="26.88671875" style="87" customWidth="1"/>
    <col min="4" max="4" width="29.33203125" customWidth="1"/>
  </cols>
  <sheetData>
    <row r="2" spans="2:4" x14ac:dyDescent="0.3">
      <c r="B2" s="82" t="s">
        <v>243</v>
      </c>
      <c r="C2" s="85" t="s">
        <v>244</v>
      </c>
      <c r="D2" s="82" t="s">
        <v>245</v>
      </c>
    </row>
    <row r="3" spans="2:4" x14ac:dyDescent="0.3">
      <c r="B3" s="84" t="s">
        <v>246</v>
      </c>
      <c r="C3" s="86" t="s">
        <v>247</v>
      </c>
      <c r="D3" s="83" t="s">
        <v>248</v>
      </c>
    </row>
    <row r="4" spans="2:4" x14ac:dyDescent="0.3">
      <c r="B4" s="84" t="s">
        <v>249</v>
      </c>
      <c r="C4" s="86" t="s">
        <v>250</v>
      </c>
      <c r="D4" s="83" t="s">
        <v>251</v>
      </c>
    </row>
    <row r="5" spans="2:4" x14ac:dyDescent="0.3">
      <c r="B5" s="84" t="s">
        <v>252</v>
      </c>
      <c r="C5" s="86" t="s">
        <v>247</v>
      </c>
      <c r="D5" s="83"/>
    </row>
    <row r="6" spans="2:4" x14ac:dyDescent="0.3">
      <c r="B6" s="84" t="s">
        <v>253</v>
      </c>
      <c r="C6" s="86" t="s">
        <v>247</v>
      </c>
      <c r="D6" s="83"/>
    </row>
    <row r="7" spans="2:4" x14ac:dyDescent="0.3">
      <c r="B7" s="84" t="s">
        <v>254</v>
      </c>
      <c r="C7" s="86" t="s">
        <v>247</v>
      </c>
      <c r="D7" s="83" t="s">
        <v>248</v>
      </c>
    </row>
    <row r="8" spans="2:4" x14ac:dyDescent="0.3">
      <c r="B8" s="84" t="s">
        <v>255</v>
      </c>
      <c r="C8" s="86" t="s">
        <v>247</v>
      </c>
      <c r="D8" s="83"/>
    </row>
    <row r="9" spans="2:4" x14ac:dyDescent="0.3">
      <c r="B9" s="84" t="s">
        <v>256</v>
      </c>
      <c r="C9" s="86" t="s">
        <v>247</v>
      </c>
      <c r="D9" s="8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5A3B-6E4B-48B6-8E09-E7F3A28341D7}">
  <dimension ref="A1:B5"/>
  <sheetViews>
    <sheetView tabSelected="1" zoomScale="109" workbookViewId="0">
      <selection activeCell="B6" sqref="B6"/>
    </sheetView>
  </sheetViews>
  <sheetFormatPr defaultRowHeight="14.4" x14ac:dyDescent="0.3"/>
  <cols>
    <col min="1" max="1" width="83.33203125" bestFit="1" customWidth="1"/>
    <col min="2" max="2" width="67" style="92" customWidth="1"/>
  </cols>
  <sheetData>
    <row r="1" spans="1:2" x14ac:dyDescent="0.3">
      <c r="A1" s="82" t="s">
        <v>257</v>
      </c>
      <c r="B1" s="90" t="s">
        <v>258</v>
      </c>
    </row>
    <row r="2" spans="1:2" x14ac:dyDescent="0.3">
      <c r="A2" s="83" t="s">
        <v>259</v>
      </c>
      <c r="B2" s="91" t="s">
        <v>260</v>
      </c>
    </row>
    <row r="3" spans="1:2" ht="28.8" x14ac:dyDescent="0.3">
      <c r="A3" s="83" t="s">
        <v>261</v>
      </c>
      <c r="B3" s="91" t="s">
        <v>262</v>
      </c>
    </row>
    <row r="4" spans="1:2" ht="28.8" x14ac:dyDescent="0.3">
      <c r="A4" s="83" t="s">
        <v>263</v>
      </c>
      <c r="B4" s="91" t="s">
        <v>264</v>
      </c>
    </row>
    <row r="5" spans="1:2" x14ac:dyDescent="0.3">
      <c r="A5" s="83" t="s">
        <v>265</v>
      </c>
      <c r="B5" s="91" t="s">
        <v>266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MMSourceID xmlns="980b2c76-4eb4-4926-991a-bb246786b55e" xsi:nil="true"/>
    <MM_CheckApproveVersion xmlns="8043c280-e672-43f5-886c-af9cae53c7c4" xsi:nil="true"/>
    <Ratings xmlns="http://schemas.microsoft.com/sharepoint/v3" xsi:nil="true"/>
    <LikedBy xmlns="http://schemas.microsoft.com/sharepoint/v3">
      <UserInfo>
        <DisplayName/>
        <AccountId xsi:nil="true"/>
        <AccountType/>
      </UserInfo>
    </LikedBy>
    <MM_CheckApproveStatus xmlns="8043c280-e672-43f5-886c-af9cae53c7c4" xsi:nil="true"/>
    <TaxCatchAll xmlns="980b2c76-4eb4-4926-991a-bb246786b55e" xsi:nil="true"/>
    <RatedBy xmlns="http://schemas.microsoft.com/sharepoint/v3">
      <UserInfo>
        <DisplayName/>
        <AccountId xsi:nil="true"/>
        <AccountType/>
      </UserInfo>
    </RatedBy>
    <_dlc_DocId xmlns="980b2c76-4eb4-4926-991a-bb246786b55e">MPJRDNST6MUS-527443268-156696</_dlc_DocId>
    <_dlc_DocIdUrl xmlns="980b2c76-4eb4-4926-991a-bb246786b55e">
      <Url>https://mottmac.sharepoint.com/sites/pr-00026/_layouts/15/DocIdRedir.aspx?ID=MPJRDNST6MUS-527443268-156696</Url>
      <Description>MPJRDNST6MUS-527443268-156696</Description>
    </_dlc_DocIdUrl>
    <kmcomments xmlns="980b2c76-4eb4-4926-991a-bb246786b55e" xsi:nil="true"/>
    <dc0300c3de6d401c95fc4ba72c0383da xmlns="980b2c76-4eb4-4926-991a-bb246786b55e">
      <Terms xmlns="http://schemas.microsoft.com/office/infopath/2007/PartnerControls"/>
    </dc0300c3de6d401c95fc4ba72c0383da>
    <Content_x0020_Status xmlns="980b2c76-4eb4-4926-991a-bb246786b55e" xsi:nil="true"/>
    <o6dcfbb8c6264899a505fd58f54660cd xmlns="980b2c76-4eb4-4926-991a-bb246786b55e">
      <Terms xmlns="http://schemas.microsoft.com/office/infopath/2007/PartnerControls"/>
    </o6dcfbb8c6264899a505fd58f54660cd>
    <kmcurator xmlns="980b2c76-4eb4-4926-991a-bb246786b55e">
      <UserInfo>
        <DisplayName/>
        <AccountId xsi:nil="true"/>
        <AccountType/>
      </UserInfo>
    </kmcurator>
    <p8cb5ed276784844a1637e44c8d4b206 xmlns="980b2c76-4eb4-4926-991a-bb246786b55e">
      <Terms xmlns="http://schemas.microsoft.com/office/infopath/2007/PartnerControls"/>
    </p8cb5ed276784844a1637e44c8d4b206>
    <kmdescription xmlns="980b2c76-4eb4-4926-991a-bb246786b55e" xsi:nil="true"/>
    <n89f4025238e40c780dabfd131c95d6c xmlns="980b2c76-4eb4-4926-991a-bb246786b55e">
      <Terms xmlns="http://schemas.microsoft.com/office/infopath/2007/PartnerControls"/>
    </n89f4025238e40c780dabfd131c95d6c>
    <o7ab7bf167be47b48f831b7f9bc19eab xmlns="980b2c76-4eb4-4926-991a-bb246786b55e">
      <Terms xmlns="http://schemas.microsoft.com/office/infopath/2007/PartnerControls"/>
    </o7ab7bf167be47b48f831b7f9bc19eab>
    <le672e08d0154b0e9be2cdfb717573a3 xmlns="980b2c76-4eb4-4926-991a-bb246786b55e">
      <Terms xmlns="http://schemas.microsoft.com/office/infopath/2007/PartnerControls"/>
    </le672e08d0154b0e9be2cdfb717573a3>
    <kmauthor xmlns="980b2c76-4eb4-4926-991a-bb246786b55e">
      <UserInfo>
        <DisplayName/>
        <AccountId xsi:nil="true"/>
        <AccountType/>
      </UserInfo>
    </kmauthor>
    <c1ce4fe941f44340b53e992f6e33a346 xmlns="980b2c76-4eb4-4926-991a-bb246786b55e">
      <Terms xmlns="http://schemas.microsoft.com/office/infopath/2007/PartnerControls"/>
    </c1ce4fe941f44340b53e992f6e33a346>
    <Practice_x0020_Comments xmlns="980b2c76-4eb4-4926-991a-bb246786b55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Practice Document" ma:contentTypeID="0x0101007BD61AFCC8A643B8924AB3F7EE18260101000A5D338C0A63A749874800DC5193E489" ma:contentTypeVersion="51" ma:contentTypeDescription="Base content type for our practice documents" ma:contentTypeScope="" ma:versionID="919712f03c6f23dff2b79a94e4bffd88">
  <xsd:schema xmlns:xsd="http://www.w3.org/2001/XMLSchema" xmlns:xs="http://www.w3.org/2001/XMLSchema" xmlns:p="http://schemas.microsoft.com/office/2006/metadata/properties" xmlns:ns1="http://schemas.microsoft.com/sharepoint/v3" xmlns:ns2="980b2c76-4eb4-4926-991a-bb246786b55e" xmlns:ns3="8043c280-e672-43f5-886c-af9cae53c7c4" targetNamespace="http://schemas.microsoft.com/office/2006/metadata/properties" ma:root="true" ma:fieldsID="ac33bd1124e27c2e7078b492e004862d" ns1:_="" ns2:_="" ns3:_="">
    <xsd:import namespace="http://schemas.microsoft.com/sharepoint/v3"/>
    <xsd:import namespace="980b2c76-4eb4-4926-991a-bb246786b55e"/>
    <xsd:import namespace="8043c280-e672-43f5-886c-af9cae53c7c4"/>
    <xsd:element name="properties">
      <xsd:complexType>
        <xsd:sequence>
          <xsd:element name="documentManagement">
            <xsd:complexType>
              <xsd:all>
                <xsd:element ref="ns2:kmdescription" minOccurs="0"/>
                <xsd:element ref="ns2:kmauthor" minOccurs="0"/>
                <xsd:element ref="ns2:kmcurator" minOccurs="0"/>
                <xsd:element ref="ns2:kmcomments" minOccurs="0"/>
                <xsd:element ref="ns1:AverageRating" minOccurs="0"/>
                <xsd:element ref="ns1:RatingCount" minOccurs="0"/>
                <xsd:element ref="ns1:LikesCount" minOccurs="0"/>
                <xsd:element ref="ns2:MMSourceID" minOccurs="0"/>
                <xsd:element ref="ns3:MM_CheckApproveStatus" minOccurs="0"/>
                <xsd:element ref="ns3:MM_CheckApproveVersion" minOccurs="0"/>
                <xsd:element ref="ns1:LikedBy" minOccurs="0"/>
                <xsd:element ref="ns2:_dlc_DocId" minOccurs="0"/>
                <xsd:element ref="ns2:_dlc_DocIdUrl" minOccurs="0"/>
                <xsd:element ref="ns2:_dlc_DocIdPersistId" minOccurs="0"/>
                <xsd:element ref="ns2:n89f4025238e40c780dabfd131c95d6c" minOccurs="0"/>
                <xsd:element ref="ns2:o7ab7bf167be47b48f831b7f9bc19eab" minOccurs="0"/>
                <xsd:element ref="ns2:TaxCatchAll" minOccurs="0"/>
                <xsd:element ref="ns2:TaxCatchAllLabel" minOccurs="0"/>
                <xsd:element ref="ns2:le672e08d0154b0e9be2cdfb717573a3" minOccurs="0"/>
                <xsd:element ref="ns2:dc0300c3de6d401c95fc4ba72c0383da" minOccurs="0"/>
                <xsd:element ref="ns2:p8cb5ed276784844a1637e44c8d4b206" minOccurs="0"/>
                <xsd:element ref="ns2:c1ce4fe941f44340b53e992f6e33a346" minOccurs="0"/>
                <xsd:element ref="ns1:RatedBy" minOccurs="0"/>
                <xsd:element ref="ns2:o6dcfbb8c6264899a505fd58f54660cd" minOccurs="0"/>
                <xsd:element ref="ns1:Ratings" minOccurs="0"/>
                <xsd:element ref="ns2:Practice_x0020_Comments" minOccurs="0"/>
                <xsd:element ref="ns2:Content_x0020_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13" nillable="true" ma:displayName="Rating (0-5)" ma:decimals="2" ma:description="Average value of all the ratings that have been submitted" ma:internalName="AverageRating" ma:readOnly="true">
      <xsd:simpleType>
        <xsd:restriction base="dms:Number"/>
      </xsd:simpleType>
    </xsd:element>
    <xsd:element name="RatingCount" ma:index="14" nillable="true" ma:displayName="Number of Ratings" ma:decimals="0" ma:description="Number of ratings submitted" ma:internalName="RatingCount" ma:readOnly="true">
      <xsd:simpleType>
        <xsd:restriction base="dms:Number"/>
      </xsd:simpleType>
    </xsd:element>
    <xsd:element name="LikesCount" ma:index="15" nillable="true" ma:displayName="Number of Likes" ma:internalName="LikesCount">
      <xsd:simpleType>
        <xsd:restriction base="dms:Unknown"/>
      </xsd:simpleType>
    </xsd:element>
    <xsd:element name="LikedBy" ma:index="20" nillable="true" ma:displayName="Liked By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edBy" ma:index="37" nillable="true" ma:displayName="Rated By" ma:description="Users rated the item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User ratings" ma:description="User ratings for the item" ma:hidden="true" ma:internalName="Rating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0b2c76-4eb4-4926-991a-bb246786b55e" elementFormDefault="qualified">
    <xsd:import namespace="http://schemas.microsoft.com/office/2006/documentManagement/types"/>
    <xsd:import namespace="http://schemas.microsoft.com/office/infopath/2007/PartnerControls"/>
    <xsd:element name="kmdescription" ma:index="2" nillable="true" ma:displayName="KM Description" ma:internalName="kmdescription">
      <xsd:simpleType>
        <xsd:restriction base="dms:Note">
          <xsd:maxLength value="255"/>
        </xsd:restriction>
      </xsd:simpleType>
    </xsd:element>
    <xsd:element name="kmauthor" ma:index="3" nillable="true" ma:displayName="KM Author" ma:list="UserInfo" ma:SharePointGroup="0" ma:internalName="kmauth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mcurator" ma:index="4" nillable="true" ma:displayName="KM Curator" ma:list="UserInfo" ma:SharePointGroup="0" ma:internalName="kmcur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mcomments" ma:index="12" nillable="true" ma:displayName="KM Comments" ma:internalName="kmcomments">
      <xsd:simpleType>
        <xsd:restriction base="dms:Note">
          <xsd:maxLength value="255"/>
        </xsd:restriction>
      </xsd:simpleType>
    </xsd:element>
    <xsd:element name="MMSourceID" ma:index="16" nillable="true" ma:displayName="MM Source ID" ma:description="Used for source searches" ma:internalName="MMSourceID" ma:readOnly="false">
      <xsd:simpleType>
        <xsd:restriction base="dms:Text">
          <xsd:maxLength value="255"/>
        </xsd:restriction>
      </xsd:simpleType>
    </xsd:element>
    <xsd:element name="_dlc_DocId" ma:index="21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n89f4025238e40c780dabfd131c95d6c" ma:index="24" nillable="true" ma:taxonomy="true" ma:internalName="n89f4025238e40c780dabfd131c95d6c" ma:taxonomyFieldName="kmstatus" ma:displayName="KM Status" ma:default="" ma:fieldId="{789f4025-238e-40c7-80da-bfd131c95d6c}" ma:sspId="3bee4c5c-8f43-4f7f-9637-07f983ecca3d" ma:termSetId="a18d47af-1c32-4eec-afff-8e0c7ecbb1b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7ab7bf167be47b48f831b7f9bc19eab" ma:index="26" nillable="true" ma:taxonomy="true" ma:internalName="o7ab7bf167be47b48f831b7f9bc19eab" ma:taxonomyFieldName="kmcategory" ma:displayName="KM Category" ma:indexed="true" ma:default="" ma:fieldId="{87ab7bf1-67be-47b4-8f83-1b7f9bc19eab}" ma:sspId="3bee4c5c-8f43-4f7f-9637-07f983ecca3d" ma:termSetId="2081da62-c336-41b8-88c5-050be2b2177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7" nillable="true" ma:displayName="Taxonomy Catch All Column" ma:hidden="true" ma:list="{15cfbf67-2668-4e2a-a1bc-61863257f683}" ma:internalName="TaxCatchAll" ma:showField="CatchAllData" ma:web="c78b8a8c-922d-41af-9e7e-40c9757b9d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8" nillable="true" ma:displayName="Taxonomy Catch All Column1" ma:hidden="true" ma:list="{15cfbf67-2668-4e2a-a1bc-61863257f683}" ma:internalName="TaxCatchAllLabel" ma:readOnly="true" ma:showField="CatchAllDataLabel" ma:web="c78b8a8c-922d-41af-9e7e-40c9757b9d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e672e08d0154b0e9be2cdfb717573a3" ma:index="30" nillable="true" ma:taxonomy="true" ma:internalName="le672e08d0154b0e9be2cdfb717573a3" ma:taxonomyFieldName="kmdoctype" ma:displayName="KM Purpose" ma:default="" ma:fieldId="{5e672e08-d015-4b0e-9be2-cdfb717573a3}" ma:sspId="3bee4c5c-8f43-4f7f-9637-07f983ecca3d" ma:termSetId="3f995483-851a-497b-ac08-91c79822ab8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c0300c3de6d401c95fc4ba72c0383da" ma:index="32" nillable="true" ma:taxonomy="true" ma:internalName="dc0300c3de6d401c95fc4ba72c0383da" ma:taxonomyFieldName="kmregion" ma:displayName="KM Region" ma:default="" ma:fieldId="{dc0300c3-de6d-401c-95fc-4ba72c0383da}" ma:taxonomyMulti="true" ma:sspId="3bee4c5c-8f43-4f7f-9637-07f983ecca3d" ma:termSetId="ade0cbdc-03da-4496-91c9-90cf231b5a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8cb5ed276784844a1637e44c8d4b206" ma:index="34" nillable="true" ma:taxonomy="true" ma:internalName="p8cb5ed276784844a1637e44c8d4b206" ma:taxonomyFieldName="kmleadpractice" ma:displayName="KM Lead Practice" ma:default="" ma:fieldId="{98cb5ed2-7678-4844-a163-7e44c8d4b206}" ma:sspId="3bee4c5c-8f43-4f7f-9637-07f983ecca3d" ma:termSetId="a556cf9d-ae18-47a9-bc76-57b2cf398a4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1ce4fe941f44340b53e992f6e33a346" ma:index="36" nillable="true" ma:taxonomy="true" ma:internalName="c1ce4fe941f44340b53e992f6e33a346" ma:taxonomyFieldName="CandC_Practice" ma:displayName="Practice" ma:default="" ma:fieldId="{c1ce4fe9-41f4-4340-b53e-992f6e33a346}" ma:taxonomyMulti="true" ma:sspId="3bee4c5c-8f43-4f7f-9637-07f983ecca3d" ma:termSetId="a556cf9d-ae18-47a9-bc76-57b2cf398a4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dcfbb8c6264899a505fd58f54660cd" ma:index="38" nillable="true" ma:taxonomy="true" ma:internalName="o6dcfbb8c6264899a505fd58f54660cd" ma:taxonomyFieldName="dctopics" ma:displayName="Technical Topics" ma:default="" ma:fieldId="{86dcfbb8-c626-4899-a505-fd58f54660cd}" ma:taxonomyMulti="true" ma:sspId="3bee4c5c-8f43-4f7f-9637-07f983ecca3d" ma:termSetId="6c33b178-0c29-41a0-8497-4f595e6965f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ractice_x0020_Comments" ma:index="40" nillable="true" ma:displayName="Practice Comments" ma:default="" ma:internalName="Practice_x0020_Comments">
      <xsd:simpleType>
        <xsd:restriction base="dms:Note">
          <xsd:maxLength value="255"/>
        </xsd:restriction>
      </xsd:simpleType>
    </xsd:element>
    <xsd:element name="Content_x0020_Status" ma:index="41" nillable="true" ma:displayName="Content Status" ma:default="" ma:format="Dropdown" ma:internalName="Content_x0020_Status">
      <xsd:simpleType>
        <xsd:restriction base="dms:Choice">
          <xsd:enumeration value="Qualified"/>
          <xsd:enumeration value="Copyrighted"/>
          <xsd:enumeration value="Confidential"/>
          <xsd:enumeration value="Out of scop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3c280-e672-43f5-886c-af9cae53c7c4" elementFormDefault="qualified">
    <xsd:import namespace="http://schemas.microsoft.com/office/2006/documentManagement/types"/>
    <xsd:import namespace="http://schemas.microsoft.com/office/infopath/2007/PartnerControls"/>
    <xsd:element name="MM_CheckApproveStatus" ma:index="17" nillable="true" ma:displayName="Check &amp; approve" ma:description="Document Action Check &amp; Approve status" ma:internalName="MM_CheckApproveStatus">
      <xsd:simpleType>
        <xsd:restriction base="dms:Text">
          <xsd:maxLength value="255"/>
        </xsd:restriction>
      </xsd:simpleType>
    </xsd:element>
    <xsd:element name="MM_CheckApproveVersion" ma:index="18" nillable="true" ma:displayName="Check &amp; approve version" ma:description="Document Action Check &amp; Approve version" ma:internalName="MM_CheckApproveVersion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haredContentType xmlns="Microsoft.SharePoint.Taxonomy.ContentTypeSync" SourceId="3bee4c5c-8f43-4f7f-9637-07f983ecca3d" ContentTypeId="0x0101007BD61AFCC8A643B8924AB3F7EE18260101" PreviousValue="false"/>
</file>

<file path=customXml/itemProps1.xml><?xml version="1.0" encoding="utf-8"?>
<ds:datastoreItem xmlns:ds="http://schemas.openxmlformats.org/officeDocument/2006/customXml" ds:itemID="{31E0013D-45FB-43A4-A024-37D54F59F5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792DB6-2A6D-43E1-8307-03061B43DAB1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8F6617E1-81CC-454A-9108-AF3ED35621D5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980b2c76-4eb4-4926-991a-bb246786b55e"/>
    <ds:schemaRef ds:uri="http://purl.org/dc/elements/1.1/"/>
    <ds:schemaRef ds:uri="http://schemas.microsoft.com/office/2006/metadata/properties"/>
    <ds:schemaRef ds:uri="http://schemas.microsoft.com/office/infopath/2007/PartnerControls"/>
    <ds:schemaRef ds:uri="8043c280-e672-43f5-886c-af9cae53c7c4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846C71BA-038E-4C92-BC3F-A6AA61EE34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80b2c76-4eb4-4926-991a-bb246786b55e"/>
    <ds:schemaRef ds:uri="8043c280-e672-43f5-886c-af9cae53c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C96638E1-3930-4658-B4B6-B849A54EFC29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</vt:lpstr>
      <vt:lpstr>Upstream Traces</vt:lpstr>
      <vt:lpstr>Priority Catchments</vt:lpstr>
      <vt:lpstr>To 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Dario de Frutos</dc:creator>
  <cp:keywords/>
  <dc:description/>
  <cp:lastModifiedBy>Lottie McAlister</cp:lastModifiedBy>
  <cp:revision/>
  <dcterms:created xsi:type="dcterms:W3CDTF">2025-04-23T16:06:20Z</dcterms:created>
  <dcterms:modified xsi:type="dcterms:W3CDTF">2025-12-22T16:55:51Z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9efa9f-42fe-4312-9503-c89a219c0830_Enabled">
    <vt:lpwstr>true</vt:lpwstr>
  </property>
  <property fmtid="{D5CDD505-2E9C-101B-9397-08002B2CF9AE}" pid="3" name="MSIP_Label_f49efa9f-42fe-4312-9503-c89a219c0830_SetDate">
    <vt:lpwstr>2025-04-23T16:10:31Z</vt:lpwstr>
  </property>
  <property fmtid="{D5CDD505-2E9C-101B-9397-08002B2CF9AE}" pid="4" name="MSIP_Label_f49efa9f-42fe-4312-9503-c89a219c0830_Method">
    <vt:lpwstr>Standard</vt:lpwstr>
  </property>
  <property fmtid="{D5CDD505-2E9C-101B-9397-08002B2CF9AE}" pid="5" name="MSIP_Label_f49efa9f-42fe-4312-9503-c89a219c0830_Name">
    <vt:lpwstr>MM RESTRICTED</vt:lpwstr>
  </property>
  <property fmtid="{D5CDD505-2E9C-101B-9397-08002B2CF9AE}" pid="6" name="MSIP_Label_f49efa9f-42fe-4312-9503-c89a219c0830_SiteId">
    <vt:lpwstr>a2bed0c4-5957-4f73-b0c2-a811407590fb</vt:lpwstr>
  </property>
  <property fmtid="{D5CDD505-2E9C-101B-9397-08002B2CF9AE}" pid="7" name="MSIP_Label_f49efa9f-42fe-4312-9503-c89a219c0830_ActionId">
    <vt:lpwstr>58c75659-759f-4af4-b701-b8f7b0263cd7</vt:lpwstr>
  </property>
  <property fmtid="{D5CDD505-2E9C-101B-9397-08002B2CF9AE}" pid="8" name="MSIP_Label_f49efa9f-42fe-4312-9503-c89a219c0830_ContentBits">
    <vt:lpwstr>2</vt:lpwstr>
  </property>
  <property fmtid="{D5CDD505-2E9C-101B-9397-08002B2CF9AE}" pid="9" name="ContentTypeId">
    <vt:lpwstr>0x0101007BD61AFCC8A643B8924AB3F7EE18260101000A5D338C0A63A749874800DC5193E489</vt:lpwstr>
  </property>
  <property fmtid="{D5CDD505-2E9C-101B-9397-08002B2CF9AE}" pid="10" name="_dlc_DocIdItemGuid">
    <vt:lpwstr>a6169263-65c6-4656-b2e9-37ab2cb10c68</vt:lpwstr>
  </property>
  <property fmtid="{D5CDD505-2E9C-101B-9397-08002B2CF9AE}" pid="11" name="TaxKeyword">
    <vt:lpwstr/>
  </property>
  <property fmtid="{D5CDD505-2E9C-101B-9397-08002B2CF9AE}" pid="12" name="MediaServiceImageTags">
    <vt:lpwstr/>
  </property>
  <property fmtid="{D5CDD505-2E9C-101B-9397-08002B2CF9AE}" pid="13" name="lcf76f155ced4ddcb4097134ff3c332f">
    <vt:lpwstr/>
  </property>
  <property fmtid="{D5CDD505-2E9C-101B-9397-08002B2CF9AE}" pid="14" name="Folder_Number">
    <vt:lpwstr/>
  </property>
  <property fmtid="{D5CDD505-2E9C-101B-9397-08002B2CF9AE}" pid="15" name="Folder_Code">
    <vt:lpwstr/>
  </property>
  <property fmtid="{D5CDD505-2E9C-101B-9397-08002B2CF9AE}" pid="16" name="Folder_Name">
    <vt:lpwstr/>
  </property>
  <property fmtid="{D5CDD505-2E9C-101B-9397-08002B2CF9AE}" pid="17" name="Folder_Description">
    <vt:lpwstr/>
  </property>
  <property fmtid="{D5CDD505-2E9C-101B-9397-08002B2CF9AE}" pid="18" name="/Folder_Name/">
    <vt:lpwstr/>
  </property>
  <property fmtid="{D5CDD505-2E9C-101B-9397-08002B2CF9AE}" pid="19" name="/Folder_Description/">
    <vt:lpwstr/>
  </property>
  <property fmtid="{D5CDD505-2E9C-101B-9397-08002B2CF9AE}" pid="20" name="Folder_Version">
    <vt:lpwstr/>
  </property>
  <property fmtid="{D5CDD505-2E9C-101B-9397-08002B2CF9AE}" pid="21" name="Folder_VersionSeq">
    <vt:lpwstr/>
  </property>
  <property fmtid="{D5CDD505-2E9C-101B-9397-08002B2CF9AE}" pid="22" name="Folder_Manager">
    <vt:lpwstr/>
  </property>
  <property fmtid="{D5CDD505-2E9C-101B-9397-08002B2CF9AE}" pid="23" name="Folder_ManagerDesc">
    <vt:lpwstr/>
  </property>
  <property fmtid="{D5CDD505-2E9C-101B-9397-08002B2CF9AE}" pid="24" name="Folder_Storage">
    <vt:lpwstr/>
  </property>
  <property fmtid="{D5CDD505-2E9C-101B-9397-08002B2CF9AE}" pid="25" name="Folder_StorageDesc">
    <vt:lpwstr/>
  </property>
  <property fmtid="{D5CDD505-2E9C-101B-9397-08002B2CF9AE}" pid="26" name="Folder_Creator">
    <vt:lpwstr/>
  </property>
  <property fmtid="{D5CDD505-2E9C-101B-9397-08002B2CF9AE}" pid="27" name="Folder_CreatorDesc">
    <vt:lpwstr/>
  </property>
  <property fmtid="{D5CDD505-2E9C-101B-9397-08002B2CF9AE}" pid="28" name="Folder_CreateDate">
    <vt:lpwstr/>
  </property>
  <property fmtid="{D5CDD505-2E9C-101B-9397-08002B2CF9AE}" pid="29" name="Folder_Updater">
    <vt:lpwstr/>
  </property>
  <property fmtid="{D5CDD505-2E9C-101B-9397-08002B2CF9AE}" pid="30" name="Folder_UpdaterDesc">
    <vt:lpwstr/>
  </property>
  <property fmtid="{D5CDD505-2E9C-101B-9397-08002B2CF9AE}" pid="31" name="Folder_UpdateDate">
    <vt:lpwstr/>
  </property>
  <property fmtid="{D5CDD505-2E9C-101B-9397-08002B2CF9AE}" pid="32" name="Document_Number">
    <vt:lpwstr/>
  </property>
  <property fmtid="{D5CDD505-2E9C-101B-9397-08002B2CF9AE}" pid="33" name="Document_Name">
    <vt:lpwstr/>
  </property>
  <property fmtid="{D5CDD505-2E9C-101B-9397-08002B2CF9AE}" pid="34" name="Document_FileName">
    <vt:lpwstr/>
  </property>
  <property fmtid="{D5CDD505-2E9C-101B-9397-08002B2CF9AE}" pid="35" name="Document_Version">
    <vt:lpwstr/>
  </property>
  <property fmtid="{D5CDD505-2E9C-101B-9397-08002B2CF9AE}" pid="36" name="Document_VersionSeq">
    <vt:lpwstr/>
  </property>
  <property fmtid="{D5CDD505-2E9C-101B-9397-08002B2CF9AE}" pid="37" name="Document_Creator">
    <vt:lpwstr/>
  </property>
  <property fmtid="{D5CDD505-2E9C-101B-9397-08002B2CF9AE}" pid="38" name="Document_CreatorDesc">
    <vt:lpwstr/>
  </property>
  <property fmtid="{D5CDD505-2E9C-101B-9397-08002B2CF9AE}" pid="39" name="Document_CreateDate">
    <vt:lpwstr/>
  </property>
  <property fmtid="{D5CDD505-2E9C-101B-9397-08002B2CF9AE}" pid="40" name="Document_Updater">
    <vt:lpwstr/>
  </property>
  <property fmtid="{D5CDD505-2E9C-101B-9397-08002B2CF9AE}" pid="41" name="Document_UpdaterDesc">
    <vt:lpwstr/>
  </property>
  <property fmtid="{D5CDD505-2E9C-101B-9397-08002B2CF9AE}" pid="42" name="Document_UpdateDate">
    <vt:lpwstr/>
  </property>
  <property fmtid="{D5CDD505-2E9C-101B-9397-08002B2CF9AE}" pid="43" name="Document_Size">
    <vt:lpwstr/>
  </property>
  <property fmtid="{D5CDD505-2E9C-101B-9397-08002B2CF9AE}" pid="44" name="Document_Storage">
    <vt:lpwstr/>
  </property>
  <property fmtid="{D5CDD505-2E9C-101B-9397-08002B2CF9AE}" pid="45" name="Document_StorageDesc">
    <vt:lpwstr/>
  </property>
  <property fmtid="{D5CDD505-2E9C-101B-9397-08002B2CF9AE}" pid="46" name="Document_Department">
    <vt:lpwstr/>
  </property>
  <property fmtid="{D5CDD505-2E9C-101B-9397-08002B2CF9AE}" pid="47" name="Document_DepartmentDesc">
    <vt:lpwstr/>
  </property>
  <property fmtid="{D5CDD505-2E9C-101B-9397-08002B2CF9AE}" pid="48" name="kmleadpractice">
    <vt:lpwstr/>
  </property>
  <property fmtid="{D5CDD505-2E9C-101B-9397-08002B2CF9AE}" pid="49" name="dctopics">
    <vt:lpwstr/>
  </property>
  <property fmtid="{D5CDD505-2E9C-101B-9397-08002B2CF9AE}" pid="50" name="kmcategory">
    <vt:lpwstr/>
  </property>
  <property fmtid="{D5CDD505-2E9C-101B-9397-08002B2CF9AE}" pid="51" name="TaxKeywordTaxHTField">
    <vt:lpwstr/>
  </property>
  <property fmtid="{D5CDD505-2E9C-101B-9397-08002B2CF9AE}" pid="52" name="kmregion">
    <vt:lpwstr/>
  </property>
  <property fmtid="{D5CDD505-2E9C-101B-9397-08002B2CF9AE}" pid="53" name="ae9bb53e23dd4ea8b7168af87e1050c3">
    <vt:lpwstr/>
  </property>
  <property fmtid="{D5CDD505-2E9C-101B-9397-08002B2CF9AE}" pid="54" name="Our_Purpose">
    <vt:lpwstr/>
  </property>
  <property fmtid="{D5CDD505-2E9C-101B-9397-08002B2CF9AE}" pid="55" name="CandC_Practice">
    <vt:lpwstr/>
  </property>
  <property fmtid="{D5CDD505-2E9C-101B-9397-08002B2CF9AE}" pid="56" name="kmdoctype">
    <vt:lpwstr/>
  </property>
  <property fmtid="{D5CDD505-2E9C-101B-9397-08002B2CF9AE}" pid="57" name="kmstatus">
    <vt:lpwstr/>
  </property>
</Properties>
</file>