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InvestigacionUSFQ\SSWCompleteAnalysis\SingleSolitaryWaveAnalysis\SSW_Final_Graphs\"/>
    </mc:Choice>
  </mc:AlternateContent>
  <xr:revisionPtr revIDLastSave="0" documentId="13_ncr:1_{F8DF8109-6609-4A53-B691-16C6A9534C10}" xr6:coauthVersionLast="47" xr6:coauthVersionMax="47" xr10:uidLastSave="{00000000-0000-0000-0000-000000000000}"/>
  <bookViews>
    <workbookView xWindow="-98" yWindow="-98" windowWidth="21795" windowHeight="12975" xr2:uid="{D9A3E990-EDC7-4BED-972E-B7F4291697EA}"/>
  </bookViews>
  <sheets>
    <sheet name="Table Stagell" sheetId="1" r:id="rId1"/>
    <sheet name="SSW_CalibrationCurve" sheetId="2" r:id="rId2"/>
    <sheet name="SawBown_Calib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K38" i="2"/>
  <c r="O38" i="2"/>
  <c r="O37" i="2"/>
  <c r="O39" i="2" s="1"/>
  <c r="M38" i="2"/>
  <c r="M37" i="2"/>
  <c r="M39" i="2" s="1"/>
  <c r="K37" i="2"/>
  <c r="I38" i="2"/>
  <c r="I37" i="2"/>
  <c r="I39" i="2" s="1"/>
  <c r="G38" i="2"/>
  <c r="G37" i="2"/>
  <c r="G39" i="2" s="1"/>
  <c r="E38" i="2"/>
  <c r="E37" i="2"/>
  <c r="E39" i="2" s="1"/>
  <c r="C39" i="2"/>
  <c r="C38" i="2"/>
  <c r="C37" i="2"/>
  <c r="D11" i="2"/>
  <c r="G11" i="2"/>
  <c r="D17" i="2" s="1"/>
  <c r="J10" i="1"/>
  <c r="Z34" i="3"/>
  <c r="L4" i="1"/>
  <c r="V35" i="3"/>
  <c r="W35" i="3"/>
  <c r="X35" i="3"/>
  <c r="Y35" i="3"/>
  <c r="U34" i="3"/>
  <c r="V34" i="3"/>
  <c r="W34" i="3"/>
  <c r="X34" i="3"/>
  <c r="Y34" i="3"/>
  <c r="T34" i="3"/>
  <c r="U33" i="3"/>
  <c r="U35" i="3" s="1"/>
  <c r="V33" i="3"/>
  <c r="W33" i="3"/>
  <c r="X33" i="3"/>
  <c r="Y33" i="3"/>
  <c r="Z33" i="3"/>
  <c r="Z35" i="3" s="1"/>
  <c r="T33" i="3"/>
  <c r="T35" i="3" s="1"/>
  <c r="K39" i="2" l="1"/>
  <c r="G12" i="3" a="1"/>
  <c r="G12" i="3" s="1"/>
  <c r="H12" i="3" s="1"/>
  <c r="L10" i="1"/>
  <c r="L9" i="1"/>
  <c r="L8" i="1"/>
  <c r="L7" i="1"/>
  <c r="L6" i="1"/>
  <c r="L5" i="1"/>
  <c r="P14" i="3" a="1"/>
  <c r="P14" i="3" s="1"/>
  <c r="P7" i="3" a="1"/>
  <c r="P7" i="3" s="1"/>
  <c r="P6" i="3" a="1"/>
  <c r="P6" i="3" s="1"/>
  <c r="J5" i="1"/>
  <c r="J6" i="1"/>
  <c r="J7" i="1"/>
  <c r="J8" i="1"/>
  <c r="J9" i="1"/>
  <c r="Y21" i="3" a="1"/>
  <c r="Y21" i="3" s="1"/>
  <c r="G14" i="2"/>
  <c r="P28" i="3" a="1"/>
  <c r="P28" i="3" s="1"/>
  <c r="G28" i="3" a="1"/>
  <c r="G28" i="3" s="1"/>
  <c r="P27" i="3" a="1"/>
  <c r="P27" i="3" s="1"/>
  <c r="G27" i="3" a="1"/>
  <c r="G27" i="3" s="1"/>
  <c r="P26" i="3" a="1"/>
  <c r="P26" i="3" s="1"/>
  <c r="G26" i="3" a="1"/>
  <c r="G26" i="3" s="1"/>
  <c r="P25" i="3" a="1"/>
  <c r="P25" i="3" s="1"/>
  <c r="G25" i="3" a="1"/>
  <c r="G25" i="3" s="1"/>
  <c r="Z24" i="3"/>
  <c r="Y24" i="3"/>
  <c r="X24" i="3"/>
  <c r="W24" i="3"/>
  <c r="V24" i="3"/>
  <c r="U24" i="3"/>
  <c r="T24" i="3"/>
  <c r="P24" i="3" a="1"/>
  <c r="P24" i="3" s="1"/>
  <c r="G24" i="3" a="1"/>
  <c r="G24" i="3" s="1"/>
  <c r="P23" i="3" a="1"/>
  <c r="P23" i="3" s="1"/>
  <c r="G23" i="3" a="1"/>
  <c r="G23" i="3" s="1"/>
  <c r="P22" i="3" a="1"/>
  <c r="P22" i="3" s="1"/>
  <c r="G22" i="3" a="1"/>
  <c r="G22" i="3" s="1"/>
  <c r="Z21" i="3" a="1"/>
  <c r="Z21" i="3" s="1"/>
  <c r="X21" i="3"/>
  <c r="X21" i="3" a="1"/>
  <c r="W21" i="3" a="1"/>
  <c r="W21" i="3" s="1"/>
  <c r="V21" i="3" a="1"/>
  <c r="V21" i="3" s="1"/>
  <c r="U21" i="3" a="1"/>
  <c r="U21" i="3" s="1"/>
  <c r="T21" i="3" a="1"/>
  <c r="T21" i="3" s="1"/>
  <c r="P20" i="3" a="1"/>
  <c r="P20" i="3" s="1"/>
  <c r="G20" i="3" a="1"/>
  <c r="G20" i="3" s="1"/>
  <c r="H20" i="3" s="1"/>
  <c r="P19" i="3" a="1"/>
  <c r="P19" i="3" s="1"/>
  <c r="G19" i="3" a="1"/>
  <c r="G19" i="3" s="1"/>
  <c r="P18" i="3" a="1"/>
  <c r="P18" i="3" s="1"/>
  <c r="G18" i="3" a="1"/>
  <c r="G18" i="3" s="1"/>
  <c r="P17" i="3"/>
  <c r="Q17" i="3" s="1"/>
  <c r="P17" i="3" a="1"/>
  <c r="G17" i="3" a="1"/>
  <c r="G17" i="3" s="1"/>
  <c r="P16" i="3" a="1"/>
  <c r="P16" i="3" s="1"/>
  <c r="G16" i="3" a="1"/>
  <c r="G16" i="3" s="1"/>
  <c r="P15" i="3" a="1"/>
  <c r="P15" i="3" s="1"/>
  <c r="G15" i="3"/>
  <c r="H15" i="3" s="1"/>
  <c r="G15" i="3" a="1"/>
  <c r="G14" i="3" a="1"/>
  <c r="G14" i="3" s="1"/>
  <c r="P12" i="3" a="1"/>
  <c r="P12" i="3" s="1"/>
  <c r="P11" i="3" a="1"/>
  <c r="P11" i="3" s="1"/>
  <c r="G11" i="3" a="1"/>
  <c r="G11" i="3" s="1"/>
  <c r="P10" i="3" a="1"/>
  <c r="P10" i="3" s="1"/>
  <c r="G10" i="3" a="1"/>
  <c r="G10" i="3" s="1"/>
  <c r="P9" i="3" a="1"/>
  <c r="P9" i="3" s="1"/>
  <c r="G9" i="3" a="1"/>
  <c r="G9" i="3" s="1"/>
  <c r="P8" i="3" a="1"/>
  <c r="P8" i="3" s="1"/>
  <c r="G8" i="3" a="1"/>
  <c r="G8" i="3" s="1"/>
  <c r="G7" i="3" a="1"/>
  <c r="G7" i="3" s="1"/>
  <c r="G6" i="3" a="1"/>
  <c r="G6" i="3" s="1"/>
  <c r="H6" i="2"/>
  <c r="G6" i="2"/>
  <c r="F6" i="2"/>
  <c r="E6" i="2"/>
  <c r="D6" i="2"/>
  <c r="C6" i="2"/>
  <c r="B14" i="2" l="1"/>
  <c r="H14" i="2"/>
  <c r="C14" i="2"/>
  <c r="D14" i="2"/>
  <c r="E14" i="2"/>
  <c r="F14" i="2"/>
  <c r="R28" i="3"/>
  <c r="Q28" i="3"/>
  <c r="Q22" i="3"/>
  <c r="R22" i="3"/>
  <c r="R7" i="3"/>
  <c r="Q7" i="3"/>
  <c r="I24" i="3"/>
  <c r="H24" i="3"/>
  <c r="R19" i="3"/>
  <c r="Q19" i="3"/>
  <c r="R11" i="3"/>
  <c r="Q11" i="3"/>
  <c r="R6" i="3"/>
  <c r="Q6" i="3"/>
  <c r="I17" i="3"/>
  <c r="H17" i="3"/>
  <c r="Q8" i="3"/>
  <c r="R8" i="3"/>
  <c r="I9" i="3"/>
  <c r="H9" i="3"/>
  <c r="H19" i="3"/>
  <c r="I19" i="3"/>
  <c r="R25" i="3"/>
  <c r="Q25" i="3"/>
  <c r="R14" i="3"/>
  <c r="Q14" i="3"/>
  <c r="I26" i="3"/>
  <c r="H26" i="3"/>
  <c r="Q16" i="3"/>
  <c r="R16" i="3"/>
  <c r="H7" i="3"/>
  <c r="I7" i="3"/>
  <c r="I8" i="3"/>
  <c r="H8" i="3"/>
  <c r="I18" i="3"/>
  <c r="H18" i="3"/>
  <c r="H11" i="3"/>
  <c r="I11" i="3"/>
  <c r="R20" i="3"/>
  <c r="Q20" i="3"/>
  <c r="I22" i="3"/>
  <c r="H22" i="3"/>
  <c r="R18" i="3"/>
  <c r="Q18" i="3"/>
  <c r="Q9" i="3"/>
  <c r="R9" i="3"/>
  <c r="I10" i="3"/>
  <c r="H10" i="3"/>
  <c r="R10" i="3"/>
  <c r="Q10" i="3"/>
  <c r="R12" i="3"/>
  <c r="Q12" i="3"/>
  <c r="H14" i="3"/>
  <c r="I14" i="3"/>
  <c r="I27" i="3"/>
  <c r="H27" i="3"/>
  <c r="R15" i="3"/>
  <c r="Q15" i="3"/>
  <c r="R27" i="3"/>
  <c r="Q27" i="3"/>
  <c r="I23" i="3"/>
  <c r="H23" i="3"/>
  <c r="R23" i="3"/>
  <c r="Q23" i="3"/>
  <c r="R24" i="3"/>
  <c r="Q24" i="3"/>
  <c r="I25" i="3"/>
  <c r="H25" i="3"/>
  <c r="R26" i="3"/>
  <c r="Q26" i="3"/>
  <c r="H6" i="3"/>
  <c r="I6" i="3"/>
  <c r="I16" i="3"/>
  <c r="H16" i="3"/>
  <c r="I28" i="3"/>
  <c r="H28" i="3"/>
  <c r="H33" i="3" s="1"/>
  <c r="I12" i="3"/>
  <c r="I15" i="3"/>
  <c r="R17" i="3"/>
  <c r="I20" i="3"/>
  <c r="Q33" i="2" l="1"/>
  <c r="Q34" i="2"/>
  <c r="Q35" i="2"/>
  <c r="Q36" i="2"/>
  <c r="Q32" i="2"/>
  <c r="Q13" i="3" a="1"/>
  <c r="Q13" i="3" s="1"/>
  <c r="H13" i="3" a="1"/>
  <c r="H13" i="3" s="1"/>
  <c r="H21" i="3" a="1"/>
  <c r="H21" i="3" s="1"/>
  <c r="Q21" i="3" a="1"/>
  <c r="Q21" i="3" s="1"/>
  <c r="Q29" i="3" a="1"/>
  <c r="Q29" i="3" s="1"/>
  <c r="H29" i="3" a="1"/>
  <c r="H2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<sst xmlns="http://schemas.openxmlformats.org/spreadsheetml/2006/main" count="135" uniqueCount="64">
  <si>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Manufacture ID</t>
  </si>
  <si>
    <t>Young Modulus</t>
  </si>
  <si>
    <t>(MPa)</t>
  </si>
  <si>
    <t>Poisson Ratio</t>
  </si>
  <si>
    <t>(-)</t>
  </si>
  <si>
    <t>PCF 05</t>
  </si>
  <si>
    <t>PCF 08</t>
  </si>
  <si>
    <t>PCF 10</t>
  </si>
  <si>
    <t>PCF 12</t>
  </si>
  <si>
    <t>PCF 20</t>
  </si>
  <si>
    <t>PCF 30</t>
  </si>
  <si>
    <t>TOF Experimental  (s)</t>
  </si>
  <si>
    <t>Meassured Young Modulus (MPa)</t>
  </si>
  <si>
    <t>PCF 15</t>
  </si>
  <si>
    <t>Archivo: SSW_GroupSimulationModel.m</t>
  </si>
  <si>
    <t>V0</t>
  </si>
  <si>
    <r>
      <t xml:space="preserve">Datos Curva Calibración de Matlab -&gt; </t>
    </r>
    <r>
      <rPr>
        <b/>
        <sz val="11"/>
        <color rgb="FFFF0000"/>
        <rFont val="Calibri"/>
        <family val="2"/>
        <scheme val="minor"/>
      </rPr>
      <t>V0=0.26</t>
    </r>
  </si>
  <si>
    <t>Mpa</t>
  </si>
  <si>
    <t>LOG</t>
  </si>
  <si>
    <t>Mod. Poisson</t>
  </si>
  <si>
    <t>TOF</t>
  </si>
  <si>
    <t>Interpolación para Poisson Dado</t>
  </si>
  <si>
    <t>Interpolación para Módulo de Elasticidad</t>
  </si>
  <si>
    <t>Mod. Elasticidad</t>
  </si>
  <si>
    <t>PCF</t>
  </si>
  <si>
    <t>Mod E</t>
  </si>
  <si>
    <t>Mod E Num</t>
  </si>
  <si>
    <t>PCF05</t>
  </si>
  <si>
    <t>PCF08</t>
  </si>
  <si>
    <t>PCF10</t>
  </si>
  <si>
    <t>PCF12</t>
  </si>
  <si>
    <t>PCF15</t>
  </si>
  <si>
    <t>PCF20</t>
  </si>
  <si>
    <t>PCF30</t>
  </si>
  <si>
    <t>Poisson</t>
  </si>
  <si>
    <t>TEST #1 - Int = 0.0023 y V0 = 0.22</t>
  </si>
  <si>
    <t>TEST #2 - Int = 0.0024 y V0 = 0.26</t>
  </si>
  <si>
    <t>Valores de TOF Saw Bones</t>
  </si>
  <si>
    <t>Denominación</t>
  </si>
  <si>
    <t>Mod_E</t>
  </si>
  <si>
    <t>k_factor</t>
  </si>
  <si>
    <t>TOF_NUM</t>
  </si>
  <si>
    <t>TOF_EXP</t>
  </si>
  <si>
    <t>Diff</t>
  </si>
  <si>
    <t>[Mpa]</t>
  </si>
  <si>
    <t>PCF_05</t>
  </si>
  <si>
    <t>PCF_08</t>
  </si>
  <si>
    <t>PCF_10</t>
  </si>
  <si>
    <t>PCF_12</t>
  </si>
  <si>
    <t>PCF_15</t>
  </si>
  <si>
    <t>PCF_20</t>
  </si>
  <si>
    <t>PCF_30</t>
  </si>
  <si>
    <t>Error Total:</t>
  </si>
  <si>
    <t>Error Real:</t>
  </si>
  <si>
    <t>TOF Simulation (s)</t>
  </si>
  <si>
    <t>Valores de TOF Saw Bones para desviacion</t>
  </si>
  <si>
    <t>Desvest</t>
  </si>
  <si>
    <t>Media</t>
  </si>
  <si>
    <t>COV</t>
  </si>
  <si>
    <t>STDV</t>
  </si>
  <si>
    <t>COV TOF Experimental</t>
  </si>
  <si>
    <t>COV Mod E Experimental</t>
  </si>
  <si>
    <t>Tof Percentual Difference (%)</t>
  </si>
  <si>
    <t>Mod E Percentual Difference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</si>
</sst>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"/>
    <numFmt numFmtId="165" formatCode="0.000000"/>
    <numFmt numFmtId="166" formatCode="0.0000000"/>
    <numFmt numFmtId="167" formatCode="0.0%"/>
    <numFmt numFmtId="168" formatCode="0.000%"/>
    <numFmt numFmtId="169" formatCode="0.0000"/>
    <numFmt numFmtId="170" formatCode="0.000"/>
    <numFmt numFmtId="171" formatCode="0.000000000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112">
    <xf numFmtId="0" fontId="0" fillId="0" borderId="0" xfId="0"/>
    <xf numFmtId="0" fontId="2" fillId="2" borderId="0" xfId="2" applyFill="1"/>
    <xf numFmtId="0" fontId="3" fillId="2" borderId="0" xfId="2" applyFont="1" applyFill="1"/>
    <xf numFmtId="0" fontId="2" fillId="2" borderId="5" xfId="2" applyFill="1" applyBorder="1"/>
    <xf numFmtId="2" fontId="2" fillId="2" borderId="5" xfId="2" applyNumberFormat="1" applyFill="1" applyBorder="1"/>
    <xf numFmtId="165" fontId="2" fillId="2" borderId="5" xfId="2" applyNumberFormat="1" applyFill="1" applyBorder="1"/>
    <xf numFmtId="0" fontId="2" fillId="2" borderId="6" xfId="2" applyFill="1" applyBorder="1"/>
    <xf numFmtId="165" fontId="2" fillId="2" borderId="6" xfId="2" applyNumberFormat="1" applyFill="1" applyBorder="1"/>
    <xf numFmtId="0" fontId="4" fillId="2" borderId="0" xfId="2" applyFont="1" applyFill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/>
    <xf numFmtId="0" fontId="2" fillId="2" borderId="5" xfId="2" applyFill="1" applyBorder="1" applyAlignment="1">
      <alignment horizontal="center"/>
    </xf>
    <xf numFmtId="0" fontId="0" fillId="2" borderId="0" xfId="0" applyFill="1"/>
    <xf numFmtId="0" fontId="4" fillId="5" borderId="14" xfId="0" applyFont="1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 applyAlignment="1">
      <alignment horizontal="center"/>
    </xf>
    <xf numFmtId="0" fontId="0" fillId="2" borderId="19" xfId="0" applyFill="1" applyBorder="1"/>
    <xf numFmtId="0" fontId="0" fillId="2" borderId="20" xfId="0" applyFill="1" applyBorder="1"/>
    <xf numFmtId="0" fontId="0" fillId="2" borderId="0" xfId="0" applyFill="1" applyAlignment="1">
      <alignment horizontal="left" vertical="top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6" fontId="0" fillId="2" borderId="9" xfId="0" applyNumberFormat="1" applyFill="1" applyBorder="1" applyAlignment="1">
      <alignment horizontal="center"/>
    </xf>
    <xf numFmtId="10" fontId="0" fillId="2" borderId="21" xfId="1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7" fontId="0" fillId="2" borderId="21" xfId="1" applyNumberFormat="1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166" fontId="0" fillId="2" borderId="5" xfId="0" applyNumberFormat="1" applyFill="1" applyBorder="1" applyAlignment="1">
      <alignment horizontal="center"/>
    </xf>
    <xf numFmtId="10" fontId="0" fillId="2" borderId="7" xfId="1" applyNumberFormat="1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167" fontId="0" fillId="2" borderId="7" xfId="1" applyNumberFormat="1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6" fontId="0" fillId="2" borderId="12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4" xfId="0" applyFill="1" applyBorder="1"/>
    <xf numFmtId="0" fontId="4" fillId="2" borderId="0" xfId="0" applyFont="1" applyFill="1"/>
    <xf numFmtId="10" fontId="0" fillId="2" borderId="0" xfId="0" applyNumberFormat="1" applyFill="1"/>
    <xf numFmtId="0" fontId="0" fillId="2" borderId="25" xfId="0" applyFill="1" applyBorder="1"/>
    <xf numFmtId="168" fontId="0" fillId="2" borderId="0" xfId="0" applyNumberFormat="1" applyFill="1"/>
    <xf numFmtId="10" fontId="0" fillId="3" borderId="21" xfId="1" applyNumberFormat="1" applyFont="1" applyFill="1" applyBorder="1" applyAlignment="1">
      <alignment horizontal="center"/>
    </xf>
    <xf numFmtId="10" fontId="0" fillId="3" borderId="7" xfId="1" applyNumberFormat="1" applyFont="1" applyFill="1" applyBorder="1" applyAlignment="1">
      <alignment horizontal="center"/>
    </xf>
    <xf numFmtId="0" fontId="4" fillId="2" borderId="5" xfId="0" applyFont="1" applyFill="1" applyBorder="1"/>
    <xf numFmtId="0" fontId="0" fillId="2" borderId="27" xfId="0" applyFill="1" applyBorder="1"/>
    <xf numFmtId="0" fontId="0" fillId="2" borderId="28" xfId="0" applyFill="1" applyBorder="1"/>
    <xf numFmtId="0" fontId="4" fillId="2" borderId="28" xfId="0" applyFont="1" applyFill="1" applyBorder="1"/>
    <xf numFmtId="10" fontId="0" fillId="2" borderId="28" xfId="0" applyNumberFormat="1" applyFill="1" applyBorder="1"/>
    <xf numFmtId="0" fontId="0" fillId="2" borderId="4" xfId="0" applyFill="1" applyBorder="1"/>
    <xf numFmtId="168" fontId="0" fillId="2" borderId="28" xfId="0" applyNumberFormat="1" applyFill="1" applyBorder="1"/>
    <xf numFmtId="168" fontId="0" fillId="2" borderId="0" xfId="1" applyNumberFormat="1" applyFont="1" applyFill="1"/>
    <xf numFmtId="164" fontId="1" fillId="2" borderId="4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9" fontId="1" fillId="2" borderId="4" xfId="1" applyFont="1" applyFill="1" applyBorder="1" applyAlignment="1">
      <alignment horizontal="center" vertical="center" wrapText="1"/>
    </xf>
    <xf numFmtId="2" fontId="5" fillId="2" borderId="5" xfId="2" applyNumberFormat="1" applyFont="1" applyFill="1" applyBorder="1"/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167" fontId="7" fillId="2" borderId="21" xfId="1" applyNumberFormat="1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7" fontId="7" fillId="2" borderId="7" xfId="1" applyNumberFormat="1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164" fontId="0" fillId="2" borderId="5" xfId="0" applyNumberFormat="1" applyFill="1" applyBorder="1"/>
    <xf numFmtId="164" fontId="0" fillId="3" borderId="5" xfId="0" applyNumberFormat="1" applyFill="1" applyBorder="1"/>
    <xf numFmtId="164" fontId="0" fillId="2" borderId="26" xfId="0" applyNumberFormat="1" applyFill="1" applyBorder="1"/>
    <xf numFmtId="164" fontId="0" fillId="2" borderId="9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0" xfId="0" applyNumberFormat="1" applyFill="1"/>
    <xf numFmtId="164" fontId="4" fillId="2" borderId="0" xfId="0" applyNumberFormat="1" applyFont="1" applyFill="1"/>
    <xf numFmtId="164" fontId="7" fillId="2" borderId="9" xfId="0" applyNumberFormat="1" applyFont="1" applyFill="1" applyBorder="1" applyAlignment="1">
      <alignment horizontal="center"/>
    </xf>
    <xf numFmtId="164" fontId="7" fillId="2" borderId="5" xfId="0" applyNumberFormat="1" applyFont="1" applyFill="1" applyBorder="1" applyAlignment="1">
      <alignment horizontal="center"/>
    </xf>
    <xf numFmtId="164" fontId="7" fillId="2" borderId="12" xfId="0" applyNumberFormat="1" applyFont="1" applyFill="1" applyBorder="1" applyAlignment="1">
      <alignment horizontal="center"/>
    </xf>
    <xf numFmtId="170" fontId="1" fillId="2" borderId="4" xfId="0" applyNumberFormat="1" applyFont="1" applyFill="1" applyBorder="1" applyAlignment="1">
      <alignment horizontal="center" vertical="center" wrapText="1"/>
    </xf>
    <xf numFmtId="169" fontId="7" fillId="2" borderId="5" xfId="2" applyNumberFormat="1" applyFont="1" applyFill="1" applyBorder="1" applyAlignment="1">
      <alignment horizontal="center"/>
    </xf>
    <xf numFmtId="165" fontId="7" fillId="2" borderId="9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165" fontId="7" fillId="2" borderId="12" xfId="0" applyNumberFormat="1" applyFont="1" applyFill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0" fontId="1" fillId="2" borderId="4" xfId="1" applyNumberFormat="1" applyFont="1" applyFill="1" applyBorder="1" applyAlignment="1">
      <alignment horizontal="center" vertical="center" wrapText="1"/>
    </xf>
    <xf numFmtId="11" fontId="1" fillId="2" borderId="4" xfId="0" applyNumberFormat="1" applyFont="1" applyFill="1" applyBorder="1" applyAlignment="1">
      <alignment horizontal="center" vertical="center" wrapText="1"/>
    </xf>
    <xf numFmtId="168" fontId="0" fillId="2" borderId="5" xfId="1" applyNumberFormat="1" applyFont="1" applyFill="1" applyBorder="1"/>
    <xf numFmtId="171" fontId="2" fillId="2" borderId="0" xfId="2" applyNumberFormat="1" applyFill="1"/>
    <xf numFmtId="170" fontId="0" fillId="2" borderId="5" xfId="0" applyNumberFormat="1" applyFill="1" applyBorder="1"/>
    <xf numFmtId="170" fontId="2" fillId="2" borderId="5" xfId="2" applyNumberFormat="1" applyFill="1" applyBorder="1"/>
    <xf numFmtId="170" fontId="4" fillId="2" borderId="5" xfId="0" applyNumberFormat="1" applyFont="1" applyFill="1" applyBorder="1"/>
    <xf numFmtId="170" fontId="2" fillId="2" borderId="0" xfId="2" applyNumberFormat="1" applyFill="1"/>
    <xf numFmtId="10" fontId="0" fillId="2" borderId="5" xfId="1" applyNumberFormat="1" applyFont="1" applyFill="1" applyBorder="1"/>
    <xf numFmtId="10" fontId="2" fillId="2" borderId="0" xfId="1" applyNumberForma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4" fillId="2" borderId="5" xfId="2" applyFont="1" applyFill="1" applyBorder="1" applyAlignment="1">
      <alignment horizontal="center"/>
    </xf>
    <xf numFmtId="0" fontId="4" fillId="3" borderId="5" xfId="2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 2" xfId="2" xr:uid="{05C16E2F-6038-4124-941E-DE1CE6905030}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186804536378012E-2"/>
          <c:y val="3.3638115042353443E-2"/>
          <c:w val="0.85355634143970049"/>
          <c:h val="0.8954213396638163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SSW_CalibrationCurve!$B$7</c:f>
              <c:strCache>
                <c:ptCount val="1"/>
                <c:pt idx="0">
                  <c:v>0.1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SSW_CalibrationCurve!$C$7:$H$7</c:f>
              <c:numCache>
                <c:formatCode>General</c:formatCode>
                <c:ptCount val="6"/>
                <c:pt idx="0">
                  <c:v>2.1867939205959799E-3</c:v>
                </c:pt>
                <c:pt idx="1">
                  <c:v>1.5349548257569E-3</c:v>
                </c:pt>
                <c:pt idx="2">
                  <c:v>1.2459906107288501E-3</c:v>
                </c:pt>
                <c:pt idx="3">
                  <c:v>1.13030798522664E-3</c:v>
                </c:pt>
                <c:pt idx="4">
                  <c:v>1.06244287429404E-3</c:v>
                </c:pt>
                <c:pt idx="5" formatCode="0.000000">
                  <c:v>9.978169398421491E-4</c:v>
                </c:pt>
              </c:numCache>
            </c:numRef>
          </c:xVal>
          <c:yVal>
            <c:numRef>
              <c:f>SSW_CalibrationCurve!$C$5:$H$5</c:f>
              <c:numCache>
                <c:formatCode>0.00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300</c:v>
                </c:pt>
                <c:pt idx="3">
                  <c:v>500</c:v>
                </c:pt>
                <c:pt idx="4">
                  <c:v>700</c:v>
                </c:pt>
                <c:pt idx="5" formatCode="General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21-4CE6-B8F5-686160A77994}"/>
            </c:ext>
          </c:extLst>
        </c:ser>
        <c:ser>
          <c:idx val="1"/>
          <c:order val="1"/>
          <c:tx>
            <c:strRef>
              <c:f>SSW_CalibrationCurve!$B$8</c:f>
              <c:strCache>
                <c:ptCount val="1"/>
                <c:pt idx="0">
                  <c:v>0.3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SSW_CalibrationCurve!$C$8:$H$8</c:f>
              <c:numCache>
                <c:formatCode>General</c:formatCode>
                <c:ptCount val="6"/>
                <c:pt idx="0">
                  <c:v>2.15971893357225E-3</c:v>
                </c:pt>
                <c:pt idx="1">
                  <c:v>1.5245798642394099E-3</c:v>
                </c:pt>
                <c:pt idx="2">
                  <c:v>1.2349915672320801E-3</c:v>
                </c:pt>
                <c:pt idx="3">
                  <c:v>1.1210804794715E-3</c:v>
                </c:pt>
                <c:pt idx="4">
                  <c:v>1.0543159670394599E-3</c:v>
                </c:pt>
                <c:pt idx="5" formatCode="0.000000">
                  <c:v>9.8983598711006393E-4</c:v>
                </c:pt>
              </c:numCache>
            </c:numRef>
          </c:xVal>
          <c:yVal>
            <c:numRef>
              <c:f>SSW_CalibrationCurve!$C$5:$H$5</c:f>
              <c:numCache>
                <c:formatCode>0.00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300</c:v>
                </c:pt>
                <c:pt idx="3">
                  <c:v>500</c:v>
                </c:pt>
                <c:pt idx="4">
                  <c:v>700</c:v>
                </c:pt>
                <c:pt idx="5" formatCode="General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21-4CE6-B8F5-686160A77994}"/>
            </c:ext>
          </c:extLst>
        </c:ser>
        <c:ser>
          <c:idx val="2"/>
          <c:order val="2"/>
          <c:tx>
            <c:strRef>
              <c:f>SSW_CalibrationCurve!$B$9</c:f>
              <c:strCache>
                <c:ptCount val="1"/>
                <c:pt idx="0">
                  <c:v>0.5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SSW_CalibrationCurve!$C$9:$H$9</c:f>
              <c:numCache>
                <c:formatCode>General</c:formatCode>
                <c:ptCount val="6"/>
                <c:pt idx="0">
                  <c:v>2.14970508462505E-3</c:v>
                </c:pt>
                <c:pt idx="1">
                  <c:v>1.4839440203368701E-3</c:v>
                </c:pt>
                <c:pt idx="2">
                  <c:v>1.19766476738336E-3</c:v>
                </c:pt>
                <c:pt idx="3">
                  <c:v>1.0891446262729801E-3</c:v>
                </c:pt>
                <c:pt idx="4">
                  <c:v>1.02655644409088E-3</c:v>
                </c:pt>
                <c:pt idx="5" formatCode="0.000000">
                  <c:v>9.6648717426287402E-4</c:v>
                </c:pt>
              </c:numCache>
            </c:numRef>
          </c:xVal>
          <c:yVal>
            <c:numRef>
              <c:f>SSW_CalibrationCurve!$C$5:$H$5</c:f>
              <c:numCache>
                <c:formatCode>0.00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300</c:v>
                </c:pt>
                <c:pt idx="3">
                  <c:v>500</c:v>
                </c:pt>
                <c:pt idx="4">
                  <c:v>700</c:v>
                </c:pt>
                <c:pt idx="5" formatCode="General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21-4CE6-B8F5-686160A77994}"/>
            </c:ext>
          </c:extLst>
        </c:ser>
        <c:ser>
          <c:idx val="3"/>
          <c:order val="3"/>
          <c:tx>
            <c:strRef>
              <c:f>SSW_CalibrationCurve!$B$21</c:f>
              <c:strCache>
                <c:ptCount val="1"/>
                <c:pt idx="0">
                  <c:v>PCF05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718982797485487E-2"/>
                  <c:y val="-1.5190079323311867E-2"/>
                </c:manualLayout>
              </c:layout>
              <c:tx>
                <c:rich>
                  <a:bodyPr/>
                  <a:lstStyle/>
                  <a:p>
                    <a:fld id="{29EE5D99-AE4E-4022-9EBE-4A54A19D8080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5D21-4CE6-B8F5-686160A779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SSW_CalibrationCurve!$E$21</c:f>
              <c:numCache>
                <c:formatCode>General</c:formatCode>
                <c:ptCount val="1"/>
                <c:pt idx="0">
                  <c:v>1.9726947791944799E-3</c:v>
                </c:pt>
              </c:numCache>
            </c:numRef>
          </c:xVal>
          <c:yVal>
            <c:numRef>
              <c:f>SSW_CalibrationCurve!$C$21</c:f>
              <c:numCache>
                <c:formatCode>General</c:formatCode>
                <c:ptCount val="1"/>
                <c:pt idx="0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21-4CE6-B8F5-686160A77994}"/>
            </c:ext>
          </c:extLst>
        </c:ser>
        <c:ser>
          <c:idx val="4"/>
          <c:order val="4"/>
          <c:tx>
            <c:strRef>
              <c:f>SSW_CalibrationCurve!$B$22</c:f>
              <c:strCache>
                <c:ptCount val="1"/>
                <c:pt idx="0">
                  <c:v>PCF08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5917287459961118E-2"/>
                  <c:y val="-2.1266111052636726E-2"/>
                </c:manualLayout>
              </c:layout>
              <c:tx>
                <c:rich>
                  <a:bodyPr/>
                  <a:lstStyle/>
                  <a:p>
                    <a:fld id="{CE4BFE32-8ED7-4242-AEA5-357FB81119EA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5D21-4CE6-B8F5-686160A779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SSW_CalibrationCurve!$E$22</c:f>
              <c:numCache>
                <c:formatCode>General</c:formatCode>
                <c:ptCount val="1"/>
                <c:pt idx="0">
                  <c:v>1.7773784644212799E-3</c:v>
                </c:pt>
              </c:numCache>
            </c:numRef>
          </c:xVal>
          <c:yVal>
            <c:numRef>
              <c:f>SSW_CalibrationCurve!$C$22</c:f>
              <c:numCache>
                <c:formatCode>General</c:formatCode>
                <c:ptCount val="1"/>
                <c:pt idx="0">
                  <c:v>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D21-4CE6-B8F5-686160A77994}"/>
            </c:ext>
          </c:extLst>
        </c:ser>
        <c:ser>
          <c:idx val="5"/>
          <c:order val="5"/>
          <c:tx>
            <c:strRef>
              <c:f>SSW_CalibrationCurve!$B$23</c:f>
              <c:strCache>
                <c:ptCount val="1"/>
                <c:pt idx="0">
                  <c:v>PCF10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5118417684977412E-2"/>
                  <c:y val="-1.519007932331198E-2"/>
                </c:manualLayout>
              </c:layout>
              <c:tx>
                <c:rich>
                  <a:bodyPr/>
                  <a:lstStyle/>
                  <a:p>
                    <a:fld id="{078E8F97-B378-4909-A710-EA707327FE9D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5D21-4CE6-B8F5-686160A779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SSW_CalibrationCurve!$E$23</c:f>
              <c:numCache>
                <c:formatCode>General</c:formatCode>
                <c:ptCount val="1"/>
                <c:pt idx="0">
                  <c:v>1.6601886755616101E-3</c:v>
                </c:pt>
              </c:numCache>
            </c:numRef>
          </c:xVal>
          <c:yVal>
            <c:numRef>
              <c:f>SSW_CalibrationCurve!$C$23</c:f>
              <c:numCache>
                <c:formatCode>General</c:formatCode>
                <c:ptCount val="1"/>
                <c:pt idx="0">
                  <c:v>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D21-4CE6-B8F5-686160A77994}"/>
            </c:ext>
          </c:extLst>
        </c:ser>
        <c:ser>
          <c:idx val="6"/>
          <c:order val="6"/>
          <c:tx>
            <c:strRef>
              <c:f>SSW_CalibrationCurve!$B$24</c:f>
              <c:strCache>
                <c:ptCount val="1"/>
                <c:pt idx="0">
                  <c:v>PCF12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2958643729980639E-2"/>
                  <c:y val="-1.2152063458649495E-2"/>
                </c:manualLayout>
              </c:layout>
              <c:tx>
                <c:rich>
                  <a:bodyPr/>
                  <a:lstStyle/>
                  <a:p>
                    <a:fld id="{041F4C54-F905-4DF0-BD24-DE3708D5D2F1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5D21-4CE6-B8F5-686160A779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SSW_CalibrationCurve!$E$24</c:f>
              <c:numCache>
                <c:formatCode>General</c:formatCode>
                <c:ptCount val="1"/>
                <c:pt idx="0">
                  <c:v>1.5820621496516201E-3</c:v>
                </c:pt>
              </c:numCache>
            </c:numRef>
          </c:xVal>
          <c:yVal>
            <c:numRef>
              <c:f>SSW_CalibrationCurve!$C$24</c:f>
              <c:numCache>
                <c:formatCode>General</c:formatCode>
                <c:ptCount val="1"/>
                <c:pt idx="0">
                  <c:v>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D21-4CE6-B8F5-686160A77994}"/>
            </c:ext>
          </c:extLst>
        </c:ser>
        <c:ser>
          <c:idx val="7"/>
          <c:order val="7"/>
          <c:tx>
            <c:strRef>
              <c:f>SSW_CalibrationCurve!$B$25</c:f>
              <c:strCache>
                <c:ptCount val="1"/>
                <c:pt idx="0">
                  <c:v>PCF15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0798869774983786E-2"/>
                  <c:y val="-1.8228095187974296E-2"/>
                </c:manualLayout>
              </c:layout>
              <c:tx>
                <c:rich>
                  <a:bodyPr/>
                  <a:lstStyle/>
                  <a:p>
                    <a:fld id="{11E0002E-5DDA-4905-A9DF-031EF9FB656D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5D21-4CE6-B8F5-686160A779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SSW_CalibrationCurve!$E$25</c:f>
              <c:numCache>
                <c:formatCode>General</c:formatCode>
                <c:ptCount val="1"/>
                <c:pt idx="0">
                  <c:v>1.46487236079196E-3</c:v>
                </c:pt>
              </c:numCache>
            </c:numRef>
          </c:xVal>
          <c:yVal>
            <c:numRef>
              <c:f>SSW_CalibrationCurve!$C$25</c:f>
              <c:numCache>
                <c:formatCode>General</c:formatCode>
                <c:ptCount val="1"/>
                <c:pt idx="0">
                  <c:v>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D21-4CE6-B8F5-686160A77994}"/>
            </c:ext>
          </c:extLst>
        </c:ser>
        <c:ser>
          <c:idx val="8"/>
          <c:order val="8"/>
          <c:tx>
            <c:strRef>
              <c:f>SSW_CalibrationCurve!$B$26</c:f>
              <c:strCache>
                <c:ptCount val="1"/>
                <c:pt idx="0">
                  <c:v>PCF20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5118417684977412E-2"/>
                  <c:y val="-2.1266111052636615E-2"/>
                </c:manualLayout>
              </c:layout>
              <c:tx>
                <c:rich>
                  <a:bodyPr/>
                  <a:lstStyle/>
                  <a:p>
                    <a:fld id="{951F44D5-3C70-4F30-BCB7-BEC3E056470D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5D21-4CE6-B8F5-686160A779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SSW_CalibrationCurve!$E$26</c:f>
              <c:numCache>
                <c:formatCode>General</c:formatCode>
                <c:ptCount val="1"/>
                <c:pt idx="0">
                  <c:v>1.32815094045213E-3</c:v>
                </c:pt>
              </c:numCache>
            </c:numRef>
          </c:xVal>
          <c:yVal>
            <c:numRef>
              <c:f>SSW_CalibrationCurve!$C$26</c:f>
              <c:numCache>
                <c:formatCode>General</c:formatCode>
                <c:ptCount val="1"/>
                <c:pt idx="0">
                  <c:v>210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D21-4CE6-B8F5-686160A77994}"/>
            </c:ext>
          </c:extLst>
        </c:ser>
        <c:ser>
          <c:idx val="9"/>
          <c:order val="9"/>
          <c:tx>
            <c:strRef>
              <c:f>SSW_CalibrationCurve!$B$27</c:f>
              <c:strCache>
                <c:ptCount val="1"/>
                <c:pt idx="0">
                  <c:v>PCF30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2958643729980639E-2"/>
                  <c:y val="-2.7342142781961364E-2"/>
                </c:manualLayout>
              </c:layout>
              <c:tx>
                <c:rich>
                  <a:bodyPr/>
                  <a:lstStyle/>
                  <a:p>
                    <a:fld id="{C1A47BEC-99BD-43FA-ADAE-56DA59A50DF6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5D21-4CE6-B8F5-686160A779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SSW_CalibrationCurve!$E$27</c:f>
              <c:numCache>
                <c:formatCode>0.000000</c:formatCode>
                <c:ptCount val="1"/>
                <c:pt idx="0">
                  <c:v>1.1484599308577259E-3</c:v>
                </c:pt>
              </c:numCache>
            </c:numRef>
          </c:xVal>
          <c:yVal>
            <c:numRef>
              <c:f>SSW_CalibrationCurve!$C$27</c:f>
              <c:numCache>
                <c:formatCode>General</c:formatCode>
                <c:ptCount val="1"/>
                <c:pt idx="0">
                  <c:v>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D21-4CE6-B8F5-686160A77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822399"/>
        <c:axId val="940823359"/>
      </c:scatterChart>
      <c:valAx>
        <c:axId val="940822399"/>
        <c:scaling>
          <c:orientation val="minMax"/>
          <c:max val="2.2000000000000006E-3"/>
          <c:min val="1.0000000000000002E-3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823359"/>
        <c:crosses val="autoZero"/>
        <c:crossBetween val="midCat"/>
      </c:valAx>
      <c:valAx>
        <c:axId val="940823359"/>
        <c:scaling>
          <c:logBase val="10"/>
          <c:orientation val="minMax"/>
          <c:min val="1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822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84061172958479202"/>
          <c:y val="8.6019907888872385E-2"/>
          <c:w val="8.9660474190587078E-2"/>
          <c:h val="0.156203717740900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161044</xdr:colOff>
      <xdr:row>3</xdr:row>
      <xdr:rowOff>3883</xdr:rowOff>
    </xdr:from>
    <xdr:to>
      <xdr:col>18</xdr:col>
      <xdr:colOff>375985</xdr:colOff>
      <xdr:row>25</xdr:row>
      <xdr:rowOff>175460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55D16A-1F79-EB16-6074-2F825F1BA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168565</xdr:colOff>
      <xdr:row>0</xdr:row>
      <xdr:rowOff>27878</xdr:rowOff>
    </xdr:from>
    <xdr:to>
      <xdr:col>32</xdr:col>
      <xdr:colOff>597842</xdr:colOff>
      <xdr:row>23</xdr:row>
      <xdr:rowOff>66438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FC02F3-273B-4F9C-8F16-1C4E4AAAD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08990" y="27878"/>
          <a:ext cx="3643964" cy="423908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35</xdr:row>
      <xdr:rowOff>0</xdr:rowOff>
    </xdr:from>
    <xdr:to>
      <xdr:col>15</xdr:col>
      <xdr:colOff>375164</xdr:colOff>
      <xdr:row>55</xdr:row>
      <xdr:rowOff>5661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62EFEF-B389-41F4-B643-B32FF2365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939" y="6381750"/>
          <a:ext cx="4501445" cy="362516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15</xdr:col>
      <xdr:colOff>238610</xdr:colOff>
      <xdr:row>55</xdr:row>
      <xdr:rowOff>5661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549CE8-4627-41F8-8C53-D38F532F3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0" y="6381750"/>
          <a:ext cx="4367836" cy="3625161"/>
        </a:xfrm>
        <a:prstGeom prst="rect">
          <a:avLst/>
        </a:prstGeom>
      </xdr:spPr>
    </xdr:pic>
    <xdr:clientData/>
  </xdr:twoCellAnchor>
  <xdr:twoCellAnchor editAs="oneCell">
    <xdr:from>
      <xdr:col>12</xdr:col>
      <xdr:colOff>619611</xdr:colOff>
      <xdr:row>36</xdr:row>
      <xdr:rowOff>105043</xdr:rowOff>
    </xdr:from>
    <xdr:to>
      <xdr:col>19</xdr:col>
      <xdr:colOff>385258</xdr:colOff>
      <xdr:row>56</xdr:row>
      <xdr:rowOff>110704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E70FA4-1D46-4BB7-8969-2AA2C66A4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82241" y="6663060"/>
          <a:ext cx="4396768" cy="3618592"/>
        </a:xfrm>
        <a:prstGeom prst="rect">
          <a:avLst/>
        </a:prstGeom>
      </xdr:spPr>
    </xdr:pic>
    <xdr:clientData/>
  </xdr:twoCellAnchor>
  <xdr:twoCellAnchor editAs="oneCell">
    <xdr:from>
      <xdr:col>19</xdr:col>
      <xdr:colOff>462616</xdr:colOff>
      <xdr:row>36</xdr:row>
      <xdr:rowOff>11980</xdr:rowOff>
    </xdr:from>
    <xdr:to>
      <xdr:col>26</xdr:col>
      <xdr:colOff>243074</xdr:colOff>
      <xdr:row>56</xdr:row>
      <xdr:rowOff>17641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07B5B6-19BE-4AE5-8979-F87BB5F06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56367" y="6569997"/>
          <a:ext cx="4493691" cy="3618592"/>
        </a:xfrm>
        <a:prstGeom prst="rect">
          <a:avLst/>
        </a:prstGeom>
      </xdr:spPr>
    </xdr:pic>
    <xdr:clientData/>
  </xdr:twoCellAnchor>
  <xdr:twoCellAnchor editAs="oneCell">
    <xdr:from>
      <xdr:col>26</xdr:col>
      <xdr:colOff>413349</xdr:colOff>
      <xdr:row>35</xdr:row>
      <xdr:rowOff>1</xdr:rowOff>
    </xdr:from>
    <xdr:to>
      <xdr:col>33</xdr:col>
      <xdr:colOff>357605</xdr:colOff>
      <xdr:row>55</xdr:row>
      <xdr:rowOff>5662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7696DF1-EF34-45F3-8888-BEF05E522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410837" y="6381751"/>
          <a:ext cx="4444816" cy="3625161"/>
        </a:xfrm>
        <a:prstGeom prst="rect">
          <a:avLst/>
        </a:prstGeom>
      </xdr:spPr>
    </xdr:pic>
    <xdr:clientData/>
  </xdr:twoCellAnchor>
  <xdr:twoCellAnchor editAs="oneCell">
    <xdr:from>
      <xdr:col>33</xdr:col>
      <xdr:colOff>341463</xdr:colOff>
      <xdr:row>34</xdr:row>
      <xdr:rowOff>170731</xdr:rowOff>
    </xdr:from>
    <xdr:to>
      <xdr:col>40</xdr:col>
      <xdr:colOff>285419</xdr:colOff>
      <xdr:row>54</xdr:row>
      <xdr:rowOff>176392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F596C6-A644-4D1A-98BF-4461F7280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839513" y="6371506"/>
          <a:ext cx="4444519" cy="3625161"/>
        </a:xfrm>
        <a:prstGeom prst="rect">
          <a:avLst/>
        </a:prstGeom>
      </xdr:spPr>
    </xdr:pic>
    <xdr:clientData/>
  </xdr:twoCellAnchor>
  <xdr:twoCellAnchor editAs="oneCell">
    <xdr:from>
      <xdr:col>40</xdr:col>
      <xdr:colOff>270596</xdr:colOff>
      <xdr:row>34</xdr:row>
      <xdr:rowOff>151535</xdr:rowOff>
    </xdr:from>
    <xdr:to>
      <xdr:col>47</xdr:col>
      <xdr:colOff>259142</xdr:colOff>
      <xdr:row>54</xdr:row>
      <xdr:rowOff>157821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C2DB7F-D95B-4B34-9426-1D4376C45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269209" y="6352310"/>
          <a:ext cx="4489108" cy="3625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39F9-F5D6-4FB6-89E7-1AF62021AAF6}">
  <dimension ref="B1:L10"/>
  <sheetViews>
    <sheetView tabSelected="1" zoomScale="92" zoomScaleNormal="115" workbookViewId="0">
      <selection activeCell="L4" sqref="L4:L10"/>
    </sheetView>
  </sheetViews>
  <sheetFormatPr defaultRowHeight="14.25" x14ac:dyDescent="0.45"/>
  <cols>
    <col min="1" max="1" width="9.06640625" style="14"/>
    <col min="2" max="2" width="15.19921875" style="14" customWidth="1"/>
    <col min="3" max="3" width="15.1328125" style="14" customWidth="1"/>
    <col min="4" max="4" width="16.1328125" style="14" customWidth="1"/>
    <col min="5" max="7" width="16.06640625" style="14" customWidth="1"/>
    <col min="8" max="9" width="16.3984375" style="14" customWidth="1"/>
    <col min="10" max="10" width="16" style="14" customWidth="1"/>
    <col min="11" max="11" width="13.86328125" style="14" customWidth="1"/>
    <col min="12" max="12" width="14.53125" style="14" customWidth="1"/>
    <col min="13" max="16384" width="9.06640625" style="14"/>
  </cols>
  <sheetData>
    <row r="1" spans="2:12" ht="14.65" thickBot="1" x14ac:dyDescent="0.5"/>
    <row r="2" spans="2:12" ht="15.4" x14ac:dyDescent="0.45">
      <c r="B2" s="101" t="s">
        <v>0</v>
      </c>
      <c r="C2" s="56" t="s">
        <v>1</v>
      </c>
      <c r="D2" s="56" t="s">
        <v>3</v>
      </c>
      <c r="E2" s="101" t="s">
        <v>11</v>
      </c>
      <c r="F2" s="101" t="s">
        <v>59</v>
      </c>
      <c r="G2" s="101" t="s">
        <v>60</v>
      </c>
      <c r="H2" s="101" t="s">
        <v>12</v>
      </c>
      <c r="I2" s="101" t="s">
        <v>61</v>
      </c>
      <c r="J2" s="101" t="s">
        <v>63</v>
      </c>
      <c r="K2" s="101" t="s">
        <v>54</v>
      </c>
      <c r="L2" s="101" t="s">
        <v>62</v>
      </c>
    </row>
    <row r="3" spans="2:12" ht="15.75" customHeight="1" thickBot="1" x14ac:dyDescent="0.5">
      <c r="B3" s="102"/>
      <c r="C3" s="58" t="s">
        <v>2</v>
      </c>
      <c r="D3" s="58" t="s">
        <v>4</v>
      </c>
      <c r="E3" s="102"/>
      <c r="F3" s="102"/>
      <c r="G3" s="102"/>
      <c r="H3" s="102"/>
      <c r="I3" s="102"/>
      <c r="J3" s="102"/>
      <c r="K3" s="102"/>
      <c r="L3" s="102"/>
    </row>
    <row r="4" spans="2:12" ht="15.75" thickBot="1" x14ac:dyDescent="0.5">
      <c r="B4" s="57" t="s">
        <v>5</v>
      </c>
      <c r="C4" s="58">
        <v>16</v>
      </c>
      <c r="D4" s="55">
        <v>0.31</v>
      </c>
      <c r="E4" s="55">
        <v>1.9726947791944799E-3</v>
      </c>
      <c r="F4" s="92">
        <v>2.6204433415507397E-5</v>
      </c>
      <c r="G4" s="91">
        <v>1.347028902048009E-2</v>
      </c>
      <c r="H4" s="83">
        <v>19.632118947748118</v>
      </c>
      <c r="I4" s="91">
        <v>9.4180243744044601E-2</v>
      </c>
      <c r="J4" s="59">
        <f>ABS((C4-H4))/C4</f>
        <v>0.2270074342342574</v>
      </c>
      <c r="K4" s="55">
        <v>2.0296153437074E-3</v>
      </c>
      <c r="L4" s="91">
        <f t="shared" ref="L4:L10" si="0">ABS((E4-K4))/E4</f>
        <v>2.8854217648491373E-2</v>
      </c>
    </row>
    <row r="5" spans="2:12" ht="15.75" thickBot="1" x14ac:dyDescent="0.5">
      <c r="B5" s="57" t="s">
        <v>6</v>
      </c>
      <c r="C5" s="58">
        <v>38</v>
      </c>
      <c r="D5" s="55">
        <v>0.34</v>
      </c>
      <c r="E5" s="55">
        <v>1.7773784644212799E-3</v>
      </c>
      <c r="F5" s="92">
        <v>3.0882220945372322E-5</v>
      </c>
      <c r="G5" s="91">
        <v>1.7375151980034465E-2</v>
      </c>
      <c r="H5" s="83">
        <v>39.18381904043305</v>
      </c>
      <c r="I5" s="91">
        <v>0.11074822613133745</v>
      </c>
      <c r="J5" s="59">
        <f t="shared" ref="J4:J10" si="1">ABS((C5-H5))/C5</f>
        <v>3.115313264297501E-2</v>
      </c>
      <c r="K5" s="55">
        <v>1.8016352113886401E-3</v>
      </c>
      <c r="L5" s="91">
        <f t="shared" si="0"/>
        <v>1.364748558223264E-2</v>
      </c>
    </row>
    <row r="6" spans="2:12" ht="15.75" thickBot="1" x14ac:dyDescent="0.5">
      <c r="B6" s="57" t="s">
        <v>7</v>
      </c>
      <c r="C6" s="58">
        <v>58</v>
      </c>
      <c r="D6" s="55">
        <v>0.34</v>
      </c>
      <c r="E6" s="55">
        <v>1.6601886755616101E-3</v>
      </c>
      <c r="F6" s="92">
        <v>2.2269486221879185E-5</v>
      </c>
      <c r="G6" s="91">
        <v>1.3196474827256105E-2</v>
      </c>
      <c r="H6" s="83">
        <v>59.683602766811262</v>
      </c>
      <c r="I6" s="91">
        <v>7.9162711118112392E-2</v>
      </c>
      <c r="J6" s="59">
        <f t="shared" si="1"/>
        <v>2.9027633910539002E-2</v>
      </c>
      <c r="K6" s="55">
        <v>1.67527074454843E-3</v>
      </c>
      <c r="L6" s="91">
        <f t="shared" si="0"/>
        <v>9.0845511771232863E-3</v>
      </c>
    </row>
    <row r="7" spans="2:12" ht="15.75" thickBot="1" x14ac:dyDescent="0.5">
      <c r="B7" s="57" t="s">
        <v>8</v>
      </c>
      <c r="C7" s="58">
        <v>81</v>
      </c>
      <c r="D7" s="55">
        <v>0.35</v>
      </c>
      <c r="E7" s="55">
        <v>1.5820621496516201E-3</v>
      </c>
      <c r="F7" s="92">
        <v>1.9531631480165074E-5</v>
      </c>
      <c r="G7" s="91">
        <v>1.2500000001933962E-2</v>
      </c>
      <c r="H7" s="83">
        <v>78.481996130289176</v>
      </c>
      <c r="I7" s="91">
        <v>6.9893934425755505E-2</v>
      </c>
      <c r="J7" s="59">
        <f t="shared" si="1"/>
        <v>3.1086467527294128E-2</v>
      </c>
      <c r="K7" s="55">
        <v>1.5804963856821501E-3</v>
      </c>
      <c r="L7" s="91">
        <f t="shared" si="0"/>
        <v>9.8969814164048798E-4</v>
      </c>
    </row>
    <row r="8" spans="2:12" ht="15.75" thickBot="1" x14ac:dyDescent="0.5">
      <c r="B8" s="57" t="s">
        <v>13</v>
      </c>
      <c r="C8" s="58">
        <v>123</v>
      </c>
      <c r="D8" s="55">
        <v>0.34</v>
      </c>
      <c r="E8" s="55">
        <v>1.46487236079196E-3</v>
      </c>
      <c r="F8" s="92">
        <v>1.746962227558158E-5</v>
      </c>
      <c r="G8" s="91">
        <v>1.2021870845255465E-2</v>
      </c>
      <c r="H8" s="83">
        <v>121.66835371373756</v>
      </c>
      <c r="I8" s="91">
        <v>6.8063344118887273E-2</v>
      </c>
      <c r="J8" s="59">
        <f t="shared" si="1"/>
        <v>1.0826392571239353E-2</v>
      </c>
      <c r="K8" s="55">
        <v>1.4649292830543901E-3</v>
      </c>
      <c r="L8" s="91">
        <f t="shared" si="0"/>
        <v>3.885817218866363E-5</v>
      </c>
    </row>
    <row r="9" spans="2:12" ht="15.75" thickBot="1" x14ac:dyDescent="0.5">
      <c r="B9" s="57" t="s">
        <v>9</v>
      </c>
      <c r="C9" s="58">
        <v>210</v>
      </c>
      <c r="D9" s="55">
        <v>0.31</v>
      </c>
      <c r="E9" s="55">
        <v>1.32815094045213E-3</v>
      </c>
      <c r="F9" s="92">
        <v>3.6540336595341327E-5</v>
      </c>
      <c r="G9" s="91">
        <v>2.7113459323818267E-2</v>
      </c>
      <c r="H9" s="83">
        <v>209.15528357514773</v>
      </c>
      <c r="I9" s="91">
        <v>0.13220257598787399</v>
      </c>
      <c r="J9" s="59">
        <f t="shared" si="1"/>
        <v>4.0224591659631685E-3</v>
      </c>
      <c r="K9" s="55">
        <v>1.32359215483988E-3</v>
      </c>
      <c r="L9" s="91">
        <f t="shared" si="0"/>
        <v>3.4324303611892471E-3</v>
      </c>
    </row>
    <row r="10" spans="2:12" ht="15.75" thickBot="1" x14ac:dyDescent="0.5">
      <c r="B10" s="57" t="s">
        <v>10</v>
      </c>
      <c r="C10" s="58">
        <v>445</v>
      </c>
      <c r="D10" s="55">
        <v>0.3</v>
      </c>
      <c r="E10" s="55">
        <v>1.15236625715198E-3</v>
      </c>
      <c r="F10" s="92">
        <v>3.0882220940598865E-5</v>
      </c>
      <c r="G10" s="91">
        <v>2.0088260829682153E-2</v>
      </c>
      <c r="H10" s="83">
        <v>442.22863743915519</v>
      </c>
      <c r="I10" s="91">
        <v>7.2425338789317562E-2</v>
      </c>
      <c r="J10" s="59">
        <f t="shared" si="1"/>
        <v>6.2277810356063078E-3</v>
      </c>
      <c r="K10" s="55">
        <v>1.1527295345413499E-3</v>
      </c>
      <c r="L10" s="91">
        <f t="shared" si="0"/>
        <v>3.1524472980294459E-4</v>
      </c>
    </row>
  </sheetData>
  <mergeCells count="9">
    <mergeCell ref="L2:L3"/>
    <mergeCell ref="B2:B3"/>
    <mergeCell ref="E2:E3"/>
    <mergeCell ref="H2:H3"/>
    <mergeCell ref="J2:J3"/>
    <mergeCell ref="K2:K3"/>
    <mergeCell ref="G2:G3"/>
    <mergeCell ref="F2:F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4D67-8306-42B9-85F1-2D26E0C97F60}">
  <dimension ref="B2:Q39"/>
  <sheetViews>
    <sheetView zoomScale="85" zoomScaleNormal="85" workbookViewId="0">
      <selection activeCell="D45" sqref="D45"/>
    </sheetView>
  </sheetViews>
  <sheetFormatPr defaultColWidth="8.796875" defaultRowHeight="14.25" x14ac:dyDescent="0.45"/>
  <cols>
    <col min="1" max="3" width="8.796875" style="1"/>
    <col min="4" max="4" width="9" style="1" bestFit="1" customWidth="1"/>
    <col min="5" max="5" width="9.46484375" style="1" bestFit="1" customWidth="1"/>
    <col min="6" max="6" width="10" style="1" customWidth="1"/>
    <col min="7" max="7" width="9.33203125" style="1" bestFit="1" customWidth="1"/>
    <col min="8" max="15" width="8.796875" style="1"/>
    <col min="16" max="16" width="17.796875" style="1" bestFit="1" customWidth="1"/>
    <col min="17" max="21" width="8.796875" style="1"/>
    <col min="22" max="22" width="10" style="1" customWidth="1"/>
    <col min="23" max="16384" width="8.796875" style="1"/>
  </cols>
  <sheetData>
    <row r="2" spans="2:8" x14ac:dyDescent="0.45">
      <c r="B2" s="1" t="s">
        <v>14</v>
      </c>
      <c r="G2" s="2" t="s">
        <v>15</v>
      </c>
      <c r="H2" s="2">
        <v>0.26</v>
      </c>
    </row>
    <row r="4" spans="2:8" x14ac:dyDescent="0.45">
      <c r="B4" s="104" t="s">
        <v>16</v>
      </c>
      <c r="C4" s="104"/>
      <c r="D4" s="104"/>
      <c r="E4" s="104"/>
      <c r="F4" s="104"/>
      <c r="G4" s="104"/>
      <c r="H4" s="104"/>
    </row>
    <row r="5" spans="2:8" x14ac:dyDescent="0.45">
      <c r="B5" s="3" t="s">
        <v>17</v>
      </c>
      <c r="C5" s="4">
        <v>10</v>
      </c>
      <c r="D5" s="4">
        <v>100</v>
      </c>
      <c r="E5" s="4">
        <v>300</v>
      </c>
      <c r="F5" s="4">
        <v>500</v>
      </c>
      <c r="G5" s="4">
        <v>700</v>
      </c>
      <c r="H5" s="3">
        <v>1000</v>
      </c>
    </row>
    <row r="6" spans="2:8" x14ac:dyDescent="0.45">
      <c r="B6" s="3" t="s">
        <v>18</v>
      </c>
      <c r="C6" s="4">
        <f>LOG10(C5)</f>
        <v>1</v>
      </c>
      <c r="D6" s="4">
        <f t="shared" ref="D6:H6" si="0">LOG10(D5)</f>
        <v>2</v>
      </c>
      <c r="E6" s="4">
        <f t="shared" si="0"/>
        <v>2.4771212547196626</v>
      </c>
      <c r="F6" s="4">
        <f t="shared" si="0"/>
        <v>2.6989700043360187</v>
      </c>
      <c r="G6" s="4">
        <f t="shared" si="0"/>
        <v>2.8450980400142569</v>
      </c>
      <c r="H6" s="4">
        <f t="shared" si="0"/>
        <v>3</v>
      </c>
    </row>
    <row r="7" spans="2:8" x14ac:dyDescent="0.45">
      <c r="B7" s="3">
        <v>0.1</v>
      </c>
      <c r="C7" s="1">
        <v>2.1867939205959799E-3</v>
      </c>
      <c r="D7" s="6">
        <v>1.5349548257569E-3</v>
      </c>
      <c r="E7" s="6">
        <v>1.2459906107288501E-3</v>
      </c>
      <c r="F7" s="6">
        <v>1.13030798522664E-3</v>
      </c>
      <c r="G7" s="6">
        <v>1.06244287429404E-3</v>
      </c>
      <c r="H7" s="7">
        <v>9.978169398421491E-4</v>
      </c>
    </row>
    <row r="8" spans="2:8" x14ac:dyDescent="0.45">
      <c r="B8" s="3">
        <v>0.3</v>
      </c>
      <c r="C8" s="3">
        <v>2.15971893357225E-3</v>
      </c>
      <c r="D8" s="3">
        <v>1.5245798642394099E-3</v>
      </c>
      <c r="E8" s="3">
        <v>1.2349915672320801E-3</v>
      </c>
      <c r="F8" s="3">
        <v>1.1210804794715E-3</v>
      </c>
      <c r="G8" s="3">
        <v>1.0543159670394599E-3</v>
      </c>
      <c r="H8" s="5">
        <v>9.8983598711006393E-4</v>
      </c>
    </row>
    <row r="9" spans="2:8" x14ac:dyDescent="0.45">
      <c r="B9" s="3">
        <v>0.5</v>
      </c>
      <c r="C9" s="3">
        <v>2.14970508462505E-3</v>
      </c>
      <c r="D9" s="3">
        <v>1.4839440203368701E-3</v>
      </c>
      <c r="E9" s="3">
        <v>1.19766476738336E-3</v>
      </c>
      <c r="F9" s="3">
        <v>1.0891446262729801E-3</v>
      </c>
      <c r="G9" s="3">
        <v>1.02655644409088E-3</v>
      </c>
      <c r="H9" s="5">
        <v>9.6648717426287402E-4</v>
      </c>
    </row>
    <row r="11" spans="2:8" x14ac:dyDescent="0.45">
      <c r="B11" s="105" t="s">
        <v>19</v>
      </c>
      <c r="C11" s="105"/>
      <c r="D11" s="3">
        <f>D21</f>
        <v>0.31</v>
      </c>
      <c r="E11" s="105" t="s">
        <v>20</v>
      </c>
      <c r="F11" s="105"/>
      <c r="G11" s="5">
        <f>E21</f>
        <v>1.9726947791944799E-3</v>
      </c>
    </row>
    <row r="12" spans="2:8" x14ac:dyDescent="0.45">
      <c r="B12" s="8"/>
      <c r="C12" s="8"/>
      <c r="E12" s="8"/>
      <c r="F12" s="8"/>
    </row>
    <row r="13" spans="2:8" x14ac:dyDescent="0.45">
      <c r="B13" s="104" t="s">
        <v>21</v>
      </c>
      <c r="C13" s="104"/>
      <c r="D13" s="104"/>
      <c r="E13" s="104"/>
      <c r="F13" s="104"/>
      <c r="G13" s="104"/>
      <c r="H13" s="104"/>
    </row>
    <row r="14" spans="2:8" x14ac:dyDescent="0.45">
      <c r="B14" s="3">
        <f>D11</f>
        <v>0.31</v>
      </c>
      <c r="C14" s="3">
        <f t="shared" ref="C14:H14" si="1">_xlfn.FORECAST.LINEAR($D$11,C8:C9,$B$8:$B$9)</f>
        <v>2.1592182411248901E-3</v>
      </c>
      <c r="D14" s="3">
        <f t="shared" si="1"/>
        <v>1.5225480720442832E-3</v>
      </c>
      <c r="E14" s="3">
        <f t="shared" si="1"/>
        <v>1.233125227239644E-3</v>
      </c>
      <c r="F14" s="3">
        <f t="shared" si="1"/>
        <v>1.1194836868115741E-3</v>
      </c>
      <c r="G14" s="3">
        <f t="shared" si="1"/>
        <v>1.0529279908920309E-3</v>
      </c>
      <c r="H14" s="3">
        <f t="shared" si="1"/>
        <v>9.8866854646770448E-4</v>
      </c>
    </row>
    <row r="16" spans="2:8" x14ac:dyDescent="0.45">
      <c r="B16" s="104" t="s">
        <v>22</v>
      </c>
      <c r="C16" s="104"/>
      <c r="D16" s="104"/>
      <c r="E16" s="104"/>
      <c r="F16" s="104"/>
      <c r="G16" s="104"/>
    </row>
    <row r="17" spans="2:17" x14ac:dyDescent="0.45">
      <c r="B17" s="104" t="s">
        <v>23</v>
      </c>
      <c r="C17" s="104"/>
      <c r="D17" s="60">
        <f>10^(_xlfn.FORECAST.LINEAR(G11,C6:D6,C14:D14))</f>
        <v>19.632118947748118</v>
      </c>
      <c r="E17" s="3" t="s">
        <v>17</v>
      </c>
      <c r="F17" s="4"/>
      <c r="G17" s="3"/>
    </row>
    <row r="20" spans="2:17" x14ac:dyDescent="0.45">
      <c r="B20" s="9" t="s">
        <v>24</v>
      </c>
      <c r="C20" s="9" t="s">
        <v>25</v>
      </c>
      <c r="D20" s="9" t="s">
        <v>34</v>
      </c>
      <c r="E20" s="9" t="s">
        <v>20</v>
      </c>
      <c r="F20" s="9" t="s">
        <v>26</v>
      </c>
    </row>
    <row r="21" spans="2:17" x14ac:dyDescent="0.45">
      <c r="B21" s="10" t="s">
        <v>27</v>
      </c>
      <c r="C21" s="11">
        <v>16</v>
      </c>
      <c r="D21" s="13">
        <v>0.31</v>
      </c>
      <c r="E21" s="10">
        <v>1.9726947791944799E-3</v>
      </c>
      <c r="F21" s="84">
        <v>19.632118947748118</v>
      </c>
    </row>
    <row r="22" spans="2:17" x14ac:dyDescent="0.45">
      <c r="B22" s="10" t="s">
        <v>28</v>
      </c>
      <c r="C22" s="10">
        <v>38</v>
      </c>
      <c r="D22" s="13">
        <v>0.34</v>
      </c>
      <c r="E22" s="10">
        <v>1.7773784644212799E-3</v>
      </c>
      <c r="F22" s="84">
        <v>39.18381904043305</v>
      </c>
    </row>
    <row r="23" spans="2:17" x14ac:dyDescent="0.45">
      <c r="B23" s="10" t="s">
        <v>29</v>
      </c>
      <c r="C23" s="10">
        <v>58</v>
      </c>
      <c r="D23" s="13">
        <v>0.34</v>
      </c>
      <c r="E23" s="10">
        <v>1.6601886755616101E-3</v>
      </c>
      <c r="F23" s="84">
        <v>59.683602766811262</v>
      </c>
    </row>
    <row r="24" spans="2:17" x14ac:dyDescent="0.45">
      <c r="B24" s="10" t="s">
        <v>30</v>
      </c>
      <c r="C24" s="10">
        <v>81</v>
      </c>
      <c r="D24" s="13">
        <v>0.35</v>
      </c>
      <c r="E24" s="10">
        <v>1.5820621496516201E-3</v>
      </c>
      <c r="F24" s="84">
        <v>78.481996130289176</v>
      </c>
    </row>
    <row r="25" spans="2:17" x14ac:dyDescent="0.45">
      <c r="B25" s="10" t="s">
        <v>31</v>
      </c>
      <c r="C25" s="10">
        <v>123</v>
      </c>
      <c r="D25" s="13">
        <v>0.34</v>
      </c>
      <c r="E25" s="10">
        <v>1.46487236079196E-3</v>
      </c>
      <c r="F25" s="84">
        <v>121.66835371373756</v>
      </c>
    </row>
    <row r="26" spans="2:17" x14ac:dyDescent="0.45">
      <c r="B26" s="10" t="s">
        <v>32</v>
      </c>
      <c r="C26" s="10">
        <v>210</v>
      </c>
      <c r="D26" s="13">
        <v>0.31</v>
      </c>
      <c r="E26" s="10">
        <v>1.32815094045213E-3</v>
      </c>
      <c r="F26" s="84">
        <v>209.15528357514773</v>
      </c>
    </row>
    <row r="27" spans="2:17" x14ac:dyDescent="0.45">
      <c r="B27" s="10" t="s">
        <v>33</v>
      </c>
      <c r="C27" s="10">
        <v>445</v>
      </c>
      <c r="D27" s="13">
        <v>0.3</v>
      </c>
      <c r="E27" s="89">
        <v>1.1484599308577259E-3</v>
      </c>
      <c r="F27" s="84">
        <v>442.22863743915519</v>
      </c>
    </row>
    <row r="30" spans="2:17" x14ac:dyDescent="0.45">
      <c r="B30" s="103" t="s">
        <v>55</v>
      </c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</row>
    <row r="31" spans="2:17" x14ac:dyDescent="0.45">
      <c r="B31" s="10" t="s">
        <v>27</v>
      </c>
      <c r="C31" s="3"/>
      <c r="D31" s="10" t="s">
        <v>28</v>
      </c>
      <c r="E31" s="3"/>
      <c r="F31" s="10" t="s">
        <v>29</v>
      </c>
      <c r="G31" s="3"/>
      <c r="H31" s="10" t="s">
        <v>30</v>
      </c>
      <c r="I31" s="3"/>
      <c r="J31" s="10" t="s">
        <v>31</v>
      </c>
      <c r="K31" s="3"/>
      <c r="L31" s="10" t="s">
        <v>32</v>
      </c>
      <c r="M31" s="3"/>
      <c r="N31" s="10" t="s">
        <v>33</v>
      </c>
      <c r="O31" s="3"/>
    </row>
    <row r="32" spans="2:17" x14ac:dyDescent="0.45">
      <c r="B32" s="95">
        <v>1.9726947791944799E-3</v>
      </c>
      <c r="C32" s="96">
        <v>19.632118947748118</v>
      </c>
      <c r="D32" s="95">
        <v>1.7773784644212799E-3</v>
      </c>
      <c r="E32" s="96">
        <v>39.18381904043305</v>
      </c>
      <c r="F32" s="95">
        <v>1.6601886755616101E-3</v>
      </c>
      <c r="G32" s="96">
        <v>59.683602766811262</v>
      </c>
      <c r="H32" s="95">
        <v>1.5820621496516201E-3</v>
      </c>
      <c r="I32" s="96">
        <v>78.481996130289176</v>
      </c>
      <c r="J32" s="95">
        <v>1.46487236079196E-3</v>
      </c>
      <c r="K32" s="96">
        <v>121.66835371373756</v>
      </c>
      <c r="L32" s="95">
        <v>1.32815094045213E-3</v>
      </c>
      <c r="M32" s="96">
        <v>209.15528357514773</v>
      </c>
      <c r="N32" s="95">
        <v>1.15236625715376E-3</v>
      </c>
      <c r="O32" s="96">
        <v>434.54930083536522</v>
      </c>
      <c r="Q32" s="94">
        <f>10^(_xlfn.FORECAST.LINEAR(N32,$E$6:$F$6,$E$14:$F$14))</f>
        <v>431.29786277324769</v>
      </c>
    </row>
    <row r="33" spans="2:17" x14ac:dyDescent="0.45">
      <c r="B33" s="95">
        <v>1.93363151623771E-3</v>
      </c>
      <c r="C33" s="96">
        <v>22.611155129333351</v>
      </c>
      <c r="D33" s="95">
        <v>1.7969100959014401E-3</v>
      </c>
      <c r="E33" s="96">
        <v>36.529919676226726</v>
      </c>
      <c r="F33" s="95">
        <v>1.67972030703467E-3</v>
      </c>
      <c r="G33" s="96">
        <v>55.641263881534265</v>
      </c>
      <c r="H33" s="95">
        <v>1.5429988866912899E-3</v>
      </c>
      <c r="I33" s="96">
        <v>90.269498881427594</v>
      </c>
      <c r="J33" s="95">
        <v>1.44534072931179E-3</v>
      </c>
      <c r="K33" s="96">
        <v>131.04829055834435</v>
      </c>
      <c r="L33" s="95">
        <v>1.4062774663568E-3</v>
      </c>
      <c r="M33" s="96">
        <v>155.48023373261654</v>
      </c>
      <c r="N33" s="95">
        <v>1.1328346256753699E-3</v>
      </c>
      <c r="O33" s="96">
        <v>474.32726799794784</v>
      </c>
      <c r="Q33" s="94">
        <f>10^(_xlfn.FORECAST.LINEAR(N33,$E$6:$F$6,$E$14:$F$14))</f>
        <v>470.87601315409307</v>
      </c>
    </row>
    <row r="34" spans="2:17" x14ac:dyDescent="0.45">
      <c r="B34" s="95">
        <v>1.97269477919804E-3</v>
      </c>
      <c r="C34" s="96">
        <v>19.632118947495336</v>
      </c>
      <c r="D34" s="95">
        <v>1.75784683294467E-3</v>
      </c>
      <c r="E34" s="96">
        <v>42.030524243748445</v>
      </c>
      <c r="F34" s="95">
        <v>1.7187835699914401E-3</v>
      </c>
      <c r="G34" s="96">
        <v>48.359399194943542</v>
      </c>
      <c r="H34" s="95">
        <v>1.5820621496516201E-3</v>
      </c>
      <c r="I34" s="96">
        <v>78.481996130289176</v>
      </c>
      <c r="J34" s="95">
        <v>1.46487236078485E-3</v>
      </c>
      <c r="K34" s="96">
        <v>121.6683537170269</v>
      </c>
      <c r="L34" s="95">
        <v>1.3476825719251899E-3</v>
      </c>
      <c r="M34" s="96">
        <v>194.2094803473876</v>
      </c>
      <c r="N34" s="95">
        <v>1.1718978886321499E-3</v>
      </c>
      <c r="O34" s="96">
        <v>398.10718800446801</v>
      </c>
      <c r="Q34" s="94">
        <f>10^(_xlfn.FORECAST.LINEAR(N34,$E$6:$F$6,$E$14:$F$14))</f>
        <v>395.04634178912318</v>
      </c>
    </row>
    <row r="35" spans="2:17" x14ac:dyDescent="0.45">
      <c r="B35" s="95">
        <v>1.93363151623771E-3</v>
      </c>
      <c r="C35" s="96">
        <v>22.611155129333351</v>
      </c>
      <c r="D35" s="95">
        <v>1.7383152014645001E-3</v>
      </c>
      <c r="E35" s="96">
        <v>45.08404263515056</v>
      </c>
      <c r="F35" s="95">
        <v>1.6992519385112799E-3</v>
      </c>
      <c r="G35" s="96">
        <v>51.872710472777577</v>
      </c>
      <c r="H35" s="95">
        <v>1.5625305181714601E-3</v>
      </c>
      <c r="I35" s="96">
        <v>84.169652855973411</v>
      </c>
      <c r="J35" s="95">
        <v>1.42580909783874E-3</v>
      </c>
      <c r="K35" s="96">
        <v>141.15136708601864</v>
      </c>
      <c r="L35" s="95">
        <v>1.3476825719251899E-3</v>
      </c>
      <c r="M35" s="96">
        <v>194.2094803473876</v>
      </c>
      <c r="N35" s="95">
        <v>1.1328346256753699E-3</v>
      </c>
      <c r="O35" s="96">
        <v>474.32726799794784</v>
      </c>
      <c r="Q35" s="94">
        <f>10^(_xlfn.FORECAST.LINEAR(N35,$E$6:$F$6,$E$14:$F$14))</f>
        <v>470.87601315409307</v>
      </c>
    </row>
    <row r="36" spans="2:17" x14ac:dyDescent="0.45">
      <c r="B36" s="95">
        <v>1.91409988477176E-3</v>
      </c>
      <c r="C36" s="96">
        <v>24.266130899880761</v>
      </c>
      <c r="D36" s="95">
        <v>1.81644172737805E-3</v>
      </c>
      <c r="E36" s="96">
        <v>34.055767514432702</v>
      </c>
      <c r="F36" s="95">
        <v>1.67972030703467E-3</v>
      </c>
      <c r="G36" s="96">
        <v>55.641263881534265</v>
      </c>
      <c r="H36" s="95">
        <v>1.5429988866912899E-3</v>
      </c>
      <c r="I36" s="96">
        <v>90.269498881427594</v>
      </c>
      <c r="J36" s="95">
        <v>1.46487236078663E-3</v>
      </c>
      <c r="K36" s="96">
        <v>121.66835371620336</v>
      </c>
      <c r="L36" s="95">
        <v>1.30861930897197E-3</v>
      </c>
      <c r="M36" s="96">
        <v>225.25127285408456</v>
      </c>
      <c r="N36" s="95">
        <v>1.15236625715198E-3</v>
      </c>
      <c r="O36" s="96">
        <v>434.5493008388338</v>
      </c>
      <c r="Q36" s="94">
        <f>10^(_xlfn.FORECAST.LINEAR(N36,$E$6:$F$6,$E$14:$F$14))</f>
        <v>431.29786277669876</v>
      </c>
    </row>
    <row r="37" spans="2:17" x14ac:dyDescent="0.45">
      <c r="B37" s="97" t="s">
        <v>56</v>
      </c>
      <c r="C37" s="95">
        <f>_xlfn.STDEV.S(C32:C36)</f>
        <v>2.0484707642207765</v>
      </c>
      <c r="D37" s="98"/>
      <c r="E37" s="95">
        <f>_xlfn.STDEV.S(E32:E36)</f>
        <v>4.3609123700888226</v>
      </c>
      <c r="F37" s="98"/>
      <c r="G37" s="95">
        <f>_xlfn.STDEV.S(G32:G36)</f>
        <v>4.2937575889006272</v>
      </c>
      <c r="H37" s="98"/>
      <c r="I37" s="95">
        <f>_xlfn.STDEV.S(I32:I36)</f>
        <v>5.8944720101096584</v>
      </c>
      <c r="J37" s="98"/>
      <c r="K37" s="95">
        <f>_xlfn.STDEV.S(K32:K36)</f>
        <v>8.674056809854628</v>
      </c>
      <c r="L37" s="98"/>
      <c r="M37" s="95">
        <f>_xlfn.STDEV.S(M32:M36)</f>
        <v>25.866908073399397</v>
      </c>
      <c r="N37" s="98"/>
      <c r="O37" s="95">
        <f>_xlfn.STDEV.S(O32:O36)</f>
        <v>32.096886959357548</v>
      </c>
    </row>
    <row r="38" spans="2:17" x14ac:dyDescent="0.45">
      <c r="B38" s="97" t="s">
        <v>57</v>
      </c>
      <c r="C38" s="95">
        <f>AVERAGE(C32:C36)</f>
        <v>21.750535810758183</v>
      </c>
      <c r="D38" s="98"/>
      <c r="E38" s="95">
        <f>AVERAGE(E32:E36)</f>
        <v>39.3768146219983</v>
      </c>
      <c r="F38" s="98"/>
      <c r="G38" s="95">
        <f>AVERAGE(G32:G36)</f>
        <v>54.239648039520183</v>
      </c>
      <c r="H38" s="98"/>
      <c r="I38" s="95">
        <f>AVERAGE(I32:I36)</f>
        <v>84.334528575881393</v>
      </c>
      <c r="J38" s="98"/>
      <c r="K38" s="95">
        <f>AVERAGE(K32:K36)</f>
        <v>127.44094375826614</v>
      </c>
      <c r="L38" s="98"/>
      <c r="M38" s="95">
        <f>AVERAGE(M32:M36)</f>
        <v>195.66115017132483</v>
      </c>
      <c r="N38" s="98"/>
      <c r="O38" s="95">
        <f>AVERAGE(O32:O36)</f>
        <v>443.17206513491254</v>
      </c>
    </row>
    <row r="39" spans="2:17" x14ac:dyDescent="0.45">
      <c r="B39" s="97" t="s">
        <v>58</v>
      </c>
      <c r="C39" s="99">
        <f>C37/C38</f>
        <v>9.4180243744044601E-2</v>
      </c>
      <c r="D39" s="100"/>
      <c r="E39" s="99">
        <f>E37/E38</f>
        <v>0.11074822613133745</v>
      </c>
      <c r="F39" s="100"/>
      <c r="G39" s="99">
        <f>G37/G38</f>
        <v>7.9162711118112392E-2</v>
      </c>
      <c r="H39" s="100"/>
      <c r="I39" s="99">
        <f>I37/I38</f>
        <v>6.9893934425755505E-2</v>
      </c>
      <c r="J39" s="100"/>
      <c r="K39" s="99">
        <f>K37/K38</f>
        <v>6.8063344118887273E-2</v>
      </c>
      <c r="L39" s="100"/>
      <c r="M39" s="99">
        <f>M37/M38</f>
        <v>0.13220257598787399</v>
      </c>
      <c r="N39" s="100"/>
      <c r="O39" s="99">
        <f>O37/O38</f>
        <v>7.2425338789317562E-2</v>
      </c>
    </row>
  </sheetData>
  <mergeCells count="7">
    <mergeCell ref="B30:O30"/>
    <mergeCell ref="B17:C17"/>
    <mergeCell ref="B4:H4"/>
    <mergeCell ref="B11:C11"/>
    <mergeCell ref="E11:F11"/>
    <mergeCell ref="B13:H13"/>
    <mergeCell ref="B16:G16"/>
  </mergeCells>
  <conditionalFormatting sqref="C14:H14">
    <cfRule type="cellIs" dxfId="0" priority="1" operator="lessThan">
      <formula>$G$11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0C25-B9EF-4289-96F3-12C1B4326366}">
  <dimension ref="B1:AA35"/>
  <sheetViews>
    <sheetView zoomScale="87" zoomScaleNormal="100" workbookViewId="0">
      <selection activeCell="Q18" sqref="Q18"/>
    </sheetView>
  </sheetViews>
  <sheetFormatPr defaultColWidth="9" defaultRowHeight="14.25" x14ac:dyDescent="0.45"/>
  <cols>
    <col min="1" max="1" width="9" style="14"/>
    <col min="2" max="2" width="14.796875" style="14" hidden="1" customWidth="1"/>
    <col min="3" max="5" width="9.1328125" style="14" hidden="1" customWidth="1"/>
    <col min="6" max="6" width="10.33203125" style="14" hidden="1" customWidth="1"/>
    <col min="7" max="8" width="10.46484375" style="14" hidden="1" customWidth="1"/>
    <col min="9" max="9" width="11" style="14" hidden="1" customWidth="1"/>
    <col min="10" max="10" width="9" style="14"/>
    <col min="11" max="11" width="12.46484375" style="14" bestFit="1" customWidth="1"/>
    <col min="12" max="15" width="9.1328125" style="14" bestFit="1" customWidth="1"/>
    <col min="16" max="16" width="10" style="14" bestFit="1" customWidth="1"/>
    <col min="17" max="17" width="9.46484375" style="14" customWidth="1"/>
    <col min="18" max="19" width="9" style="14"/>
    <col min="20" max="20" width="9" style="14" customWidth="1"/>
    <col min="21" max="26" width="9.46484375" style="14" bestFit="1" customWidth="1"/>
    <col min="27" max="16384" width="9" style="14"/>
  </cols>
  <sheetData>
    <row r="1" spans="2:27" ht="14.65" thickBot="1" x14ac:dyDescent="0.5"/>
    <row r="2" spans="2:27" x14ac:dyDescent="0.45">
      <c r="B2" s="106" t="s">
        <v>35</v>
      </c>
      <c r="C2" s="107"/>
      <c r="D2" s="107"/>
      <c r="E2" s="107"/>
      <c r="F2" s="107"/>
      <c r="G2" s="107"/>
      <c r="H2" s="107"/>
      <c r="I2" s="108"/>
      <c r="K2" s="106" t="s">
        <v>36</v>
      </c>
      <c r="L2" s="107"/>
      <c r="M2" s="107"/>
      <c r="N2" s="107"/>
      <c r="O2" s="107"/>
      <c r="P2" s="107"/>
      <c r="Q2" s="107"/>
      <c r="R2" s="108"/>
    </row>
    <row r="3" spans="2:27" ht="14.65" thickBot="1" x14ac:dyDescent="0.5">
      <c r="B3" s="109"/>
      <c r="C3" s="110"/>
      <c r="D3" s="110"/>
      <c r="E3" s="110"/>
      <c r="F3" s="110"/>
      <c r="G3" s="110"/>
      <c r="H3" s="110"/>
      <c r="I3" s="111"/>
      <c r="K3" s="109"/>
      <c r="L3" s="110"/>
      <c r="M3" s="110"/>
      <c r="N3" s="110"/>
      <c r="O3" s="110"/>
      <c r="P3" s="110"/>
      <c r="Q3" s="110"/>
      <c r="R3" s="111"/>
      <c r="T3" s="103" t="s">
        <v>37</v>
      </c>
      <c r="U3" s="103"/>
      <c r="V3" s="103"/>
      <c r="W3" s="103"/>
      <c r="X3" s="103"/>
      <c r="Y3" s="103"/>
      <c r="Z3" s="103"/>
    </row>
    <row r="4" spans="2:27" ht="14.65" thickBot="1" x14ac:dyDescent="0.5">
      <c r="B4" s="15" t="s">
        <v>38</v>
      </c>
      <c r="C4" s="15" t="s">
        <v>39</v>
      </c>
      <c r="D4" s="15" t="s">
        <v>34</v>
      </c>
      <c r="E4" s="15" t="s">
        <v>40</v>
      </c>
      <c r="F4" s="15" t="s">
        <v>41</v>
      </c>
      <c r="G4" s="15" t="s">
        <v>42</v>
      </c>
      <c r="H4" s="15" t="s">
        <v>43</v>
      </c>
      <c r="I4" s="15" t="s">
        <v>42</v>
      </c>
      <c r="K4" s="15" t="s">
        <v>38</v>
      </c>
      <c r="L4" s="15" t="s">
        <v>39</v>
      </c>
      <c r="M4" s="15" t="s">
        <v>34</v>
      </c>
      <c r="N4" s="15" t="s">
        <v>40</v>
      </c>
      <c r="O4" s="15" t="s">
        <v>41</v>
      </c>
      <c r="P4" s="15" t="s">
        <v>42</v>
      </c>
      <c r="Q4" s="15" t="s">
        <v>43</v>
      </c>
      <c r="R4" s="15" t="s">
        <v>42</v>
      </c>
      <c r="T4" s="9" t="s">
        <v>27</v>
      </c>
      <c r="U4" s="9" t="s">
        <v>28</v>
      </c>
      <c r="V4" s="9" t="s">
        <v>29</v>
      </c>
      <c r="W4" s="9" t="s">
        <v>30</v>
      </c>
      <c r="X4" s="9" t="s">
        <v>31</v>
      </c>
      <c r="Y4" s="9" t="s">
        <v>32</v>
      </c>
      <c r="Z4" s="9" t="s">
        <v>33</v>
      </c>
    </row>
    <row r="5" spans="2:27" ht="14.65" thickBot="1" x14ac:dyDescent="0.5">
      <c r="B5" s="16"/>
      <c r="C5" s="17" t="s">
        <v>44</v>
      </c>
      <c r="D5" s="17"/>
      <c r="E5" s="17"/>
      <c r="F5" s="17"/>
      <c r="G5" s="18"/>
      <c r="H5" s="18"/>
      <c r="I5" s="19"/>
      <c r="K5" s="20"/>
      <c r="L5" s="21" t="s">
        <v>44</v>
      </c>
      <c r="M5" s="21"/>
      <c r="N5" s="21"/>
      <c r="O5" s="21"/>
      <c r="P5" s="22"/>
      <c r="Q5" s="22"/>
      <c r="R5" s="23"/>
      <c r="T5" s="72">
        <v>1.93363151624482E-3</v>
      </c>
      <c r="U5" s="72">
        <v>1.77737846442305E-3</v>
      </c>
      <c r="V5" s="72">
        <v>1.73831520146805E-3</v>
      </c>
      <c r="W5" s="73">
        <v>1.5820621496516201E-3</v>
      </c>
      <c r="X5" s="72">
        <v>1.46487236078663E-3</v>
      </c>
      <c r="Y5" s="72">
        <v>1.30861930897197E-3</v>
      </c>
      <c r="Z5" s="72">
        <v>1.15236625715376E-3</v>
      </c>
      <c r="AA5" s="24">
        <v>1</v>
      </c>
    </row>
    <row r="6" spans="2:27" x14ac:dyDescent="0.45">
      <c r="B6" s="25" t="s">
        <v>45</v>
      </c>
      <c r="C6" s="26">
        <v>16</v>
      </c>
      <c r="D6" s="26">
        <v>0.495</v>
      </c>
      <c r="E6" s="26">
        <v>1.2222858806000001</v>
      </c>
      <c r="F6" s="26">
        <v>1.9588925E-3</v>
      </c>
      <c r="G6" s="27" cm="1">
        <f t="array" ref="G6">INDEX($T$5:$T$17,MATCH(MIN(ABS($T$5:$T$17-F6)),ABS($T$5:$T$17-F6),0))</f>
        <v>1.9726947791944799E-3</v>
      </c>
      <c r="H6" s="28">
        <f t="shared" ref="H6:H12" si="0">(F6-G6)/F6</f>
        <v>-7.0459605080318904E-3</v>
      </c>
      <c r="I6" s="29">
        <f>MATCH(G6,$T$5:$T$20,0)</f>
        <v>10</v>
      </c>
      <c r="K6" s="25" t="s">
        <v>45</v>
      </c>
      <c r="L6" s="26">
        <v>16</v>
      </c>
      <c r="M6" s="26">
        <v>0.495</v>
      </c>
      <c r="N6" s="75">
        <v>1.2222858806000001</v>
      </c>
      <c r="O6" s="88">
        <v>2.0050159000000001E-3</v>
      </c>
      <c r="P6" s="88" cm="1">
        <f t="array" ref="P6">INDEX($T$5:$T$17,MATCH(MIN(ABS($T$5:$T$17-O6)),ABS($T$5:$T$17-O6),0))</f>
        <v>1.97269477919804E-3</v>
      </c>
      <c r="Q6" s="30">
        <f t="shared" ref="Q6" si="1">(O6-P6)/O6</f>
        <v>1.6120131916140965E-2</v>
      </c>
      <c r="R6" s="29">
        <f>MATCH(P6,$T$5:$T$20,0)</f>
        <v>2</v>
      </c>
      <c r="T6" s="72">
        <v>1.97269477919804E-3</v>
      </c>
      <c r="U6" s="72">
        <v>1.7578468329482199E-3</v>
      </c>
      <c r="V6" s="73">
        <v>1.6601886755616101E-3</v>
      </c>
      <c r="W6" s="72">
        <v>1.5429988866912899E-3</v>
      </c>
      <c r="X6" s="72">
        <v>1.44534072931179E-3</v>
      </c>
      <c r="Y6" s="72">
        <v>1.30861930897197E-3</v>
      </c>
      <c r="Z6" s="72">
        <v>1.15236625715198E-3</v>
      </c>
      <c r="AA6" s="24">
        <v>2</v>
      </c>
    </row>
    <row r="7" spans="2:27" x14ac:dyDescent="0.45">
      <c r="B7" s="31" t="s">
        <v>46</v>
      </c>
      <c r="C7" s="10">
        <v>38</v>
      </c>
      <c r="D7" s="10">
        <v>0.495</v>
      </c>
      <c r="E7" s="10">
        <v>1.1075852895</v>
      </c>
      <c r="F7" s="10">
        <v>1.7471548E-3</v>
      </c>
      <c r="G7" s="32" cm="1">
        <f t="array" ref="G7">INDEX($U$5:$U$17,MATCH(MIN(ABS($U$5:$U$17-F7)),ABS($U$5:$U$17-F7),0))</f>
        <v>1.7383152014645001E-3</v>
      </c>
      <c r="H7" s="33">
        <f t="shared" si="0"/>
        <v>5.0594249207339143E-3</v>
      </c>
      <c r="I7" s="34">
        <f>MATCH(G7,$U$5:$U$20,0)</f>
        <v>5</v>
      </c>
      <c r="K7" s="31" t="s">
        <v>46</v>
      </c>
      <c r="L7" s="10">
        <v>38</v>
      </c>
      <c r="M7" s="10">
        <v>0.495</v>
      </c>
      <c r="N7" s="76">
        <v>1.1075852895</v>
      </c>
      <c r="O7" s="89">
        <v>1.7683665999999999E-3</v>
      </c>
      <c r="P7" s="89" cm="1">
        <f t="array" ref="P7">INDEX($U$5:$U$17,MATCH(MIN(ABS($U$5:$U$17-O7)),ABS($U$5:$U$17-O7),0))</f>
        <v>1.7773784644212799E-3</v>
      </c>
      <c r="Q7" s="35">
        <f>(O7-P7)/O7</f>
        <v>-5.0961516810371539E-3</v>
      </c>
      <c r="R7" s="34">
        <f>MATCH(P7,$U$5:$U$20,0)</f>
        <v>13</v>
      </c>
      <c r="T7" s="72">
        <v>1.91409988475755E-3</v>
      </c>
      <c r="U7" s="72">
        <v>1.6992519385183901E-3</v>
      </c>
      <c r="V7" s="72">
        <v>1.67972030703467E-3</v>
      </c>
      <c r="W7" s="72">
        <v>1.5429988866912899E-3</v>
      </c>
      <c r="X7" s="72">
        <v>1.44534072930469E-3</v>
      </c>
      <c r="Y7" s="72">
        <v>1.28908767749181E-3</v>
      </c>
      <c r="Z7" s="72">
        <v>1.1328346256753699E-3</v>
      </c>
      <c r="AA7" s="24">
        <v>3</v>
      </c>
    </row>
    <row r="8" spans="2:27" x14ac:dyDescent="0.45">
      <c r="B8" s="31" t="s">
        <v>47</v>
      </c>
      <c r="C8" s="10">
        <v>58</v>
      </c>
      <c r="D8" s="10">
        <v>0.495</v>
      </c>
      <c r="E8" s="10">
        <v>1.0800306837</v>
      </c>
      <c r="F8" s="10">
        <v>1.6311323000000001E-3</v>
      </c>
      <c r="G8" s="32" cm="1">
        <f t="array" ref="G8">INDEX($V$5:$V$17,MATCH(MIN(ABS($V$5:$V$17-F8)),ABS($V$5:$V$17-F8),0))</f>
        <v>1.62112541261195E-3</v>
      </c>
      <c r="H8" s="33">
        <f t="shared" si="0"/>
        <v>6.134933008223856E-3</v>
      </c>
      <c r="I8" s="34">
        <f>MATCH(G8,$V$5:$V$20,0)</f>
        <v>13</v>
      </c>
      <c r="K8" s="31" t="s">
        <v>47</v>
      </c>
      <c r="L8" s="10">
        <v>58</v>
      </c>
      <c r="M8" s="10">
        <v>0.495</v>
      </c>
      <c r="N8" s="76">
        <v>1.0800306837</v>
      </c>
      <c r="O8" s="89">
        <v>1.6394027999999999E-3</v>
      </c>
      <c r="P8" s="89" cm="1">
        <f t="array" ref="P8">INDEX($V$5:$V$17,MATCH(MIN(ABS($V$5:$V$17-O8)),ABS($V$5:$V$17-O8),0))</f>
        <v>1.62112541261195E-3</v>
      </c>
      <c r="Q8" s="35">
        <f t="shared" ref="Q8:Q12" si="2">(O8-P8)/O8</f>
        <v>1.1148808205067079E-2</v>
      </c>
      <c r="R8" s="34">
        <f>MATCH(P8,$V$5:$V$20,0)</f>
        <v>13</v>
      </c>
      <c r="T8" s="72">
        <v>1.93363151623771E-3</v>
      </c>
      <c r="U8" s="72">
        <v>1.7187835699843401E-3</v>
      </c>
      <c r="V8" s="72">
        <v>1.6797203070311199E-3</v>
      </c>
      <c r="W8" s="72">
        <v>1.5234672552111299E-3</v>
      </c>
      <c r="X8" s="72">
        <v>1.44534072931179E-3</v>
      </c>
      <c r="Y8" s="72">
        <v>1.30861930897197E-3</v>
      </c>
      <c r="Z8" s="72">
        <v>1.1718978886321499E-3</v>
      </c>
      <c r="AA8" s="24">
        <v>4</v>
      </c>
    </row>
    <row r="9" spans="2:27" x14ac:dyDescent="0.45">
      <c r="B9" s="31" t="s">
        <v>48</v>
      </c>
      <c r="C9" s="10">
        <v>81</v>
      </c>
      <c r="D9" s="10">
        <v>0.495</v>
      </c>
      <c r="E9" s="10">
        <v>1.0581458267999999</v>
      </c>
      <c r="F9" s="10">
        <v>1.5408514999999999E-3</v>
      </c>
      <c r="G9" s="32" cm="1">
        <f t="array" ref="G9">INDEX($W$5:$W$17,MATCH(MIN(ABS($W$5:$W$17-F9)),ABS($W$5:$W$17-F9),0))</f>
        <v>1.5429988866912899E-3</v>
      </c>
      <c r="H9" s="33">
        <f t="shared" si="0"/>
        <v>-1.3936363700784724E-3</v>
      </c>
      <c r="I9" s="34">
        <f>MATCH(G9,$W$5:$W$20,0)</f>
        <v>2</v>
      </c>
      <c r="K9" s="31" t="s">
        <v>48</v>
      </c>
      <c r="L9" s="10">
        <v>81</v>
      </c>
      <c r="M9" s="10">
        <v>0.495</v>
      </c>
      <c r="N9" s="76">
        <v>1.0581458267999999</v>
      </c>
      <c r="O9" s="89">
        <v>1.5429528000000001E-3</v>
      </c>
      <c r="P9" s="89" cm="1">
        <f t="array" ref="P9">INDEX($W$5:$W$17,MATCH(MIN(ABS($W$5:$W$17-O9)),ABS($W$5:$W$17-O9),0))</f>
        <v>1.5429988866912899E-3</v>
      </c>
      <c r="Q9" s="35">
        <f t="shared" si="2"/>
        <v>-2.9869151726387366E-5</v>
      </c>
      <c r="R9" s="34">
        <f>MATCH(P9,$W$5:$W$20,0)</f>
        <v>2</v>
      </c>
      <c r="T9" s="72">
        <v>1.91409988477176E-3</v>
      </c>
      <c r="U9" s="72">
        <v>1.7383152014645001E-3</v>
      </c>
      <c r="V9" s="72">
        <v>1.66018867555806E-3</v>
      </c>
      <c r="W9" s="72">
        <v>1.5429988867054999E-3</v>
      </c>
      <c r="X9" s="72">
        <v>1.4453407293082399E-3</v>
      </c>
      <c r="Y9" s="72">
        <v>1.28908767749181E-3</v>
      </c>
      <c r="Z9" s="72">
        <v>1.13283462567892E-3</v>
      </c>
      <c r="AA9" s="24">
        <v>5</v>
      </c>
    </row>
    <row r="10" spans="2:27" x14ac:dyDescent="0.45">
      <c r="B10" s="31" t="s">
        <v>49</v>
      </c>
      <c r="C10" s="10">
        <v>123</v>
      </c>
      <c r="D10" s="10">
        <v>0.495</v>
      </c>
      <c r="E10" s="10">
        <v>1.0347568159</v>
      </c>
      <c r="F10" s="10">
        <v>1.4332802E-3</v>
      </c>
      <c r="G10" s="32" cm="1">
        <f t="array" ref="G10">INDEX($X$5:$X$17,MATCH(MIN(ABS($X$5:$X$17-F10)),ABS($X$5:$X$17-F10),0))</f>
        <v>1.42580909783874E-3</v>
      </c>
      <c r="H10" s="33">
        <f t="shared" si="0"/>
        <v>5.2125900861952302E-3</v>
      </c>
      <c r="I10" s="34">
        <f>MATCH(G10,$X$5:$X$20,0)</f>
        <v>12</v>
      </c>
      <c r="K10" s="31" t="s">
        <v>49</v>
      </c>
      <c r="L10" s="10">
        <v>123</v>
      </c>
      <c r="M10" s="10">
        <v>0.495</v>
      </c>
      <c r="N10" s="76">
        <v>1.0347568159</v>
      </c>
      <c r="O10" s="89">
        <v>1.4271023000000001E-3</v>
      </c>
      <c r="P10" s="89" cm="1">
        <f t="array" ref="P10">INDEX($X$5:$X$17,MATCH(MIN(ABS($X$5:$X$17-O10)),ABS($X$5:$X$17-O10),0))</f>
        <v>1.42580909783874E-3</v>
      </c>
      <c r="Q10" s="35">
        <f t="shared" si="2"/>
        <v>9.0617341255776727E-4</v>
      </c>
      <c r="R10" s="34">
        <f>MATCH(P10,$X$5:$X$20,0)</f>
        <v>12</v>
      </c>
      <c r="T10" s="72">
        <v>1.9140998847646501E-3</v>
      </c>
      <c r="U10" s="72">
        <v>1.81644172737805E-3</v>
      </c>
      <c r="V10" s="72">
        <v>1.77737846442305E-3</v>
      </c>
      <c r="W10" s="72">
        <v>1.6015937811282299E-3</v>
      </c>
      <c r="X10" s="73">
        <v>1.46487236079196E-3</v>
      </c>
      <c r="Y10" s="72">
        <v>1.4062774663568E-3</v>
      </c>
      <c r="Z10" s="72">
        <v>1.13283462567626E-3</v>
      </c>
      <c r="AA10" s="24">
        <v>6</v>
      </c>
    </row>
    <row r="11" spans="2:27" x14ac:dyDescent="0.45">
      <c r="B11" s="31" t="s">
        <v>50</v>
      </c>
      <c r="C11" s="10">
        <v>210</v>
      </c>
      <c r="D11" s="10">
        <v>0.495</v>
      </c>
      <c r="E11" s="10">
        <v>1.0162234047000001</v>
      </c>
      <c r="F11" s="10">
        <v>1.3017835000000001E-3</v>
      </c>
      <c r="G11" s="32" cm="1">
        <f t="array" ref="G11">INDEX($Y$5:$Y$17,MATCH(MIN(ABS($Y$5:$Y$17-F11)),ABS($Y$5:$Y$17-F11),0))</f>
        <v>1.30861930897197E-3</v>
      </c>
      <c r="H11" s="33">
        <f t="shared" si="0"/>
        <v>-5.2511104741839801E-3</v>
      </c>
      <c r="I11" s="34">
        <f>MATCH(G11,$Y$5:$Y$20,0)</f>
        <v>1</v>
      </c>
      <c r="K11" s="31" t="s">
        <v>50</v>
      </c>
      <c r="L11" s="10">
        <v>210</v>
      </c>
      <c r="M11" s="10">
        <v>0.495</v>
      </c>
      <c r="N11" s="76">
        <v>1.0162234047000001</v>
      </c>
      <c r="O11" s="89">
        <v>1.2856774E-3</v>
      </c>
      <c r="P11" s="89" cm="1">
        <f t="array" ref="P11">INDEX($Y$5:$Y$17,MATCH(MIN(ABS($Y$5:$Y$17-O11)),ABS($Y$5:$Y$17-O11),0))</f>
        <v>1.28908767749181E-3</v>
      </c>
      <c r="Q11" s="35">
        <f t="shared" si="2"/>
        <v>-2.6525141468692255E-3</v>
      </c>
      <c r="R11" s="34">
        <f>MATCH(P11,$Y$5:$Y$20,0)</f>
        <v>3</v>
      </c>
      <c r="T11" s="72">
        <v>1.8555049903312699E-3</v>
      </c>
      <c r="U11" s="72">
        <v>1.75784683294467E-3</v>
      </c>
      <c r="V11" s="72">
        <v>1.7187835699914401E-3</v>
      </c>
      <c r="W11" s="72">
        <v>1.5820621496516201E-3</v>
      </c>
      <c r="X11" s="72">
        <v>1.44534072931179E-3</v>
      </c>
      <c r="Y11" s="72">
        <v>1.3476825719251899E-3</v>
      </c>
      <c r="Z11" s="72">
        <v>1.1133029942005401E-3</v>
      </c>
      <c r="AA11" s="24">
        <v>7</v>
      </c>
    </row>
    <row r="12" spans="2:27" ht="14.65" thickBot="1" x14ac:dyDescent="0.5">
      <c r="B12" s="36" t="s">
        <v>51</v>
      </c>
      <c r="C12" s="37">
        <v>445</v>
      </c>
      <c r="D12" s="37">
        <v>0.495</v>
      </c>
      <c r="E12" s="37">
        <v>1.0009672223999999</v>
      </c>
      <c r="F12" s="37">
        <v>1.1344167000000001E-3</v>
      </c>
      <c r="G12" s="38" cm="1">
        <f t="array" ref="G12">INDEX($Z$5:$Z$17,MATCH(MIN(ABS($Z$5:$Z$17-F12)),ABS($Z$5:$Z$17-F12),0))</f>
        <v>1.13283462567892E-3</v>
      </c>
      <c r="H12" s="33">
        <f t="shared" si="0"/>
        <v>1.3946148016686271E-3</v>
      </c>
      <c r="I12" s="39">
        <f>MATCH(G12,$Z$5:$Z$20,0)</f>
        <v>5</v>
      </c>
      <c r="K12" s="36" t="s">
        <v>51</v>
      </c>
      <c r="L12" s="37">
        <v>445</v>
      </c>
      <c r="M12" s="37">
        <v>0.495</v>
      </c>
      <c r="N12" s="77">
        <v>1.0009672223999999</v>
      </c>
      <c r="O12" s="90">
        <v>1.1138666E-3</v>
      </c>
      <c r="P12" s="90" cm="1">
        <f t="array" ref="P12">INDEX($Z$5:$Z$17,MATCH(MIN(ABS($Z$5:$Z$17-O12)),ABS($Z$5:$Z$17-O12),0))</f>
        <v>1.1133029942005401E-3</v>
      </c>
      <c r="Q12" s="35">
        <f t="shared" si="2"/>
        <v>5.0599039369700186E-4</v>
      </c>
      <c r="R12" s="39">
        <f>MATCH(P12,$Z$5:$Z$20,0)</f>
        <v>7</v>
      </c>
      <c r="T12" s="72">
        <v>1.8750366218114301E-3</v>
      </c>
      <c r="U12" s="72">
        <v>1.75784683294467E-3</v>
      </c>
      <c r="V12" s="72">
        <v>1.69925193851483E-3</v>
      </c>
      <c r="W12" s="72">
        <v>1.5820621496516201E-3</v>
      </c>
      <c r="X12" s="72">
        <v>1.44534072931179E-3</v>
      </c>
      <c r="Y12" s="73">
        <v>1.32815094045213E-3</v>
      </c>
      <c r="Z12" s="72">
        <v>1.13283462567892E-3</v>
      </c>
      <c r="AA12" s="24">
        <v>8</v>
      </c>
    </row>
    <row r="13" spans="2:27" ht="14.65" thickBot="1" x14ac:dyDescent="0.5">
      <c r="B13" s="40"/>
      <c r="G13" s="41" t="s">
        <v>52</v>
      </c>
      <c r="H13" s="42" cm="1">
        <f t="array" ref="H13">AVERAGE(ABS(H6:H12))</f>
        <v>4.4988957384451385E-3</v>
      </c>
      <c r="I13" s="43"/>
      <c r="K13" s="40"/>
      <c r="N13" s="78"/>
      <c r="O13" s="78"/>
      <c r="P13" s="79" t="s">
        <v>52</v>
      </c>
      <c r="Q13" s="44" cm="1">
        <f t="array" ref="Q13">AVERAGE(ABS(Q6:Q12))</f>
        <v>5.2085198438707988E-3</v>
      </c>
      <c r="R13" s="43"/>
      <c r="T13" s="72">
        <v>1.8945682532916001E-3</v>
      </c>
      <c r="U13" s="72">
        <v>1.7187835699843401E-3</v>
      </c>
      <c r="V13" s="72">
        <v>1.6992519385112799E-3</v>
      </c>
      <c r="W13" s="72">
        <v>1.5820621496516201E-3</v>
      </c>
      <c r="X13" s="72">
        <v>1.46487236078485E-3</v>
      </c>
      <c r="Y13" s="72">
        <v>1.3476825719180899E-3</v>
      </c>
      <c r="Z13" s="72">
        <v>1.13283462567892E-3</v>
      </c>
      <c r="AA13" s="24">
        <v>9</v>
      </c>
    </row>
    <row r="14" spans="2:27" x14ac:dyDescent="0.45">
      <c r="B14" s="25" t="s">
        <v>45</v>
      </c>
      <c r="C14" s="26">
        <v>16</v>
      </c>
      <c r="D14" s="26">
        <v>0.3</v>
      </c>
      <c r="E14" s="26">
        <v>1.2913992999999999</v>
      </c>
      <c r="F14" s="26">
        <v>1.9689363999999998E-3</v>
      </c>
      <c r="G14" s="27" cm="1">
        <f t="array" ref="G14">INDEX($T$5:$T$17,MATCH(MIN(ABS($T$5:$T$17-F14)),ABS($T$5:$T$17-F14),0))</f>
        <v>1.9726947791944799E-3</v>
      </c>
      <c r="H14" s="45">
        <f t="shared" ref="H14:H20" si="3">(F14-G14)/F14</f>
        <v>-1.9088372760440828E-3</v>
      </c>
      <c r="I14" s="29">
        <f>MATCH(G14,$T$5:$T$20,0)</f>
        <v>10</v>
      </c>
      <c r="K14" s="61" t="s">
        <v>45</v>
      </c>
      <c r="L14" s="62">
        <v>16</v>
      </c>
      <c r="M14" s="62">
        <v>0.3</v>
      </c>
      <c r="N14" s="80">
        <v>1.2913992999999999</v>
      </c>
      <c r="O14" s="85">
        <v>2.0296153437074E-3</v>
      </c>
      <c r="P14" s="85" cm="1">
        <f t="array" ref="P14">INDEX($T$5:$T$17,MATCH(MIN(ABS($T$5:$T$17-O14)),ABS($T$5:$T$17-O14),0))</f>
        <v>1.97269477919804E-3</v>
      </c>
      <c r="Q14" s="63">
        <f t="shared" ref="Q14:Q20" si="4">(O14-P14)/O14</f>
        <v>2.8045001081528104E-2</v>
      </c>
      <c r="R14" s="64">
        <f>MATCH(P14,$T$5:$T$20,0)</f>
        <v>2</v>
      </c>
      <c r="T14" s="73">
        <v>1.9726947791944799E-3</v>
      </c>
      <c r="U14" s="72">
        <v>1.75784683294467E-3</v>
      </c>
      <c r="V14" s="72">
        <v>1.62112541260484E-3</v>
      </c>
      <c r="W14" s="72">
        <v>1.5820621496516201E-3</v>
      </c>
      <c r="X14" s="72">
        <v>1.4648723607884101E-3</v>
      </c>
      <c r="Y14" s="72">
        <v>1.4062774663568E-3</v>
      </c>
      <c r="Z14" s="72">
        <v>1.11330299419876E-3</v>
      </c>
      <c r="AA14" s="24">
        <v>10</v>
      </c>
    </row>
    <row r="15" spans="2:27" x14ac:dyDescent="0.45">
      <c r="B15" s="31" t="s">
        <v>46</v>
      </c>
      <c r="C15" s="10">
        <v>38</v>
      </c>
      <c r="D15" s="10">
        <v>0.3</v>
      </c>
      <c r="E15" s="10">
        <v>1.1646265733000001</v>
      </c>
      <c r="F15" s="10">
        <v>1.7766308E-3</v>
      </c>
      <c r="G15" s="32" cm="1">
        <f t="array" ref="G15">INDEX($U$5:$U$17,MATCH(MIN(ABS($U$5:$U$17-F15)),ABS($U$5:$U$17-F15),0))</f>
        <v>1.7773784644212799E-3</v>
      </c>
      <c r="H15" s="46">
        <f t="shared" si="3"/>
        <v>-4.2083274773795104E-4</v>
      </c>
      <c r="I15" s="34">
        <f>MATCH(G15,$U$5:$U$20,0)</f>
        <v>13</v>
      </c>
      <c r="K15" s="65" t="s">
        <v>46</v>
      </c>
      <c r="L15" s="66">
        <v>38</v>
      </c>
      <c r="M15" s="66">
        <v>0.3</v>
      </c>
      <c r="N15" s="81">
        <v>1.1646265733333301</v>
      </c>
      <c r="O15" s="86">
        <v>1.8016352113886401E-3</v>
      </c>
      <c r="P15" s="86" cm="1">
        <f t="array" ref="P15">INDEX($U$5:$U$17,MATCH(MIN(ABS($U$5:$U$17-O15)),ABS($U$5:$U$17-O15),0))</f>
        <v>1.7969100959014401E-3</v>
      </c>
      <c r="Q15" s="67">
        <f t="shared" si="4"/>
        <v>2.6226815824486739E-3</v>
      </c>
      <c r="R15" s="68">
        <f>MATCH(P15,$U$5:$U$20,0)</f>
        <v>12</v>
      </c>
      <c r="T15" s="72">
        <v>1.93363151623771E-3</v>
      </c>
      <c r="U15" s="72">
        <v>1.8945682532862699E-3</v>
      </c>
      <c r="V15" s="72">
        <v>1.7187835699914401E-3</v>
      </c>
      <c r="W15" s="72">
        <v>1.5820621496516201E-3</v>
      </c>
      <c r="X15" s="72">
        <v>1.44534072931179E-3</v>
      </c>
      <c r="Y15" s="72">
        <v>1.3476825719251899E-3</v>
      </c>
      <c r="Z15" s="72">
        <v>1.11330299419876E-3</v>
      </c>
      <c r="AA15" s="24">
        <v>11</v>
      </c>
    </row>
    <row r="16" spans="2:27" x14ac:dyDescent="0.45">
      <c r="B16" s="31" t="s">
        <v>47</v>
      </c>
      <c r="C16" s="10">
        <v>58</v>
      </c>
      <c r="D16" s="10">
        <v>0.3</v>
      </c>
      <c r="E16" s="10">
        <v>1.1318256419999999</v>
      </c>
      <c r="F16" s="10">
        <v>1.6617587E-3</v>
      </c>
      <c r="G16" s="32" cm="1">
        <f t="array" ref="G16">INDEX($V$5:$V$17,MATCH(MIN(ABS($V$5:$V$17-F16)),ABS($V$5:$V$17-F16),0))</f>
        <v>1.6601886755616101E-3</v>
      </c>
      <c r="H16" s="46">
        <f t="shared" si="3"/>
        <v>9.447968819961027E-4</v>
      </c>
      <c r="I16" s="34">
        <f>MATCH(G16,$V$5:$V$20,0)</f>
        <v>2</v>
      </c>
      <c r="K16" s="65" t="s">
        <v>47</v>
      </c>
      <c r="L16" s="66">
        <v>58</v>
      </c>
      <c r="M16" s="66">
        <v>0.3</v>
      </c>
      <c r="N16" s="81">
        <v>1.1318256419999999</v>
      </c>
      <c r="O16" s="86">
        <v>1.67527074454843E-3</v>
      </c>
      <c r="P16" s="86" cm="1">
        <f t="array" ref="P16">INDEX($V$5:$V$17,MATCH(MIN(ABS($V$5:$V$17-O16)),ABS($V$5:$V$17-O16),0))</f>
        <v>1.6797203070311199E-3</v>
      </c>
      <c r="Q16" s="67">
        <f t="shared" si="4"/>
        <v>-2.656025897407566E-3</v>
      </c>
      <c r="R16" s="68">
        <f>MATCH(P16,$V$5:$V$20,0)</f>
        <v>4</v>
      </c>
      <c r="T16" s="72">
        <v>1.93363151623771E-3</v>
      </c>
      <c r="U16" s="72">
        <v>1.7969100959014401E-3</v>
      </c>
      <c r="V16" s="72">
        <v>1.62112541260484E-3</v>
      </c>
      <c r="W16" s="72">
        <v>1.5429988866912899E-3</v>
      </c>
      <c r="X16" s="72">
        <v>1.42580909783874E-3</v>
      </c>
      <c r="Y16" s="72">
        <v>1.32815094045213E-3</v>
      </c>
      <c r="Z16" s="72">
        <v>1.11330299419876E-3</v>
      </c>
      <c r="AA16" s="24">
        <v>12</v>
      </c>
    </row>
    <row r="17" spans="2:27" x14ac:dyDescent="0.45">
      <c r="B17" s="31" t="s">
        <v>48</v>
      </c>
      <c r="C17" s="10">
        <v>81</v>
      </c>
      <c r="D17" s="10">
        <v>0.3</v>
      </c>
      <c r="E17" s="10">
        <v>1.1046394657</v>
      </c>
      <c r="F17" s="10">
        <v>1.5749237E-3</v>
      </c>
      <c r="G17" s="32" cm="1">
        <f t="array" ref="G17">INDEX($W$5:$W$17,MATCH(MIN(ABS($W$5:$W$17-F17)),ABS($W$5:$W$17-F17),0))</f>
        <v>1.5820621496516201E-3</v>
      </c>
      <c r="H17" s="33">
        <f t="shared" si="3"/>
        <v>-4.5325685629215183E-3</v>
      </c>
      <c r="I17" s="34">
        <f>MATCH(G17,$W$5:$W$20,0)</f>
        <v>1</v>
      </c>
      <c r="K17" s="65" t="s">
        <v>48</v>
      </c>
      <c r="L17" s="66">
        <v>81</v>
      </c>
      <c r="M17" s="66">
        <v>0.3</v>
      </c>
      <c r="N17" s="81">
        <v>1.10463946566667</v>
      </c>
      <c r="O17" s="86">
        <v>1.5804963856821501E-3</v>
      </c>
      <c r="P17" s="86" cm="1">
        <f t="array" ref="P17">INDEX($W$5:$W$17,MATCH(MIN(ABS($W$5:$W$17-O17)),ABS($W$5:$W$17-O17),0))</f>
        <v>1.5820621496516201E-3</v>
      </c>
      <c r="Q17" s="67">
        <f t="shared" si="4"/>
        <v>-9.9067861442414659E-4</v>
      </c>
      <c r="R17" s="68">
        <f>MATCH(P17,$W$5:$W$20,0)</f>
        <v>1</v>
      </c>
      <c r="T17" s="72">
        <v>1.93363151623771E-3</v>
      </c>
      <c r="U17" s="73">
        <v>1.7773784644212799E-3</v>
      </c>
      <c r="V17" s="72">
        <v>1.62112541261195E-3</v>
      </c>
      <c r="W17" s="72">
        <v>1.5625305181714601E-3</v>
      </c>
      <c r="X17" s="72">
        <v>1.42580909783874E-3</v>
      </c>
      <c r="Y17" s="72">
        <v>1.3476825719180899E-3</v>
      </c>
      <c r="Z17" s="72">
        <v>1.09377136273281E-3</v>
      </c>
      <c r="AA17" s="24">
        <v>13</v>
      </c>
    </row>
    <row r="18" spans="2:27" x14ac:dyDescent="0.45">
      <c r="B18" s="31" t="s">
        <v>49</v>
      </c>
      <c r="C18" s="10">
        <v>123</v>
      </c>
      <c r="D18" s="10">
        <v>0.3</v>
      </c>
      <c r="E18" s="10">
        <v>1.0756878593000001</v>
      </c>
      <c r="F18" s="10">
        <v>1.467873E-3</v>
      </c>
      <c r="G18" s="32" cm="1">
        <f t="array" ref="G18">INDEX($X$5:$X$17,MATCH(MIN(ABS($X$5:$X$17-F18)),ABS($X$5:$X$17-F18),0))</f>
        <v>1.46487236079196E-3</v>
      </c>
      <c r="H18" s="46">
        <f t="shared" si="3"/>
        <v>2.0442090072097375E-3</v>
      </c>
      <c r="I18" s="34">
        <f>MATCH(G18,$X$5:$X$20,0)</f>
        <v>6</v>
      </c>
      <c r="K18" s="65" t="s">
        <v>49</v>
      </c>
      <c r="L18" s="66">
        <v>123</v>
      </c>
      <c r="M18" s="66">
        <v>0.3</v>
      </c>
      <c r="N18" s="81">
        <v>1.0756878592600001</v>
      </c>
      <c r="O18" s="86">
        <v>1.4649292830543901E-3</v>
      </c>
      <c r="P18" s="86" cm="1">
        <f t="array" ref="P18">INDEX($X$5:$X$17,MATCH(MIN(ABS($X$5:$X$17-O18)),ABS($X$5:$X$17-O18),0))</f>
        <v>1.46487236079196E-3</v>
      </c>
      <c r="Q18" s="67">
        <f t="shared" si="4"/>
        <v>3.8856662289789697E-5</v>
      </c>
      <c r="R18" s="68">
        <f>MATCH(P18,$X$5:$X$20,0)</f>
        <v>6</v>
      </c>
      <c r="T18" s="72"/>
      <c r="U18" s="72">
        <v>1.75784683294467E-3</v>
      </c>
      <c r="V18" s="72">
        <v>1.640657044085E-3</v>
      </c>
      <c r="W18" s="72"/>
      <c r="X18" s="72"/>
      <c r="Y18" s="72"/>
      <c r="Z18" s="72"/>
    </row>
    <row r="19" spans="2:27" x14ac:dyDescent="0.45">
      <c r="B19" s="31" t="s">
        <v>50</v>
      </c>
      <c r="C19" s="10">
        <v>210</v>
      </c>
      <c r="D19" s="10">
        <v>0.3</v>
      </c>
      <c r="E19" s="10">
        <v>1.0529022898</v>
      </c>
      <c r="F19" s="10">
        <v>1.3356077E-3</v>
      </c>
      <c r="G19" s="32" cm="1">
        <f t="array" ref="G19">INDEX($Y$5:$Y$17,MATCH(MIN(ABS($Y$5:$Y$17-F19)),ABS($Y$5:$Y$17-F19),0))</f>
        <v>1.32815094045213E-3</v>
      </c>
      <c r="H19" s="33">
        <f t="shared" si="3"/>
        <v>5.5830462402021181E-3</v>
      </c>
      <c r="I19" s="34">
        <f>MATCH(G19,$Y$5:$Y$20,0)</f>
        <v>8</v>
      </c>
      <c r="K19" s="65" t="s">
        <v>50</v>
      </c>
      <c r="L19" s="66">
        <v>210</v>
      </c>
      <c r="M19" s="66">
        <v>0.3</v>
      </c>
      <c r="N19" s="81">
        <v>1.0529022898</v>
      </c>
      <c r="O19" s="86">
        <v>1.32359215483988E-3</v>
      </c>
      <c r="P19" s="86" cm="1">
        <f t="array" ref="P19">INDEX($Y$5:$Y$17,MATCH(MIN(ABS($Y$5:$Y$17-O19)),ABS($Y$5:$Y$17-O19),0))</f>
        <v>1.32815094045213E-3</v>
      </c>
      <c r="Q19" s="67">
        <f t="shared" si="4"/>
        <v>-3.4442525181039899E-3</v>
      </c>
      <c r="R19" s="68">
        <f>MATCH(P19,$Y$5:$Y$20,0)</f>
        <v>8</v>
      </c>
      <c r="T19" s="72"/>
      <c r="U19" s="72">
        <v>1.7383152014645001E-3</v>
      </c>
      <c r="V19" s="72">
        <v>1.62112541261195E-3</v>
      </c>
      <c r="W19" s="72"/>
      <c r="X19" s="72"/>
      <c r="Y19" s="72"/>
      <c r="Z19" s="72"/>
    </row>
    <row r="20" spans="2:27" ht="14.65" thickBot="1" x14ac:dyDescent="0.5">
      <c r="B20" s="36" t="s">
        <v>51</v>
      </c>
      <c r="C20" s="37">
        <v>445</v>
      </c>
      <c r="D20" s="37">
        <v>0.3</v>
      </c>
      <c r="E20" s="37">
        <v>1.0373513543999999</v>
      </c>
      <c r="F20" s="37">
        <v>1.1663147999999999E-3</v>
      </c>
      <c r="G20" s="38" cm="1">
        <f t="array" ref="G20">INDEX($Z$5:$Z$17,MATCH(MIN(ABS($Z$5:$Z$17-F20)),ABS($Z$5:$Z$17-F20),0))</f>
        <v>1.1718978886321499E-3</v>
      </c>
      <c r="H20" s="33">
        <f t="shared" si="3"/>
        <v>-4.7869482854457392E-3</v>
      </c>
      <c r="I20" s="39">
        <f>MATCH(G20,$Z$5:$Z$20,0)</f>
        <v>4</v>
      </c>
      <c r="K20" s="69" t="s">
        <v>51</v>
      </c>
      <c r="L20" s="70">
        <v>445</v>
      </c>
      <c r="M20" s="70">
        <v>0.3</v>
      </c>
      <c r="N20" s="82">
        <v>1.0373513544249999</v>
      </c>
      <c r="O20" s="87">
        <v>1.1527295345413499E-3</v>
      </c>
      <c r="P20" s="87" cm="1">
        <f t="array" ref="P20">INDEX($Z$5:$Z$17,MATCH(MIN(ABS($Z$5:$Z$17-O20)),ABS($Z$5:$Z$17-O20),0))</f>
        <v>1.15236625715376E-3</v>
      </c>
      <c r="Q20" s="67">
        <f t="shared" si="4"/>
        <v>3.1514538033798606E-4</v>
      </c>
      <c r="R20" s="71">
        <f>MATCH(P20,$Z$5:$Z$20,0)</f>
        <v>1</v>
      </c>
      <c r="T20" s="74"/>
      <c r="U20" s="74">
        <v>1.7383152014716101E-3</v>
      </c>
      <c r="V20" s="74"/>
      <c r="W20" s="74"/>
      <c r="X20" s="74"/>
      <c r="Y20" s="74"/>
      <c r="Z20" s="74"/>
    </row>
    <row r="21" spans="2:27" ht="14.65" thickBot="1" x14ac:dyDescent="0.5">
      <c r="B21" s="40"/>
      <c r="G21" s="41" t="s">
        <v>52</v>
      </c>
      <c r="H21" s="42" cm="1">
        <f t="array" ref="H21">AVERAGE(ABS(H14:H20))</f>
        <v>2.8887484287938928E-3</v>
      </c>
      <c r="I21" s="43"/>
      <c r="K21" s="40"/>
      <c r="N21" s="78"/>
      <c r="O21" s="78"/>
      <c r="P21" s="79" t="s">
        <v>52</v>
      </c>
      <c r="Q21" s="44" cm="1">
        <f t="array" ref="Q21">AVERAGE(ABS(Q14:Q20))</f>
        <v>5.4446631052200364E-3</v>
      </c>
      <c r="R21" s="43"/>
      <c r="T21" s="47" cm="1">
        <f t="array" ref="T21">_xlfn.MODE.MULT(T5:T20)</f>
        <v>1.93363151623771E-3</v>
      </c>
      <c r="U21" s="47" cm="1">
        <f t="array" ref="U21">_xlfn.MODE.MULT(U5:U20)</f>
        <v>1.75784683294467E-3</v>
      </c>
      <c r="V21" s="47" cm="1">
        <f t="array" ref="V21:V23">_xlfn.MODE.MULT(V5:V20)</f>
        <v>1.7187835699914401E-3</v>
      </c>
      <c r="W21" s="47" cm="1">
        <f t="array" ref="W21">_xlfn.MODE.MULT(W5:W20)</f>
        <v>1.5820621496516201E-3</v>
      </c>
      <c r="X21" s="47" cm="1">
        <f t="array" ref="X21">_xlfn.MODE.MULT(X5:X20)</f>
        <v>1.44534072931179E-3</v>
      </c>
      <c r="Y21" s="47" cm="1">
        <f t="array" ref="Y21">_xlfn.MODE.MULT(Y5:Y20)</f>
        <v>1.30861930897197E-3</v>
      </c>
      <c r="Z21" s="47" cm="1">
        <f t="array" ref="Z21:Z22">_xlfn.MODE.MULT(Z5:Z20)</f>
        <v>1.13283462567892E-3</v>
      </c>
    </row>
    <row r="22" spans="2:27" x14ac:dyDescent="0.45">
      <c r="B22" s="25" t="s">
        <v>45</v>
      </c>
      <c r="C22" s="26">
        <v>16</v>
      </c>
      <c r="D22" s="26">
        <v>0.1</v>
      </c>
      <c r="E22" s="26">
        <v>1.3634039041999999</v>
      </c>
      <c r="F22" s="26">
        <v>1.9439167E-3</v>
      </c>
      <c r="G22" s="27" cm="1">
        <f t="array" ref="G22">INDEX($T$5:$T$17,MATCH(MIN(ABS($T$5:$T$17-F22)),ABS($T$5:$T$17-F22),0))</f>
        <v>1.93363151624482E-3</v>
      </c>
      <c r="H22" s="28">
        <f t="shared" ref="H22:H28" si="5">(F22-G22)/F22</f>
        <v>5.2909591008606371E-3</v>
      </c>
      <c r="I22" s="29">
        <f>MATCH(G22,$T$5:$T$20,0)</f>
        <v>1</v>
      </c>
      <c r="K22" s="25" t="s">
        <v>45</v>
      </c>
      <c r="L22" s="26">
        <v>16</v>
      </c>
      <c r="M22" s="26">
        <v>0.1</v>
      </c>
      <c r="N22" s="75">
        <v>1.3634039041999999</v>
      </c>
      <c r="O22" s="88">
        <v>2.0091730364389599E-3</v>
      </c>
      <c r="P22" s="88" cm="1">
        <f t="array" ref="P22">INDEX($T$5:$T$17,MATCH(MIN(ABS($T$5:$T$17-O22)),ABS($T$5:$T$17-O22),0))</f>
        <v>1.97269477919804E-3</v>
      </c>
      <c r="Q22" s="30">
        <f t="shared" ref="Q22:Q28" si="6">(O22-P22)/O22</f>
        <v>1.8155856454043228E-2</v>
      </c>
      <c r="R22" s="29">
        <f>MATCH(P22,$T$5:$T$20,0)</f>
        <v>2</v>
      </c>
      <c r="V22" s="14">
        <v>1.62112541260484E-3</v>
      </c>
      <c r="Z22" s="14">
        <v>1.11330299419876E-3</v>
      </c>
    </row>
    <row r="23" spans="2:27" x14ac:dyDescent="0.45">
      <c r="B23" s="31" t="s">
        <v>46</v>
      </c>
      <c r="C23" s="10">
        <v>38</v>
      </c>
      <c r="D23" s="10">
        <v>0.1</v>
      </c>
      <c r="E23" s="10">
        <v>1.2265115852999999</v>
      </c>
      <c r="F23" s="10">
        <v>1.7733448000000001E-3</v>
      </c>
      <c r="G23" s="32" cm="1">
        <f t="array" ref="G23">INDEX($U$5:$U$17,MATCH(MIN(ABS($U$5:$U$17-F23)),ABS($U$5:$U$17-F23),0))</f>
        <v>1.7773784644212799E-3</v>
      </c>
      <c r="H23" s="33">
        <f t="shared" si="5"/>
        <v>-2.2746080859626329E-3</v>
      </c>
      <c r="I23" s="34">
        <f>MATCH(G23,$U$5:$U$20,0)</f>
        <v>13</v>
      </c>
      <c r="K23" s="31" t="s">
        <v>46</v>
      </c>
      <c r="L23" s="10">
        <v>38</v>
      </c>
      <c r="M23" s="10">
        <v>0.1</v>
      </c>
      <c r="N23" s="76">
        <v>1.2265115852666699</v>
      </c>
      <c r="O23" s="89">
        <v>1.79784118812692E-3</v>
      </c>
      <c r="P23" s="89" cm="1">
        <f t="array" ref="P23">INDEX($U$5:$U$17,MATCH(MIN(ABS($U$5:$U$17-O23)),ABS($U$5:$U$17-O23),0))</f>
        <v>1.7969100959014401E-3</v>
      </c>
      <c r="Q23" s="35">
        <f t="shared" si="6"/>
        <v>5.1789459026129955E-4</v>
      </c>
      <c r="R23" s="34">
        <f>MATCH(P23,$U$5:$U$20,0)</f>
        <v>12</v>
      </c>
      <c r="V23" s="14">
        <v>1.62112541261195E-3</v>
      </c>
    </row>
    <row r="24" spans="2:27" x14ac:dyDescent="0.45">
      <c r="B24" s="31" t="s">
        <v>47</v>
      </c>
      <c r="C24" s="10">
        <v>58</v>
      </c>
      <c r="D24" s="10">
        <v>0.1</v>
      </c>
      <c r="E24" s="10">
        <v>1.1851582293</v>
      </c>
      <c r="F24" s="10">
        <v>1.6626493000000001E-3</v>
      </c>
      <c r="G24" s="32" cm="1">
        <f t="array" ref="G24">INDEX($V$5:$V$17,MATCH(MIN(ABS($V$5:$V$17-F24)),ABS($V$5:$V$17-F24),0))</f>
        <v>1.6601886755616101E-3</v>
      </c>
      <c r="H24" s="33">
        <f t="shared" si="5"/>
        <v>1.479941944696347E-3</v>
      </c>
      <c r="I24" s="34">
        <f>MATCH(G24,$V$5:$V$20,0)</f>
        <v>2</v>
      </c>
      <c r="K24" s="31" t="s">
        <v>47</v>
      </c>
      <c r="L24" s="10">
        <v>58</v>
      </c>
      <c r="M24" s="10">
        <v>0.1</v>
      </c>
      <c r="N24" s="76">
        <v>1.1851582293</v>
      </c>
      <c r="O24" s="89">
        <v>1.67739965603936E-3</v>
      </c>
      <c r="P24" s="89" cm="1">
        <f t="array" ref="P24">INDEX($V$5:$V$17,MATCH(MIN(ABS($V$5:$V$17-O24)),ABS($V$5:$V$17-O24),0))</f>
        <v>1.6797203070311199E-3</v>
      </c>
      <c r="Q24" s="35">
        <f t="shared" si="6"/>
        <v>-1.3834812612513695E-3</v>
      </c>
      <c r="R24" s="34">
        <f>MATCH(P24,$V$5:$V$20,0)</f>
        <v>4</v>
      </c>
      <c r="T24" s="14">
        <f>MAX(T5:T20)</f>
        <v>1.97269477919804E-3</v>
      </c>
      <c r="U24" s="14">
        <f t="shared" ref="U24:Z24" si="7">MAX(U5:U20)</f>
        <v>1.8945682532862699E-3</v>
      </c>
      <c r="V24" s="14">
        <f t="shared" si="7"/>
        <v>1.77737846442305E-3</v>
      </c>
      <c r="W24" s="14">
        <f t="shared" si="7"/>
        <v>1.6015937811282299E-3</v>
      </c>
      <c r="X24" s="14">
        <f t="shared" si="7"/>
        <v>1.46487236079196E-3</v>
      </c>
      <c r="Y24" s="14">
        <f t="shared" si="7"/>
        <v>1.4062774663568E-3</v>
      </c>
      <c r="Z24" s="14">
        <f t="shared" si="7"/>
        <v>1.1718978886321499E-3</v>
      </c>
    </row>
    <row r="25" spans="2:27" x14ac:dyDescent="0.45">
      <c r="B25" s="31" t="s">
        <v>48</v>
      </c>
      <c r="C25" s="10">
        <v>81</v>
      </c>
      <c r="D25" s="10">
        <v>0.1</v>
      </c>
      <c r="E25" s="10">
        <v>1.148219463</v>
      </c>
      <c r="F25" s="10">
        <v>1.5804562999999999E-3</v>
      </c>
      <c r="G25" s="32" cm="1">
        <f t="array" ref="G25">INDEX($W$5:$W$17,MATCH(MIN(ABS($W$5:$W$17-F25)),ABS($W$5:$W$17-F25),0))</f>
        <v>1.5820621496516201E-3</v>
      </c>
      <c r="H25" s="46">
        <f t="shared" si="5"/>
        <v>-1.0160671013935154E-3</v>
      </c>
      <c r="I25" s="34">
        <f>MATCH(G25,$W$5:$W$20,0)</f>
        <v>1</v>
      </c>
      <c r="K25" s="31" t="s">
        <v>48</v>
      </c>
      <c r="L25" s="10">
        <v>81</v>
      </c>
      <c r="M25" s="10">
        <v>0.1</v>
      </c>
      <c r="N25" s="76">
        <v>1.14821946301667</v>
      </c>
      <c r="O25" s="89">
        <v>1.5880566038286401E-3</v>
      </c>
      <c r="P25" s="89" cm="1">
        <f t="array" ref="P25">INDEX($W$5:$W$17,MATCH(MIN(ABS($W$5:$W$17-O25)),ABS($W$5:$W$17-O25),0))</f>
        <v>1.5820621496516201E-3</v>
      </c>
      <c r="Q25" s="35">
        <f t="shared" si="6"/>
        <v>3.774710651098983E-3</v>
      </c>
      <c r="R25" s="34">
        <f>MATCH(P25,$W$5:$W$20,0)</f>
        <v>1</v>
      </c>
    </row>
    <row r="26" spans="2:27" x14ac:dyDescent="0.45">
      <c r="B26" s="31" t="s">
        <v>49</v>
      </c>
      <c r="C26" s="10">
        <v>123</v>
      </c>
      <c r="D26" s="10">
        <v>0.1</v>
      </c>
      <c r="E26" s="10">
        <v>1.1115446309999999</v>
      </c>
      <c r="F26" s="10">
        <v>1.477805E-3</v>
      </c>
      <c r="G26" s="32" cm="1">
        <f t="array" ref="G26">INDEX($X$5:$X$17,MATCH(MIN(ABS($X$5:$X$17-F26)),ABS($X$5:$X$17-F26),0))</f>
        <v>1.46487236079196E-3</v>
      </c>
      <c r="H26" s="33">
        <f t="shared" si="5"/>
        <v>8.7512487831885935E-3</v>
      </c>
      <c r="I26" s="34">
        <f>MATCH(G26,$X$5:$X$20,0)</f>
        <v>6</v>
      </c>
      <c r="K26" s="31" t="s">
        <v>49</v>
      </c>
      <c r="L26" s="10">
        <v>123</v>
      </c>
      <c r="M26" s="10">
        <v>0.1</v>
      </c>
      <c r="N26" s="76">
        <v>1.1115446309799999</v>
      </c>
      <c r="O26" s="89">
        <v>1.4757254236416001E-3</v>
      </c>
      <c r="P26" s="89" cm="1">
        <f t="array" ref="P26">INDEX($X$5:$X$17,MATCH(MIN(ABS($X$5:$X$17-O26)),ABS($X$5:$X$17-O26),0))</f>
        <v>1.46487236079196E-3</v>
      </c>
      <c r="Q26" s="35">
        <f t="shared" si="6"/>
        <v>7.3543917288206341E-3</v>
      </c>
      <c r="R26" s="34">
        <f>MATCH(P26,$X$5:$X$20,0)</f>
        <v>6</v>
      </c>
      <c r="AA26" s="78"/>
    </row>
    <row r="27" spans="2:27" x14ac:dyDescent="0.45">
      <c r="B27" s="31" t="s">
        <v>50</v>
      </c>
      <c r="C27" s="10">
        <v>210</v>
      </c>
      <c r="D27" s="10">
        <v>0.1</v>
      </c>
      <c r="E27" s="10">
        <v>1.0898876581000001</v>
      </c>
      <c r="F27" s="10">
        <v>1.3440195000000001E-3</v>
      </c>
      <c r="G27" s="32" cm="1">
        <f t="array" ref="G27">INDEX($Y$5:$Y$17,MATCH(MIN(ABS($Y$5:$Y$17-F27)),ABS($Y$5:$Y$17-F27),0))</f>
        <v>1.3476825719180899E-3</v>
      </c>
      <c r="H27" s="46">
        <f t="shared" si="5"/>
        <v>-2.7254603955447518E-3</v>
      </c>
      <c r="I27" s="34">
        <f>MATCH(G27,$Y$5:$Y$20,0)</f>
        <v>9</v>
      </c>
      <c r="K27" s="31" t="s">
        <v>50</v>
      </c>
      <c r="L27" s="10">
        <v>210</v>
      </c>
      <c r="M27" s="10">
        <v>0.1</v>
      </c>
      <c r="N27" s="76">
        <v>1.0898876581000001</v>
      </c>
      <c r="O27" s="89">
        <v>1.3332935779407E-3</v>
      </c>
      <c r="P27" s="89" cm="1">
        <f t="array" ref="P27">INDEX($Y$5:$Y$17,MATCH(MIN(ABS($Y$5:$Y$17-O27)),ABS($Y$5:$Y$17-O27),0))</f>
        <v>1.32815094045213E-3</v>
      </c>
      <c r="Q27" s="35">
        <f t="shared" si="6"/>
        <v>3.8570931216161367E-3</v>
      </c>
      <c r="R27" s="34">
        <f>MATCH(P27,$Y$5:$Y$20,0)</f>
        <v>8</v>
      </c>
      <c r="T27" s="103" t="s">
        <v>55</v>
      </c>
      <c r="U27" s="103"/>
      <c r="V27" s="103"/>
      <c r="W27" s="103"/>
      <c r="X27" s="103"/>
      <c r="Y27" s="103"/>
      <c r="Z27" s="103"/>
    </row>
    <row r="28" spans="2:27" ht="14.65" thickBot="1" x14ac:dyDescent="0.5">
      <c r="B28" s="36" t="s">
        <v>51</v>
      </c>
      <c r="C28" s="37">
        <v>445</v>
      </c>
      <c r="D28" s="37">
        <v>0.1</v>
      </c>
      <c r="E28" s="37">
        <v>1.0745863983999999</v>
      </c>
      <c r="F28" s="37">
        <v>1.1754323E-3</v>
      </c>
      <c r="G28" s="38" cm="1">
        <f t="array" ref="G28">INDEX($Z$5:$Z$17,MATCH(MIN(ABS($Z$5:$Z$17-F28)),ABS($Z$5:$Z$17-F28),0))</f>
        <v>1.1718978886321499E-3</v>
      </c>
      <c r="H28" s="46">
        <f t="shared" si="5"/>
        <v>3.0069033902250879E-3</v>
      </c>
      <c r="I28" s="39">
        <f>MATCH(G28,$Z$5:$Z$20,0)</f>
        <v>4</v>
      </c>
      <c r="K28" s="36" t="s">
        <v>51</v>
      </c>
      <c r="L28" s="37">
        <v>445</v>
      </c>
      <c r="M28" s="37">
        <v>0.1</v>
      </c>
      <c r="N28" s="77">
        <v>1.0745863983499999</v>
      </c>
      <c r="O28" s="90">
        <v>1.1553150946421E-3</v>
      </c>
      <c r="P28" s="90" cm="1">
        <f t="array" ref="P28">INDEX($Z$5:$Z$17,MATCH(MIN(ABS($Z$5:$Z$17-O28)),ABS($Z$5:$Z$17-O28),0))</f>
        <v>1.15236625715376E-3</v>
      </c>
      <c r="Q28" s="35">
        <f t="shared" si="6"/>
        <v>2.5524097296188127E-3</v>
      </c>
      <c r="R28" s="39">
        <f>MATCH(P28,$Z$5:$Z$20,0)</f>
        <v>1</v>
      </c>
      <c r="T28" s="73">
        <v>1.9726947791944799E-3</v>
      </c>
      <c r="U28" s="73">
        <v>1.7773784644212799E-3</v>
      </c>
      <c r="V28" s="73">
        <v>1.6601886755616101E-3</v>
      </c>
      <c r="W28" s="73">
        <v>1.5820621496516201E-3</v>
      </c>
      <c r="X28" s="73">
        <v>1.46487236079196E-3</v>
      </c>
      <c r="Y28" s="73">
        <v>1.32815094045213E-3</v>
      </c>
      <c r="Z28" s="72">
        <v>1.15236625715376E-3</v>
      </c>
    </row>
    <row r="29" spans="2:27" ht="14.65" thickBot="1" x14ac:dyDescent="0.5">
      <c r="B29" s="48"/>
      <c r="C29" s="49"/>
      <c r="D29" s="49"/>
      <c r="E29" s="49"/>
      <c r="F29" s="49"/>
      <c r="G29" s="50" t="s">
        <v>52</v>
      </c>
      <c r="H29" s="51" cm="1">
        <f t="array" ref="H29">AVERAGE(ABS(H22:H28))</f>
        <v>3.5064555431245092E-3</v>
      </c>
      <c r="I29" s="52"/>
      <c r="K29" s="48"/>
      <c r="L29" s="49"/>
      <c r="M29" s="49"/>
      <c r="N29" s="49"/>
      <c r="O29" s="49"/>
      <c r="P29" s="50" t="s">
        <v>52</v>
      </c>
      <c r="Q29" s="53" cm="1">
        <f t="array" ref="Q29">AVERAGE(ABS(Q22:Q28))</f>
        <v>5.370833933815781E-3</v>
      </c>
      <c r="R29" s="52"/>
      <c r="T29" s="72">
        <v>1.93363151623771E-3</v>
      </c>
      <c r="U29" s="72">
        <v>1.7969100959014401E-3</v>
      </c>
      <c r="V29" s="72">
        <v>1.67972030703467E-3</v>
      </c>
      <c r="W29" s="72">
        <v>1.5429988866912899E-3</v>
      </c>
      <c r="X29" s="72">
        <v>1.44534072931179E-3</v>
      </c>
      <c r="Y29" s="72">
        <v>1.4062774663568E-3</v>
      </c>
      <c r="Z29" s="72">
        <v>1.1328346256753699E-3</v>
      </c>
    </row>
    <row r="30" spans="2:27" x14ac:dyDescent="0.45">
      <c r="H30" s="42"/>
      <c r="T30" s="72">
        <v>1.97269477919804E-3</v>
      </c>
      <c r="U30" s="72">
        <v>1.75784683294467E-3</v>
      </c>
      <c r="V30" s="72">
        <v>1.7187835699914401E-3</v>
      </c>
      <c r="W30" s="72">
        <v>1.5820621496516201E-3</v>
      </c>
      <c r="X30" s="72">
        <v>1.46487236078485E-3</v>
      </c>
      <c r="Y30" s="72">
        <v>1.3476825719251899E-3</v>
      </c>
      <c r="Z30" s="72">
        <v>1.1718978886321499E-3</v>
      </c>
    </row>
    <row r="31" spans="2:27" x14ac:dyDescent="0.45">
      <c r="T31" s="72">
        <v>1.93363151623771E-3</v>
      </c>
      <c r="U31" s="72">
        <v>1.7383152014645001E-3</v>
      </c>
      <c r="V31" s="72">
        <v>1.6992519385112799E-3</v>
      </c>
      <c r="W31" s="72">
        <v>1.5625305181714601E-3</v>
      </c>
      <c r="X31" s="72">
        <v>1.42580909783874E-3</v>
      </c>
      <c r="Y31" s="72">
        <v>1.3476825719251899E-3</v>
      </c>
      <c r="Z31" s="72">
        <v>1.1328346256753699E-3</v>
      </c>
    </row>
    <row r="32" spans="2:27" x14ac:dyDescent="0.45">
      <c r="T32" s="74">
        <v>1.91409988477176E-3</v>
      </c>
      <c r="U32" s="74">
        <v>1.81644172737805E-3</v>
      </c>
      <c r="V32" s="74">
        <v>1.67972030703467E-3</v>
      </c>
      <c r="W32" s="74">
        <v>1.5429988866912899E-3</v>
      </c>
      <c r="X32" s="74">
        <v>1.46487236078663E-3</v>
      </c>
      <c r="Y32" s="74">
        <v>1.30861930897197E-3</v>
      </c>
      <c r="Z32" s="72">
        <v>1.15236625715198E-3</v>
      </c>
    </row>
    <row r="33" spans="7:26" x14ac:dyDescent="0.45">
      <c r="G33" s="41" t="s">
        <v>53</v>
      </c>
      <c r="H33" s="54">
        <f>(H28+H18+H16-H14-H15-H25-H27)/7</f>
        <v>1.7238724000216042E-3</v>
      </c>
      <c r="S33" s="47" t="s">
        <v>56</v>
      </c>
      <c r="T33" s="12">
        <f>_xlfn.STDEV.S(T28:T32)</f>
        <v>2.6204433415507397E-5</v>
      </c>
      <c r="U33" s="12">
        <f t="shared" ref="U33:Z33" si="8">_xlfn.STDEV.S(U28:U32)</f>
        <v>3.0882220945372322E-5</v>
      </c>
      <c r="V33" s="12">
        <f t="shared" si="8"/>
        <v>2.2269486221879185E-5</v>
      </c>
      <c r="W33" s="12">
        <f t="shared" si="8"/>
        <v>1.9531631480165074E-5</v>
      </c>
      <c r="X33" s="12">
        <f t="shared" si="8"/>
        <v>1.746962227558158E-5</v>
      </c>
      <c r="Y33" s="12">
        <f t="shared" si="8"/>
        <v>3.6540336595341327E-5</v>
      </c>
      <c r="Z33" s="12">
        <f t="shared" si="8"/>
        <v>1.6341335310857214E-5</v>
      </c>
    </row>
    <row r="34" spans="7:26" x14ac:dyDescent="0.45">
      <c r="S34" s="47" t="s">
        <v>57</v>
      </c>
      <c r="T34" s="72">
        <f>AVERAGE(T28:T32)</f>
        <v>1.9453504951279399E-3</v>
      </c>
      <c r="U34" s="72">
        <f t="shared" ref="U34:Y34" si="9">AVERAGE(U28:U32)</f>
        <v>1.7773784644219879E-3</v>
      </c>
      <c r="V34" s="72">
        <f t="shared" si="9"/>
        <v>1.6875329596267338E-3</v>
      </c>
      <c r="W34" s="72">
        <f t="shared" si="9"/>
        <v>1.562530518171456E-3</v>
      </c>
      <c r="X34" s="72">
        <f t="shared" si="9"/>
        <v>1.4531533819027939E-3</v>
      </c>
      <c r="Y34" s="72">
        <f t="shared" si="9"/>
        <v>1.3476825719262559E-3</v>
      </c>
      <c r="Z34" s="73">
        <f>AVERAGE(Z28:Z32)</f>
        <v>1.1484599308577259E-3</v>
      </c>
    </row>
    <row r="35" spans="7:26" x14ac:dyDescent="0.45">
      <c r="S35" s="47" t="s">
        <v>58</v>
      </c>
      <c r="T35" s="93">
        <f>T33/T34</f>
        <v>1.347028902048009E-2</v>
      </c>
      <c r="U35" s="93">
        <f t="shared" ref="U35:Z35" si="10">U33/U34</f>
        <v>1.7375151980034465E-2</v>
      </c>
      <c r="V35" s="93">
        <f t="shared" si="10"/>
        <v>1.3196474827256105E-2</v>
      </c>
      <c r="W35" s="93">
        <f t="shared" si="10"/>
        <v>1.2500000001933962E-2</v>
      </c>
      <c r="X35" s="93">
        <f t="shared" si="10"/>
        <v>1.2021870845255465E-2</v>
      </c>
      <c r="Y35" s="93">
        <f t="shared" si="10"/>
        <v>2.7113459323818267E-2</v>
      </c>
      <c r="Z35" s="93">
        <f t="shared" si="10"/>
        <v>1.4228912016680206E-2</v>
      </c>
    </row>
  </sheetData>
  <mergeCells count="4">
    <mergeCell ref="B2:I3"/>
    <mergeCell ref="K2:R3"/>
    <mergeCell ref="T3:Z3"/>
    <mergeCell ref="T27:Z2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h_Settings xmlns="be2f0c87-02d4-4752-b81c-c922a6596f75" xsi:nil="true"/>
    <Owner xmlns="be2f0c87-02d4-4752-b81c-c922a6596f75">
      <UserInfo>
        <DisplayName/>
        <AccountId xsi:nil="true"/>
        <AccountType/>
      </UserInfo>
    </Owner>
    <Distribution_Groups xmlns="be2f0c87-02d4-4752-b81c-c922a6596f75" xsi:nil="true"/>
    <LMS_Mappings xmlns="be2f0c87-02d4-4752-b81c-c922a6596f75" xsi:nil="true"/>
    <FolderType xmlns="be2f0c87-02d4-4752-b81c-c922a6596f75" xsi:nil="true"/>
    <Student_Groups xmlns="be2f0c87-02d4-4752-b81c-c922a6596f75">
      <UserInfo>
        <DisplayName/>
        <AccountId xsi:nil="true"/>
        <AccountType/>
      </UserInfo>
    </Student_Groups>
    <Invited_Students xmlns="be2f0c87-02d4-4752-b81c-c922a6596f75" xsi:nil="true"/>
    <DefaultSectionNames xmlns="be2f0c87-02d4-4752-b81c-c922a6596f75" xsi:nil="true"/>
    <Templates xmlns="be2f0c87-02d4-4752-b81c-c922a6596f75" xsi:nil="true"/>
    <Invited_Teachers xmlns="be2f0c87-02d4-4752-b81c-c922a6596f75" xsi:nil="true"/>
    <_activity xmlns="be2f0c87-02d4-4752-b81c-c922a6596f75" xsi:nil="true"/>
    <Self_Registration_Enabled xmlns="be2f0c87-02d4-4752-b81c-c922a6596f75" xsi:nil="true"/>
    <Has_Teacher_Only_SectionGroup xmlns="be2f0c87-02d4-4752-b81c-c922a6596f75" xsi:nil="true"/>
    <CultureName xmlns="be2f0c87-02d4-4752-b81c-c922a6596f75" xsi:nil="true"/>
    <Students xmlns="be2f0c87-02d4-4752-b81c-c922a6596f75">
      <UserInfo>
        <DisplayName/>
        <AccountId xsi:nil="true"/>
        <AccountType/>
      </UserInfo>
    </Students>
    <AppVersion xmlns="be2f0c87-02d4-4752-b81c-c922a6596f75" xsi:nil="true"/>
    <Is_Collaboration_Space_Locked xmlns="be2f0c87-02d4-4752-b81c-c922a6596f75" xsi:nil="true"/>
    <NotebookType xmlns="be2f0c87-02d4-4752-b81c-c922a6596f75" xsi:nil="true"/>
    <Teachers xmlns="be2f0c87-02d4-4752-b81c-c922a6596f75">
      <UserInfo>
        <DisplayName/>
        <AccountId xsi:nil="true"/>
        <AccountType/>
      </UserInfo>
    </Teachers>
    <TeamsChannelId xmlns="be2f0c87-02d4-4752-b81c-c922a6596f75" xsi:nil="true"/>
    <IsNotebookLocked xmlns="be2f0c87-02d4-4752-b81c-c922a6596f75" xsi:nil="true"/>
    <Teams_Channel_Section_Location xmlns="be2f0c87-02d4-4752-b81c-c922a6596f7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5E8EFC070DA74B9FBE9C2E0A003237" ma:contentTypeVersion="39" ma:contentTypeDescription="Crear nuevo documento." ma:contentTypeScope="" ma:versionID="797f143ae3fce21ec8239582c4272a65">
  <xsd:schema xmlns:xsd="http://www.w3.org/2001/XMLSchema" xmlns:xs="http://www.w3.org/2001/XMLSchema" xmlns:p="http://schemas.microsoft.com/office/2006/metadata/properties" xmlns:ns3="c04d918c-4302-46da-a3ed-925e0e3f04af" xmlns:ns4="be2f0c87-02d4-4752-b81c-c922a6596f75" targetNamespace="http://schemas.microsoft.com/office/2006/metadata/properties" ma:root="true" ma:fieldsID="694cf61e89c5826ce8813bb4401d785a" ns3:_="" ns4:_="">
    <xsd:import namespace="c04d918c-4302-46da-a3ed-925e0e3f04af"/>
    <xsd:import namespace="be2f0c87-02d4-4752-b81c-c922a6596f7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d918c-4302-46da-a3ed-925e0e3f04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f0c87-02d4-4752-b81c-c922a6596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9" nillable="true" ma:displayName="Is Collaboration Space Locked" ma:internalName="Is_Collaboration_Space_Locked">
      <xsd:simpleType>
        <xsd:restriction base="dms:Boolean"/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2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4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44" nillable="true" ma:displayName="_activity" ma:hidden="true" ma:internalName="_activity">
      <xsd:simpleType>
        <xsd:restriction base="dms:Note"/>
      </xsd:simpleType>
    </xsd:element>
    <xsd:element name="MediaServiceObjectDetectorVersions" ma:index="4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46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DDE2D8-12A6-4696-B4AE-009D4300C26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2f0c87-02d4-4752-b81c-c922a6596f75"/>
    <ds:schemaRef ds:uri="http://www.w3.org/XML/1998/namespace"/>
    <ds:schemaRef ds:uri="c04d918c-4302-46da-a3ed-925e0e3f04af"/>
    <ds:schemaRef ds:uri="http://purl.org/dc/terms/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91F8E24-363A-445F-8AAB-DF865F607A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4d918c-4302-46da-a3ed-925e0e3f04af"/>
    <ds:schemaRef ds:uri="be2f0c87-02d4-4752-b81c-c922a6596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2076EE-F900-40FF-9A5C-E0DB040911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Stagell</vt:lpstr>
      <vt:lpstr>SSW_CalibrationCurve</vt:lpstr>
      <vt:lpstr>SawBown_Calibration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Villacreses</dc:creator>
  <cp:lastModifiedBy>Pablo Sebastián Alvarado Sarmiento</cp:lastModifiedBy>
  <dcterms:created xsi:type="dcterms:W3CDTF">2024-08-14T18:34:06Z</dcterms:created>
  <dcterms:modified xsi:type="dcterms:W3CDTF">2024-09-05T01:19:00Z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0x0101004A5E8EFC070DA74B9FBE9C2E0A003237</vt:lpwstr>
  </property>
</Properties>
</file>