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7118CDE9-9972-4410-925B-DD77E7FB9D9C}" xr6:coauthVersionLast="47" xr6:coauthVersionMax="47" xr10:uidLastSave="{00000000-0000-0000-0000-000000000000}"/>
  <bookViews>
    <workbookView xWindow="-98" yWindow="-98" windowWidth="21795" windowHeight="12975" xr2:uid="{222926B5-EB45-41D1-A2C6-902104B99AD9}"/>
  </bookViews>
  <sheets>
    <sheet name="ProctorsCuadr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" l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17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8" i="1"/>
  <c r="L9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4" i="1"/>
  <c r="T4" i="1"/>
  <c r="K17" i="1" s="1"/>
  <c r="T6" i="1"/>
  <c r="K13" i="1" s="1"/>
  <c r="T7" i="1"/>
  <c r="K19" i="1" s="1"/>
  <c r="T9" i="1"/>
  <c r="K15" i="1" s="1"/>
  <c r="K5" i="1"/>
  <c r="K7" i="1"/>
  <c r="K8" i="1"/>
  <c r="K10" i="1"/>
  <c r="T3" i="1"/>
  <c r="K11" i="1" s="1"/>
  <c r="AI17" i="1" l="1"/>
  <c r="M8" i="1"/>
  <c r="M7" i="1"/>
  <c r="T5" i="1"/>
  <c r="K4" i="1"/>
  <c r="K18" i="1"/>
  <c r="M18" i="1" s="1"/>
  <c r="M19" i="1"/>
  <c r="M17" i="1"/>
  <c r="K14" i="1"/>
  <c r="M15" i="1"/>
  <c r="K12" i="1"/>
  <c r="M12" i="1" s="1"/>
  <c r="M14" i="1"/>
  <c r="M11" i="1"/>
  <c r="M10" i="1"/>
  <c r="M5" i="1"/>
  <c r="M4" i="1"/>
  <c r="K16" i="1"/>
  <c r="M16" i="1" s="1"/>
  <c r="M13" i="1"/>
  <c r="AI34" i="1" l="1"/>
  <c r="K6" i="1"/>
  <c r="M6" i="1" s="1"/>
  <c r="T8" i="1"/>
  <c r="K9" i="1" s="1"/>
  <c r="M9" i="1" s="1"/>
  <c r="J5" i="1" l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4" i="1"/>
  <c r="N4" i="1" s="1"/>
</calcChain>
</file>

<file path=xl/sharedStrings.xml><?xml version="1.0" encoding="utf-8"?>
<sst xmlns="http://schemas.openxmlformats.org/spreadsheetml/2006/main" count="94" uniqueCount="50">
  <si>
    <t>#1</t>
  </si>
  <si>
    <t>#2</t>
  </si>
  <si>
    <t>#3</t>
  </si>
  <si>
    <t>#4</t>
  </si>
  <si>
    <t>#5</t>
  </si>
  <si>
    <t>#6</t>
  </si>
  <si>
    <t>#7</t>
  </si>
  <si>
    <t>Golpes</t>
  </si>
  <si>
    <t>Num. Molde</t>
  </si>
  <si>
    <t>mTarro</t>
  </si>
  <si>
    <t>mTarro + humedo</t>
  </si>
  <si>
    <t>mTarro + seco</t>
  </si>
  <si>
    <t>humedad</t>
  </si>
  <si>
    <t>Volumen</t>
  </si>
  <si>
    <t>Cilindro + Suelo</t>
  </si>
  <si>
    <t>Masa Cilindro</t>
  </si>
  <si>
    <t>Masa</t>
  </si>
  <si>
    <t>Diametro</t>
  </si>
  <si>
    <t>Altura</t>
  </si>
  <si>
    <t>(g)</t>
  </si>
  <si>
    <t>25EST</t>
  </si>
  <si>
    <t>M. Humeda</t>
  </si>
  <si>
    <t>Densidad H.</t>
  </si>
  <si>
    <t>Densidad Seca</t>
  </si>
  <si>
    <t>cm3</t>
  </si>
  <si>
    <t>gr</t>
  </si>
  <si>
    <t>gr/cm3</t>
  </si>
  <si>
    <t>M#1_22G</t>
  </si>
  <si>
    <t>M#5_22G</t>
  </si>
  <si>
    <t>M#6_22G</t>
  </si>
  <si>
    <t>M#7_22G</t>
  </si>
  <si>
    <t>M#1_29G</t>
  </si>
  <si>
    <t>M#2_29G</t>
  </si>
  <si>
    <t>M#3_29G</t>
  </si>
  <si>
    <t>M#4_29G</t>
  </si>
  <si>
    <t>M#2_18G</t>
  </si>
  <si>
    <t>M#4_18G</t>
  </si>
  <si>
    <t>M#5_18G</t>
  </si>
  <si>
    <t>M#7_32G</t>
  </si>
  <si>
    <t>M#2_25EST</t>
  </si>
  <si>
    <t>M#1_25EST</t>
  </si>
  <si>
    <t>M#4_25EST</t>
  </si>
  <si>
    <t>M#5_25EST</t>
  </si>
  <si>
    <t>Promedio:</t>
  </si>
  <si>
    <t>Superficie</t>
  </si>
  <si>
    <t>Dry Density</t>
  </si>
  <si>
    <t>TOF</t>
  </si>
  <si>
    <t>Density</t>
  </si>
  <si>
    <t>Resumen</t>
  </si>
  <si>
    <t>95%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</si>
</sst>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A709F5"/>
      <name val="Consolas"/>
      <family val="3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0" fillId="2" borderId="1" xfId="1" applyNumberFormat="1" applyFont="1" applyFill="1" applyBorder="1"/>
    <xf numFmtId="0" fontId="0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/>
    <xf numFmtId="164" fontId="0" fillId="2" borderId="1" xfId="0" applyNumberFormat="1" applyFill="1" applyBorder="1"/>
    <xf numFmtId="0" fontId="4" fillId="0" borderId="0" xfId="0" applyFont="1" applyAlignment="1">
      <alignment horizontal="left" vertical="center" indent="2"/>
    </xf>
    <xf numFmtId="164" fontId="0" fillId="2" borderId="0" xfId="0" applyNumberFormat="1" applyFill="1"/>
    <xf numFmtId="0" fontId="1" fillId="2" borderId="0" xfId="0" applyFont="1" applyFill="1"/>
    <xf numFmtId="0" fontId="5" fillId="2" borderId="1" xfId="0" applyFont="1" applyFill="1" applyBorder="1"/>
    <xf numFmtId="0" fontId="1" fillId="2" borderId="2" xfId="0" applyFont="1" applyFill="1" applyBorder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E5C3-C508-4487-9665-67B62AC640C9}">
  <dimension ref="A2:AN34"/>
  <sheetViews>
    <sheetView tabSelected="1" topLeftCell="AB7" zoomScale="87" workbookViewId="0">
      <selection activeCell="AM29" sqref="AM29"/>
    </sheetView>
  </sheetViews>
  <sheetFormatPr defaultRowHeight="14.25" x14ac:dyDescent="0.45"/>
  <cols>
    <col min="1" max="1" width="9.06640625" style="1"/>
    <col min="2" max="2" width="12.59765625" style="1" bestFit="1" customWidth="1"/>
    <col min="3" max="3" width="8.1328125" style="1" bestFit="1" customWidth="1"/>
    <col min="4" max="4" width="11.3984375" style="1" hidden="1" customWidth="1"/>
    <col min="5" max="5" width="10.73046875" style="1" hidden="1" customWidth="1"/>
    <col min="6" max="6" width="13.06640625" style="1" bestFit="1" customWidth="1"/>
    <col min="7" max="7" width="9.06640625" style="1"/>
    <col min="8" max="8" width="14.46484375" style="1" bestFit="1" customWidth="1"/>
    <col min="9" max="9" width="11.6640625" style="1" bestFit="1" customWidth="1"/>
    <col min="10" max="10" width="9.06640625" style="1"/>
    <col min="11" max="11" width="7.9296875" style="1" bestFit="1" customWidth="1"/>
    <col min="12" max="12" width="9.796875" style="1" bestFit="1" customWidth="1"/>
    <col min="13" max="13" width="10.46484375" style="1" bestFit="1" customWidth="1"/>
    <col min="14" max="14" width="12.73046875" style="1" bestFit="1" customWidth="1"/>
    <col min="15" max="15" width="9.06640625" style="1"/>
    <col min="16" max="16" width="10.19921875" style="1" bestFit="1" customWidth="1"/>
    <col min="17" max="21" width="9.06640625" style="1"/>
    <col min="22" max="22" width="9.73046875" style="1" bestFit="1" customWidth="1"/>
    <col min="23" max="23" width="9.796875" style="1" bestFit="1" customWidth="1"/>
    <col min="24" max="26" width="9.73046875" style="1" bestFit="1" customWidth="1"/>
    <col min="27" max="27" width="9.796875" style="1" bestFit="1" customWidth="1"/>
    <col min="28" max="31" width="9.73046875" style="1" bestFit="1" customWidth="1"/>
    <col min="32" max="32" width="9.796875" style="1" bestFit="1" customWidth="1"/>
    <col min="33" max="33" width="9.73046875" style="1" bestFit="1" customWidth="1"/>
    <col min="34" max="34" width="11.73046875" style="1" bestFit="1" customWidth="1"/>
    <col min="35" max="35" width="9.06640625" style="1"/>
    <col min="36" max="37" width="11.73046875" style="1" bestFit="1" customWidth="1"/>
    <col min="38" max="16384" width="9.06640625" style="1"/>
  </cols>
  <sheetData>
    <row r="2" spans="1:40" x14ac:dyDescent="0.45">
      <c r="A2" s="2"/>
      <c r="B2" s="5" t="s">
        <v>8</v>
      </c>
      <c r="C2" s="5" t="s">
        <v>7</v>
      </c>
      <c r="D2" s="5" t="s">
        <v>15</v>
      </c>
      <c r="E2" s="5" t="s">
        <v>13</v>
      </c>
      <c r="F2" s="5" t="s">
        <v>14</v>
      </c>
      <c r="G2" s="5" t="s">
        <v>9</v>
      </c>
      <c r="H2" s="5" t="s">
        <v>10</v>
      </c>
      <c r="I2" s="5" t="s">
        <v>11</v>
      </c>
      <c r="J2" s="6" t="s">
        <v>12</v>
      </c>
      <c r="K2" s="6" t="s">
        <v>13</v>
      </c>
      <c r="L2" s="6" t="s">
        <v>21</v>
      </c>
      <c r="M2" s="6" t="s">
        <v>22</v>
      </c>
      <c r="N2" s="6" t="s">
        <v>23</v>
      </c>
      <c r="P2" s="5" t="s">
        <v>8</v>
      </c>
      <c r="Q2" s="5" t="s">
        <v>16</v>
      </c>
      <c r="R2" s="5" t="s">
        <v>17</v>
      </c>
      <c r="S2" s="5" t="s">
        <v>18</v>
      </c>
      <c r="T2" s="5" t="s">
        <v>13</v>
      </c>
      <c r="V2" s="11" t="s">
        <v>27</v>
      </c>
      <c r="W2" s="11" t="s">
        <v>28</v>
      </c>
      <c r="X2" s="11" t="s">
        <v>29</v>
      </c>
      <c r="Y2" s="11" t="s">
        <v>30</v>
      </c>
      <c r="Z2" s="11" t="s">
        <v>31</v>
      </c>
      <c r="AA2" s="11" t="s">
        <v>32</v>
      </c>
      <c r="AB2" s="11" t="s">
        <v>33</v>
      </c>
      <c r="AC2" s="11" t="s">
        <v>34</v>
      </c>
      <c r="AD2" s="11" t="s">
        <v>35</v>
      </c>
      <c r="AE2" s="11" t="s">
        <v>36</v>
      </c>
      <c r="AF2" s="11" t="s">
        <v>37</v>
      </c>
      <c r="AG2" s="11" t="s">
        <v>38</v>
      </c>
      <c r="AH2" s="11" t="s">
        <v>40</v>
      </c>
      <c r="AI2" s="11" t="s">
        <v>39</v>
      </c>
      <c r="AJ2" s="11" t="s">
        <v>41</v>
      </c>
      <c r="AK2" s="11" t="s">
        <v>42</v>
      </c>
      <c r="AN2" s="1" t="s">
        <v>44</v>
      </c>
    </row>
    <row r="3" spans="1:40" x14ac:dyDescent="0.45">
      <c r="A3" s="2"/>
      <c r="B3" s="5"/>
      <c r="C3" s="5"/>
      <c r="D3" s="5"/>
      <c r="E3" s="5"/>
      <c r="F3" s="5" t="s">
        <v>19</v>
      </c>
      <c r="G3" s="5" t="s">
        <v>19</v>
      </c>
      <c r="H3" s="5" t="s">
        <v>19</v>
      </c>
      <c r="I3" s="5" t="s">
        <v>19</v>
      </c>
      <c r="J3" s="6"/>
      <c r="K3" s="5" t="s">
        <v>24</v>
      </c>
      <c r="L3" s="6" t="s">
        <v>25</v>
      </c>
      <c r="M3" s="2" t="s">
        <v>26</v>
      </c>
      <c r="N3" s="2"/>
      <c r="P3" s="3" t="s">
        <v>0</v>
      </c>
      <c r="Q3" s="2">
        <v>3576.8</v>
      </c>
      <c r="R3" s="2">
        <v>101.16</v>
      </c>
      <c r="S3" s="2">
        <v>116.52</v>
      </c>
      <c r="T3" s="2">
        <f>(((R3/10)^2)*PI()/4)*(S3/10)</f>
        <v>936.5004678361762</v>
      </c>
      <c r="V3" s="1">
        <v>1.6796999999999999E-3</v>
      </c>
      <c r="W3" s="1">
        <v>1.6406999999999999E-3</v>
      </c>
      <c r="X3" s="1">
        <v>1.4649000000000001E-3</v>
      </c>
      <c r="Y3" s="1">
        <v>2.4023999999999998E-3</v>
      </c>
      <c r="Z3" s="1">
        <v>1.6406999999999999E-3</v>
      </c>
      <c r="AA3" s="1">
        <v>1.3672000000000001E-3</v>
      </c>
      <c r="AB3" s="1">
        <v>1.6211000000000001E-3</v>
      </c>
      <c r="AC3" s="1">
        <v>2.7734999999999999E-3</v>
      </c>
      <c r="AD3" s="1">
        <v>1.6015999999999999E-3</v>
      </c>
      <c r="AE3" s="1">
        <v>1.9727E-3</v>
      </c>
      <c r="AF3" s="1">
        <v>1.5039000000000001E-3</v>
      </c>
      <c r="AG3" s="1">
        <v>1.7382999999999999E-3</v>
      </c>
      <c r="AH3" s="1">
        <v>1.8163999999999999E-3</v>
      </c>
      <c r="AI3" s="1">
        <v>2.1094E-3</v>
      </c>
      <c r="AJ3" s="1">
        <v>1.7968999999999999E-3</v>
      </c>
      <c r="AK3" s="1">
        <v>2.5390999999999999E-3</v>
      </c>
      <c r="AN3" s="1">
        <v>1.6211000000000001E-3</v>
      </c>
    </row>
    <row r="4" spans="1:40" x14ac:dyDescent="0.45">
      <c r="A4" s="4">
        <v>1</v>
      </c>
      <c r="B4" s="3" t="s">
        <v>0</v>
      </c>
      <c r="C4" s="3">
        <v>29</v>
      </c>
      <c r="D4" s="3"/>
      <c r="E4" s="3"/>
      <c r="F4" s="3">
        <v>5451.4</v>
      </c>
      <c r="G4" s="3">
        <v>17.559999999999999</v>
      </c>
      <c r="H4" s="3">
        <v>62.17</v>
      </c>
      <c r="I4" s="3">
        <v>56.31</v>
      </c>
      <c r="J4" s="7">
        <f>(H4-I4)/(I4-G4)</f>
        <v>0.15122580645161288</v>
      </c>
      <c r="K4" s="8">
        <f>LOOKUP(B4,$P$3:$P$9,$T$3:$T$9)</f>
        <v>936.5004678361762</v>
      </c>
      <c r="L4" s="9">
        <f>F4-LOOKUP(B4,$P$3:$P$9,$Q$3:$Q$9)</f>
        <v>1874.5999999999995</v>
      </c>
      <c r="M4" s="10">
        <f>L4/K4</f>
        <v>2.001707489085768</v>
      </c>
      <c r="N4" s="10">
        <f>M4/(1+J4)</f>
        <v>1.7387618292327622</v>
      </c>
      <c r="O4" s="1">
        <v>1.7387618292327622</v>
      </c>
      <c r="P4" s="3" t="s">
        <v>1</v>
      </c>
      <c r="Q4" s="2">
        <v>3581.6</v>
      </c>
      <c r="R4" s="2">
        <v>101.4</v>
      </c>
      <c r="S4" s="2">
        <v>116.63</v>
      </c>
      <c r="T4" s="2">
        <f t="shared" ref="T4:T9" si="0">(((R4/10)^2)*PI()/4)*(S4/10)</f>
        <v>941.83769248969872</v>
      </c>
      <c r="V4" s="1">
        <v>1.6015999999999999E-3</v>
      </c>
      <c r="W4" s="1">
        <v>1.5625000000000001E-3</v>
      </c>
      <c r="X4" s="1">
        <v>2.1094E-3</v>
      </c>
      <c r="Y4" s="1">
        <v>2.4415000000000001E-3</v>
      </c>
      <c r="Z4" s="1">
        <v>1.6406999999999999E-3</v>
      </c>
      <c r="AA4" s="1">
        <v>1.4258000000000001E-3</v>
      </c>
      <c r="AB4" s="1">
        <v>1.4649000000000001E-3</v>
      </c>
      <c r="AC4" s="1">
        <v>2.5782000000000001E-3</v>
      </c>
      <c r="AD4" s="1">
        <v>1.4453000000000001E-3</v>
      </c>
      <c r="AE4" s="1">
        <v>1.9727E-3</v>
      </c>
      <c r="AF4" s="1">
        <v>1.6406999999999999E-3</v>
      </c>
      <c r="AG4" s="1">
        <v>1.7187999999999999E-3</v>
      </c>
      <c r="AH4" s="1">
        <v>1.7382999999999999E-3</v>
      </c>
      <c r="AI4" s="1">
        <v>1.8946E-3</v>
      </c>
      <c r="AJ4" s="1">
        <v>1.6992999999999999E-3</v>
      </c>
      <c r="AK4" s="1">
        <v>2.2656999999999998E-3</v>
      </c>
      <c r="AN4" s="1">
        <v>1.7334E-3</v>
      </c>
    </row>
    <row r="5" spans="1:40" x14ac:dyDescent="0.45">
      <c r="A5" s="2">
        <v>2</v>
      </c>
      <c r="B5" s="3" t="s">
        <v>1</v>
      </c>
      <c r="C5" s="3">
        <v>29</v>
      </c>
      <c r="D5" s="3"/>
      <c r="E5" s="3"/>
      <c r="F5" s="3">
        <v>5363.5</v>
      </c>
      <c r="G5" s="3">
        <v>17.88</v>
      </c>
      <c r="H5" s="3">
        <v>55.01</v>
      </c>
      <c r="I5" s="3">
        <v>51.21</v>
      </c>
      <c r="J5" s="7">
        <f t="shared" ref="J5:J19" si="1">(H5-I5)/(I5-G5)</f>
        <v>0.11401140114011393</v>
      </c>
      <c r="K5" s="8">
        <f t="shared" ref="K5:K19" si="2">LOOKUP(B5,$P$3:$P$9,$T$3:$T$9)</f>
        <v>941.83769248969872</v>
      </c>
      <c r="L5" s="9">
        <f t="shared" ref="L5:L19" si="3">F5-LOOKUP(B5,$P$3:$P$9,$Q$3:$Q$9)</f>
        <v>1781.9</v>
      </c>
      <c r="M5" s="10">
        <f t="shared" ref="M5:M19" si="4">L5/K5</f>
        <v>1.8919395711267837</v>
      </c>
      <c r="N5" s="10">
        <f t="shared" ref="N5:N19" si="5">M5/(1+J5)</f>
        <v>1.698312574889731</v>
      </c>
      <c r="O5" s="1">
        <v>1.698312574889731</v>
      </c>
      <c r="P5" s="3" t="s">
        <v>2</v>
      </c>
      <c r="Q5" s="2">
        <v>3838.4</v>
      </c>
      <c r="R5" s="2"/>
      <c r="S5" s="2"/>
      <c r="T5" s="2">
        <f>AVERAGE(T3:T4,T7,T9)</f>
        <v>942.35881995015461</v>
      </c>
      <c r="V5" s="1">
        <v>1.6406999999999999E-3</v>
      </c>
      <c r="W5" s="1">
        <v>1.6211000000000001E-3</v>
      </c>
      <c r="X5" s="1">
        <v>2.1289E-3</v>
      </c>
      <c r="Y5" s="1">
        <v>2.3633E-3</v>
      </c>
      <c r="Z5" s="1">
        <v>1.6211000000000001E-3</v>
      </c>
      <c r="AA5" s="1">
        <v>1.4844000000000001E-3</v>
      </c>
      <c r="AB5" s="1">
        <v>1.4063000000000001E-3</v>
      </c>
      <c r="AC5" s="1">
        <v>2.5977000000000001E-3</v>
      </c>
      <c r="AD5" s="1">
        <v>1.4453000000000001E-3</v>
      </c>
      <c r="AE5" s="1">
        <v>1.9727E-3</v>
      </c>
      <c r="AF5" s="1">
        <v>1.6601999999999999E-3</v>
      </c>
      <c r="AG5" s="1">
        <v>1.6992999999999999E-3</v>
      </c>
      <c r="AH5" s="1">
        <v>1.6992999999999999E-3</v>
      </c>
      <c r="AI5" s="1">
        <v>1.8749999999999999E-3</v>
      </c>
      <c r="AJ5" s="1">
        <v>1.6406999999999999E-3</v>
      </c>
      <c r="AK5" s="1">
        <v>2.3243000000000001E-3</v>
      </c>
      <c r="AN5" s="1">
        <v>1.5820999999999999E-3</v>
      </c>
    </row>
    <row r="6" spans="1:40" x14ac:dyDescent="0.45">
      <c r="A6" s="4">
        <v>3</v>
      </c>
      <c r="B6" s="3" t="s">
        <v>2</v>
      </c>
      <c r="C6" s="3">
        <v>29</v>
      </c>
      <c r="D6" s="3"/>
      <c r="E6" s="3"/>
      <c r="F6" s="3">
        <v>5672.4</v>
      </c>
      <c r="G6" s="3">
        <v>17.350000000000001</v>
      </c>
      <c r="H6" s="3">
        <v>52.16</v>
      </c>
      <c r="I6" s="3">
        <v>48.18</v>
      </c>
      <c r="J6" s="7">
        <f t="shared" si="1"/>
        <v>0.12909503730132979</v>
      </c>
      <c r="K6" s="8">
        <f t="shared" si="2"/>
        <v>942.35881995015461</v>
      </c>
      <c r="L6" s="9">
        <f t="shared" si="3"/>
        <v>1833.9999999999995</v>
      </c>
      <c r="M6" s="10">
        <f t="shared" si="4"/>
        <v>1.9461801186272207</v>
      </c>
      <c r="N6" s="10">
        <f t="shared" si="5"/>
        <v>1.7236636902406557</v>
      </c>
      <c r="O6" s="1">
        <v>1.7236636902406557</v>
      </c>
      <c r="P6" s="3" t="s">
        <v>3</v>
      </c>
      <c r="Q6" s="2">
        <v>3573</v>
      </c>
      <c r="R6" s="2">
        <v>101.5</v>
      </c>
      <c r="S6" s="2">
        <v>117.45</v>
      </c>
      <c r="T6" s="2">
        <f t="shared" si="0"/>
        <v>950.33119847976718</v>
      </c>
      <c r="V6" s="1">
        <v>1.5625000000000001E-3</v>
      </c>
      <c r="W6" s="1">
        <v>1.6406999999999999E-3</v>
      </c>
      <c r="X6" s="1">
        <v>1.9727E-3</v>
      </c>
      <c r="Y6" s="1">
        <v>2.1289E-3</v>
      </c>
      <c r="Z6" s="1">
        <v>1.5625000000000001E-3</v>
      </c>
      <c r="AA6" s="1">
        <v>1.4258000000000001E-3</v>
      </c>
      <c r="AB6" s="1">
        <v>1.4453000000000001E-3</v>
      </c>
      <c r="AC6" s="1">
        <v>2.5390999999999999E-3</v>
      </c>
      <c r="AD6" s="1">
        <v>1.836E-3</v>
      </c>
      <c r="AE6" s="1">
        <v>1.9532E-3</v>
      </c>
      <c r="AF6" s="1">
        <v>1.6211000000000001E-3</v>
      </c>
      <c r="AG6" s="1">
        <v>1.6796999999999999E-3</v>
      </c>
      <c r="AH6" s="1">
        <v>1.6796999999999999E-3</v>
      </c>
      <c r="AI6" s="1">
        <v>1.8946E-3</v>
      </c>
      <c r="AJ6" s="1">
        <v>1.6601999999999999E-3</v>
      </c>
      <c r="AK6" s="1">
        <v>2.4415000000000001E-3</v>
      </c>
      <c r="AN6" s="1">
        <v>1.4258000000000001E-3</v>
      </c>
    </row>
    <row r="7" spans="1:40" x14ac:dyDescent="0.45">
      <c r="A7" s="2">
        <v>4</v>
      </c>
      <c r="B7" s="3" t="s">
        <v>3</v>
      </c>
      <c r="C7" s="3">
        <v>29</v>
      </c>
      <c r="D7" s="3"/>
      <c r="E7" s="3"/>
      <c r="F7" s="3">
        <v>5433.8</v>
      </c>
      <c r="G7" s="3">
        <v>17.079999999999998</v>
      </c>
      <c r="H7" s="3">
        <v>58.79</v>
      </c>
      <c r="I7" s="3">
        <v>53.63</v>
      </c>
      <c r="J7" s="7">
        <f t="shared" si="1"/>
        <v>0.14117647058823518</v>
      </c>
      <c r="K7" s="8">
        <f t="shared" si="2"/>
        <v>950.33119847976718</v>
      </c>
      <c r="L7" s="9">
        <f t="shared" si="3"/>
        <v>1860.8000000000002</v>
      </c>
      <c r="M7" s="10">
        <f t="shared" si="4"/>
        <v>1.9580542057092289</v>
      </c>
      <c r="N7" s="10">
        <f t="shared" si="5"/>
        <v>1.7158206957245821</v>
      </c>
      <c r="O7" s="1">
        <v>1.7158206957245821</v>
      </c>
      <c r="P7" s="3" t="s">
        <v>4</v>
      </c>
      <c r="Q7" s="2">
        <v>3577.8</v>
      </c>
      <c r="R7" s="2">
        <v>101.45</v>
      </c>
      <c r="S7" s="2">
        <v>116.58</v>
      </c>
      <c r="T7" s="2">
        <f t="shared" si="0"/>
        <v>942.36258558837994</v>
      </c>
      <c r="W7" s="1">
        <v>1.5039000000000001E-3</v>
      </c>
      <c r="AE7" s="1">
        <v>1.9727E-3</v>
      </c>
      <c r="AF7" s="1">
        <v>1.6211000000000001E-3</v>
      </c>
      <c r="AK7" s="1">
        <v>2.0704E-3</v>
      </c>
      <c r="AN7" s="1">
        <v>1.6161999999999999E-3</v>
      </c>
    </row>
    <row r="8" spans="1:40" x14ac:dyDescent="0.45">
      <c r="A8" s="4">
        <v>5</v>
      </c>
      <c r="B8" s="3" t="s">
        <v>4</v>
      </c>
      <c r="C8" s="3">
        <v>22</v>
      </c>
      <c r="D8" s="3"/>
      <c r="E8" s="3"/>
      <c r="F8" s="3">
        <v>5337.8</v>
      </c>
      <c r="G8" s="3">
        <v>18.93</v>
      </c>
      <c r="H8" s="3">
        <v>68.19</v>
      </c>
      <c r="I8" s="3">
        <v>63.25</v>
      </c>
      <c r="J8" s="7">
        <f t="shared" si="1"/>
        <v>0.11146209386281583</v>
      </c>
      <c r="K8" s="8">
        <f t="shared" si="2"/>
        <v>942.36258558837994</v>
      </c>
      <c r="L8" s="9">
        <f t="shared" si="3"/>
        <v>1760</v>
      </c>
      <c r="M8" s="10">
        <f t="shared" si="4"/>
        <v>1.8676463039978548</v>
      </c>
      <c r="N8" s="10">
        <f t="shared" si="5"/>
        <v>1.6803508768409445</v>
      </c>
      <c r="O8" s="1">
        <v>1.6803508768409445</v>
      </c>
      <c r="P8" s="3" t="s">
        <v>5</v>
      </c>
      <c r="Q8" s="2">
        <v>2700</v>
      </c>
      <c r="R8" s="2"/>
      <c r="S8" s="2"/>
      <c r="T8" s="2">
        <f>T5</f>
        <v>942.35881995015461</v>
      </c>
      <c r="U8" s="1" t="s">
        <v>43</v>
      </c>
      <c r="V8" s="1">
        <f>ROUND(AVERAGE(V3:V7),7)</f>
        <v>1.6211000000000001E-3</v>
      </c>
      <c r="W8" s="1">
        <f t="shared" ref="W8:AK8" si="6">ROUND(AVERAGE(W3:W7),7)</f>
        <v>1.5938E-3</v>
      </c>
      <c r="X8" s="1">
        <f t="shared" si="6"/>
        <v>1.9189999999999999E-3</v>
      </c>
      <c r="Y8" s="1">
        <f t="shared" si="6"/>
        <v>2.3340000000000001E-3</v>
      </c>
      <c r="Z8" s="1">
        <f t="shared" si="6"/>
        <v>1.6163E-3</v>
      </c>
      <c r="AA8" s="1">
        <f t="shared" si="6"/>
        <v>1.4258000000000001E-3</v>
      </c>
      <c r="AB8" s="1">
        <f t="shared" si="6"/>
        <v>1.4844000000000001E-3</v>
      </c>
      <c r="AC8" s="1">
        <f t="shared" si="6"/>
        <v>2.6221E-3</v>
      </c>
      <c r="AD8" s="1">
        <f t="shared" si="6"/>
        <v>1.5820999999999999E-3</v>
      </c>
      <c r="AE8" s="1">
        <f t="shared" si="6"/>
        <v>1.9688000000000002E-3</v>
      </c>
      <c r="AF8" s="1">
        <f t="shared" si="6"/>
        <v>1.6094E-3</v>
      </c>
      <c r="AG8" s="1">
        <f t="shared" si="6"/>
        <v>1.709E-3</v>
      </c>
      <c r="AH8" s="1">
        <f t="shared" si="6"/>
        <v>1.7334E-3</v>
      </c>
      <c r="AI8" s="1">
        <f t="shared" si="6"/>
        <v>1.9434000000000001E-3</v>
      </c>
      <c r="AJ8" s="1">
        <f t="shared" si="6"/>
        <v>1.6992999999999999E-3</v>
      </c>
      <c r="AK8" s="1">
        <f t="shared" si="6"/>
        <v>2.3281999999999999E-3</v>
      </c>
      <c r="AN8" s="1">
        <v>1.9434000000000001E-3</v>
      </c>
    </row>
    <row r="9" spans="1:40" x14ac:dyDescent="0.45">
      <c r="A9" s="2">
        <v>6</v>
      </c>
      <c r="B9" s="3" t="s">
        <v>5</v>
      </c>
      <c r="C9" s="3">
        <v>22</v>
      </c>
      <c r="D9" s="3"/>
      <c r="E9" s="3"/>
      <c r="F9" s="3">
        <v>4561.3999999999996</v>
      </c>
      <c r="G9" s="3">
        <v>17.79</v>
      </c>
      <c r="H9" s="3">
        <v>55.48</v>
      </c>
      <c r="I9" s="3">
        <v>50.9</v>
      </c>
      <c r="J9" s="7">
        <f t="shared" si="1"/>
        <v>0.13832678948958013</v>
      </c>
      <c r="K9" s="8">
        <f t="shared" si="2"/>
        <v>942.35881995015461</v>
      </c>
      <c r="L9" s="9">
        <f>F9-LOOKUP(B9,$P$3:$P$9,$Q$3:$Q$9)</f>
        <v>1861.3999999999996</v>
      </c>
      <c r="M9" s="10">
        <f>L9/K9</f>
        <v>1.9752560920461879</v>
      </c>
      <c r="N9" s="10">
        <f>M9/(1+J9)</f>
        <v>1.735227625567771</v>
      </c>
      <c r="O9" s="1">
        <v>1.735227625567771</v>
      </c>
      <c r="P9" s="3" t="s">
        <v>6</v>
      </c>
      <c r="Q9" s="2">
        <v>3572.6</v>
      </c>
      <c r="R9" s="2">
        <v>101.35</v>
      </c>
      <c r="S9" s="2">
        <v>117.6</v>
      </c>
      <c r="T9" s="2">
        <f t="shared" si="0"/>
        <v>948.73453388636324</v>
      </c>
      <c r="AN9" s="1">
        <v>1.9688000000000002E-3</v>
      </c>
    </row>
    <row r="10" spans="1:40" x14ac:dyDescent="0.45">
      <c r="A10" s="4">
        <v>7</v>
      </c>
      <c r="B10" s="3" t="s">
        <v>6</v>
      </c>
      <c r="C10" s="3">
        <v>22</v>
      </c>
      <c r="D10" s="3"/>
      <c r="E10" s="3"/>
      <c r="F10" s="3">
        <v>5389</v>
      </c>
      <c r="G10" s="3">
        <v>18.86</v>
      </c>
      <c r="H10" s="3">
        <v>69.319999999999993</v>
      </c>
      <c r="I10" s="3">
        <v>63.03</v>
      </c>
      <c r="J10" s="7">
        <f t="shared" si="1"/>
        <v>0.1424043468417476</v>
      </c>
      <c r="K10" s="8">
        <f t="shared" si="2"/>
        <v>948.73453388636324</v>
      </c>
      <c r="L10" s="9">
        <f t="shared" si="3"/>
        <v>1816.4</v>
      </c>
      <c r="M10" s="10">
        <f t="shared" si="4"/>
        <v>1.9145503142584703</v>
      </c>
      <c r="N10" s="10">
        <f t="shared" si="5"/>
        <v>1.6758955089337426</v>
      </c>
      <c r="O10" s="1">
        <v>1.6758955089337426</v>
      </c>
      <c r="AN10" s="1">
        <v>2.6221E-3</v>
      </c>
    </row>
    <row r="11" spans="1:40" x14ac:dyDescent="0.45">
      <c r="A11" s="2">
        <v>8</v>
      </c>
      <c r="B11" s="3" t="s">
        <v>0</v>
      </c>
      <c r="C11" s="3">
        <v>22</v>
      </c>
      <c r="D11" s="3"/>
      <c r="E11" s="3"/>
      <c r="F11" s="3">
        <v>5411.2</v>
      </c>
      <c r="G11" s="3">
        <v>17.78</v>
      </c>
      <c r="H11" s="3">
        <v>64.22</v>
      </c>
      <c r="I11" s="3">
        <v>58.54</v>
      </c>
      <c r="J11" s="7">
        <f t="shared" si="1"/>
        <v>0.13935230618253189</v>
      </c>
      <c r="K11" s="8">
        <f t="shared" si="2"/>
        <v>936.5004678361762</v>
      </c>
      <c r="L11" s="9">
        <f t="shared" si="3"/>
        <v>1834.3999999999996</v>
      </c>
      <c r="M11" s="10">
        <f t="shared" si="4"/>
        <v>1.9587817230230093</v>
      </c>
      <c r="N11" s="10">
        <f t="shared" si="5"/>
        <v>1.7192063529375077</v>
      </c>
      <c r="O11" s="1">
        <v>1.7192063529375077</v>
      </c>
      <c r="V11" s="3">
        <v>1.6211000000000001E-3</v>
      </c>
      <c r="W11" s="3">
        <v>1.7334E-3</v>
      </c>
      <c r="X11" s="3">
        <v>1.5820999999999999E-3</v>
      </c>
      <c r="Y11" s="3">
        <v>1.4258000000000001E-3</v>
      </c>
      <c r="Z11" s="3">
        <v>1.6161999999999999E-3</v>
      </c>
      <c r="AA11" s="3">
        <v>1.9434000000000001E-3</v>
      </c>
      <c r="AB11" s="3">
        <v>1.9688000000000002E-3</v>
      </c>
      <c r="AC11" s="3">
        <v>2.6221E-3</v>
      </c>
      <c r="AD11" s="3">
        <v>1.5938E-3</v>
      </c>
      <c r="AE11" s="3">
        <v>1.6094E-3</v>
      </c>
      <c r="AF11" s="3">
        <v>2.3281999999999999E-3</v>
      </c>
      <c r="AG11" s="3">
        <v>1.9189999999999999E-3</v>
      </c>
      <c r="AH11" s="3">
        <v>2.3340000000000001E-3</v>
      </c>
      <c r="AI11" s="3">
        <v>1.709E-3</v>
      </c>
      <c r="AJ11" s="3">
        <v>1.6992999999999999E-3</v>
      </c>
      <c r="AK11" s="3">
        <v>1.4844000000000001E-3</v>
      </c>
      <c r="AN11" s="1">
        <v>1.5938E-3</v>
      </c>
    </row>
    <row r="12" spans="1:40" x14ac:dyDescent="0.45">
      <c r="A12" s="4">
        <v>9</v>
      </c>
      <c r="B12" s="3" t="s">
        <v>1</v>
      </c>
      <c r="C12" s="3">
        <v>18</v>
      </c>
      <c r="D12" s="3"/>
      <c r="E12" s="3"/>
      <c r="F12" s="3">
        <v>5394.4</v>
      </c>
      <c r="G12" s="3">
        <v>16.920000000000002</v>
      </c>
      <c r="H12" s="3">
        <v>61.37</v>
      </c>
      <c r="I12" s="3">
        <v>55.75</v>
      </c>
      <c r="J12" s="7">
        <f t="shared" si="1"/>
        <v>0.14473345351532316</v>
      </c>
      <c r="K12" s="8">
        <f t="shared" si="2"/>
        <v>941.83769248969872</v>
      </c>
      <c r="L12" s="9">
        <f t="shared" si="3"/>
        <v>1812.7999999999997</v>
      </c>
      <c r="M12" s="10">
        <f t="shared" si="4"/>
        <v>1.9247477717821611</v>
      </c>
      <c r="N12" s="10">
        <f t="shared" si="5"/>
        <v>1.6813938352823694</v>
      </c>
      <c r="O12" s="1">
        <v>1.6813938352823694</v>
      </c>
      <c r="V12" s="5" t="str">
        <f>V2</f>
        <v>M#1_22G</v>
      </c>
      <c r="W12" s="5" t="str">
        <f>AH2</f>
        <v>M#1_25EST</v>
      </c>
      <c r="X12" s="5" t="str">
        <f>AD2</f>
        <v>M#2_18G</v>
      </c>
      <c r="Y12" s="5" t="str">
        <f>AA2</f>
        <v>M#2_29G</v>
      </c>
      <c r="Z12" s="5" t="str">
        <f>Z2</f>
        <v>M#1_29G</v>
      </c>
      <c r="AA12" s="5" t="str">
        <f>AI2</f>
        <v>M#2_25EST</v>
      </c>
      <c r="AB12" s="5" t="str">
        <f>AE2</f>
        <v>M#4_18G</v>
      </c>
      <c r="AC12" s="5" t="str">
        <f>AC2</f>
        <v>M#4_29G</v>
      </c>
      <c r="AD12" s="5" t="str">
        <f>W2</f>
        <v>M#5_22G</v>
      </c>
      <c r="AE12" s="5" t="str">
        <f>AF2</f>
        <v>M#5_18G</v>
      </c>
      <c r="AF12" s="5" t="str">
        <f>AK2</f>
        <v>M#5_25EST</v>
      </c>
      <c r="AG12" s="5" t="str">
        <f>X2</f>
        <v>M#6_22G</v>
      </c>
      <c r="AH12" s="5" t="str">
        <f>Y2</f>
        <v>M#7_22G</v>
      </c>
      <c r="AI12" s="5" t="str">
        <f>AG2</f>
        <v>M#7_32G</v>
      </c>
      <c r="AJ12" s="5" t="str">
        <f>AJ2</f>
        <v>M#4_25EST</v>
      </c>
      <c r="AK12" s="5" t="str">
        <f>AB2</f>
        <v>M#3_29G</v>
      </c>
      <c r="AN12" s="1">
        <v>1.6094E-3</v>
      </c>
    </row>
    <row r="13" spans="1:40" x14ac:dyDescent="0.45">
      <c r="A13" s="2">
        <v>10</v>
      </c>
      <c r="B13" s="3" t="s">
        <v>3</v>
      </c>
      <c r="C13" s="3">
        <v>18</v>
      </c>
      <c r="D13" s="3"/>
      <c r="E13" s="3"/>
      <c r="F13" s="3">
        <v>5384.2</v>
      </c>
      <c r="G13" s="3">
        <v>16.61</v>
      </c>
      <c r="H13" s="3">
        <v>56.38</v>
      </c>
      <c r="I13" s="3">
        <v>51.16</v>
      </c>
      <c r="J13" s="7">
        <f t="shared" si="1"/>
        <v>0.15108538350217096</v>
      </c>
      <c r="K13" s="8">
        <f t="shared" si="2"/>
        <v>950.33119847976718</v>
      </c>
      <c r="L13" s="9">
        <f t="shared" si="3"/>
        <v>1811.1999999999998</v>
      </c>
      <c r="M13" s="10">
        <f t="shared" si="4"/>
        <v>1.9058618752045113</v>
      </c>
      <c r="N13" s="10">
        <f t="shared" si="5"/>
        <v>1.6557085186903659</v>
      </c>
      <c r="O13" s="1">
        <v>1.6557085186903659</v>
      </c>
      <c r="U13" s="13" t="s">
        <v>45</v>
      </c>
      <c r="V13" s="1">
        <v>1.7192063529375077</v>
      </c>
      <c r="W13" s="1">
        <v>1.5841554431297693</v>
      </c>
      <c r="X13" s="1">
        <v>1.6813938352823694</v>
      </c>
      <c r="Y13" s="1">
        <v>1.698312574889731</v>
      </c>
      <c r="Z13" s="1">
        <v>1.7387618292327622</v>
      </c>
      <c r="AA13" s="1">
        <v>1.6244084374750853</v>
      </c>
      <c r="AB13" s="1">
        <v>1.6557085186903659</v>
      </c>
      <c r="AC13" s="1">
        <v>1.7158206957245821</v>
      </c>
      <c r="AD13" s="1">
        <v>1.6803508768409445</v>
      </c>
      <c r="AE13" s="1">
        <v>1.7011513682583603</v>
      </c>
      <c r="AF13" s="1">
        <v>1.5931594833061955</v>
      </c>
      <c r="AG13" s="1">
        <v>1.735227625567771</v>
      </c>
      <c r="AH13" s="1">
        <v>1.6758955089337426</v>
      </c>
      <c r="AI13" s="1">
        <v>1.7058170171806979</v>
      </c>
      <c r="AJ13" s="1">
        <v>1.5551021015538951</v>
      </c>
      <c r="AK13" s="1">
        <v>1.7236636902406557</v>
      </c>
      <c r="AN13" s="1">
        <v>2.3281999999999999E-3</v>
      </c>
    </row>
    <row r="14" spans="1:40" x14ac:dyDescent="0.45">
      <c r="A14" s="4">
        <v>11</v>
      </c>
      <c r="B14" s="3" t="s">
        <v>4</v>
      </c>
      <c r="C14" s="3">
        <v>18</v>
      </c>
      <c r="D14" s="3"/>
      <c r="E14" s="3"/>
      <c r="F14" s="3">
        <v>5427.2</v>
      </c>
      <c r="G14" s="3">
        <v>19.07</v>
      </c>
      <c r="H14" s="3">
        <v>61.87</v>
      </c>
      <c r="I14" s="3">
        <v>56.17</v>
      </c>
      <c r="J14" s="7">
        <f t="shared" si="1"/>
        <v>0.15363881401617238</v>
      </c>
      <c r="K14" s="8">
        <f t="shared" si="2"/>
        <v>942.36258558837994</v>
      </c>
      <c r="L14" s="9">
        <f t="shared" si="3"/>
        <v>1849.3999999999996</v>
      </c>
      <c r="M14" s="10">
        <f t="shared" si="4"/>
        <v>1.9625142469395638</v>
      </c>
      <c r="N14" s="10">
        <f t="shared" si="5"/>
        <v>1.7011513682583603</v>
      </c>
      <c r="O14" s="1">
        <v>1.7011513682583603</v>
      </c>
      <c r="AN14" s="1">
        <v>1.9189999999999999E-3</v>
      </c>
    </row>
    <row r="15" spans="1:40" x14ac:dyDescent="0.45">
      <c r="A15" s="2">
        <v>12</v>
      </c>
      <c r="B15" s="3" t="s">
        <v>6</v>
      </c>
      <c r="C15" s="3">
        <v>32</v>
      </c>
      <c r="D15" s="3"/>
      <c r="E15" s="3"/>
      <c r="F15" s="3">
        <v>5443.6</v>
      </c>
      <c r="G15" s="3">
        <v>16.64</v>
      </c>
      <c r="H15" s="3">
        <v>65.89</v>
      </c>
      <c r="I15" s="3">
        <v>59.24</v>
      </c>
      <c r="J15" s="7">
        <f t="shared" si="1"/>
        <v>0.15610328638497648</v>
      </c>
      <c r="K15" s="8">
        <f t="shared" si="2"/>
        <v>948.73453388636324</v>
      </c>
      <c r="L15" s="9">
        <f t="shared" si="3"/>
        <v>1871.0000000000005</v>
      </c>
      <c r="M15" s="10">
        <f t="shared" si="4"/>
        <v>1.9721006595340227</v>
      </c>
      <c r="N15" s="10">
        <f t="shared" si="5"/>
        <v>1.7058170171806979</v>
      </c>
      <c r="O15" s="1">
        <v>1.7058170171806979</v>
      </c>
      <c r="AN15" s="1">
        <v>2.3340000000000001E-3</v>
      </c>
    </row>
    <row r="16" spans="1:40" x14ac:dyDescent="0.45">
      <c r="A16" s="4">
        <v>13</v>
      </c>
      <c r="B16" s="3" t="s">
        <v>0</v>
      </c>
      <c r="C16" s="3" t="s">
        <v>20</v>
      </c>
      <c r="D16" s="3"/>
      <c r="E16" s="3"/>
      <c r="F16" s="3">
        <v>5320</v>
      </c>
      <c r="G16" s="3">
        <v>18.64</v>
      </c>
      <c r="H16" s="3">
        <v>79.67</v>
      </c>
      <c r="I16" s="3">
        <v>70.58</v>
      </c>
      <c r="J16" s="7">
        <f t="shared" si="1"/>
        <v>0.17500962649210636</v>
      </c>
      <c r="K16" s="8">
        <f t="shared" si="2"/>
        <v>936.5004678361762</v>
      </c>
      <c r="L16" s="9">
        <f t="shared" si="3"/>
        <v>1743.1999999999998</v>
      </c>
      <c r="M16" s="10">
        <f t="shared" si="4"/>
        <v>1.8613978955373476</v>
      </c>
      <c r="N16" s="10">
        <f t="shared" si="5"/>
        <v>1.5841554431297693</v>
      </c>
      <c r="O16" s="1">
        <v>1.5841554431297693</v>
      </c>
      <c r="AD16" s="2"/>
      <c r="AE16" s="2" t="s">
        <v>46</v>
      </c>
      <c r="AF16" s="2" t="s">
        <v>45</v>
      </c>
      <c r="AG16" s="2" t="s">
        <v>46</v>
      </c>
      <c r="AH16" s="2" t="s">
        <v>47</v>
      </c>
      <c r="AK16" s="6" t="s">
        <v>49</v>
      </c>
      <c r="AL16" s="14">
        <v>1.6133722601507832</v>
      </c>
      <c r="AN16" s="1">
        <v>1.709E-3</v>
      </c>
    </row>
    <row r="17" spans="1:40" x14ac:dyDescent="0.45">
      <c r="A17" s="2">
        <v>14</v>
      </c>
      <c r="B17" s="3" t="s">
        <v>1</v>
      </c>
      <c r="C17" s="3" t="s">
        <v>20</v>
      </c>
      <c r="D17" s="3"/>
      <c r="E17" s="3"/>
      <c r="F17" s="3">
        <v>5374</v>
      </c>
      <c r="G17" s="3">
        <v>18.22</v>
      </c>
      <c r="H17" s="3">
        <v>59.74</v>
      </c>
      <c r="I17" s="3">
        <v>53.66</v>
      </c>
      <c r="J17" s="7">
        <f t="shared" si="1"/>
        <v>0.1715575620767496</v>
      </c>
      <c r="K17" s="8">
        <f t="shared" si="2"/>
        <v>941.83769248969872</v>
      </c>
      <c r="L17" s="9">
        <f t="shared" si="3"/>
        <v>1792.4</v>
      </c>
      <c r="M17" s="10">
        <f t="shared" si="4"/>
        <v>1.903087988825213</v>
      </c>
      <c r="N17" s="10">
        <f t="shared" si="5"/>
        <v>1.6244084374750853</v>
      </c>
      <c r="O17" s="1">
        <v>1.6244084374750853</v>
      </c>
      <c r="AD17" s="2" t="s">
        <v>27</v>
      </c>
      <c r="AE17" s="3">
        <v>1.6211000000000001E-3</v>
      </c>
      <c r="AF17" s="2">
        <v>1.7192063529375099</v>
      </c>
      <c r="AG17" s="2" t="str">
        <f>IF(AE17&lt;$AL$17,"CUMPLE","NO")</f>
        <v>CUMPLE</v>
      </c>
      <c r="AH17" s="2" t="str">
        <f>IF(AF17&gt;$AL$16,"CUMPLE","NO")</f>
        <v>CUMPLE</v>
      </c>
      <c r="AI17" s="3" t="str">
        <f>IF(AG17=AH17,"NICE","PANIC")</f>
        <v>NICE</v>
      </c>
      <c r="AK17" s="15" t="s">
        <v>46</v>
      </c>
      <c r="AL17" s="2">
        <v>1.6540000000000001E-3</v>
      </c>
      <c r="AN17" s="1">
        <v>1.6992999999999999E-3</v>
      </c>
    </row>
    <row r="18" spans="1:40" x14ac:dyDescent="0.45">
      <c r="A18" s="4">
        <v>15</v>
      </c>
      <c r="B18" s="3" t="s">
        <v>3</v>
      </c>
      <c r="C18" s="3" t="s">
        <v>20</v>
      </c>
      <c r="D18" s="3"/>
      <c r="E18" s="3"/>
      <c r="F18" s="3">
        <v>5299</v>
      </c>
      <c r="G18" s="3">
        <v>18.32</v>
      </c>
      <c r="H18" s="3">
        <v>73.41</v>
      </c>
      <c r="I18" s="3">
        <v>65.489999999999995</v>
      </c>
      <c r="J18" s="7">
        <f t="shared" si="1"/>
        <v>0.16790332838668651</v>
      </c>
      <c r="K18" s="8">
        <f t="shared" si="2"/>
        <v>950.33119847976718</v>
      </c>
      <c r="L18" s="9">
        <f t="shared" si="3"/>
        <v>1726</v>
      </c>
      <c r="M18" s="10">
        <f t="shared" si="4"/>
        <v>1.8162089203859249</v>
      </c>
      <c r="N18" s="10">
        <f t="shared" si="5"/>
        <v>1.5551021015538951</v>
      </c>
      <c r="O18" s="1">
        <v>1.5551021015538951</v>
      </c>
      <c r="V18" s="1">
        <v>1.7192063529375077</v>
      </c>
      <c r="W18" s="1">
        <v>1.5841554431297693</v>
      </c>
      <c r="X18" s="1">
        <v>1.6813938352823694</v>
      </c>
      <c r="Y18" s="1">
        <v>1.698312574889731</v>
      </c>
      <c r="AD18" s="2" t="s">
        <v>40</v>
      </c>
      <c r="AE18" s="3">
        <v>1.7334E-3</v>
      </c>
      <c r="AF18" s="2">
        <v>1.5841554431297693</v>
      </c>
      <c r="AG18" s="2" t="str">
        <f>IF(AE18&lt;$AL$17,"CUMPLE","NO")</f>
        <v>NO</v>
      </c>
      <c r="AH18" s="2" t="str">
        <f>IF(AF18&gt;$AL$16,"CUMPLE","NO")</f>
        <v>NO</v>
      </c>
      <c r="AI18" s="3" t="str">
        <f t="shared" ref="AI18:AI32" si="7">IF(AG18=AH18,"NICE","PANIC")</f>
        <v>NICE</v>
      </c>
      <c r="AN18" s="1">
        <v>1.4844000000000001E-3</v>
      </c>
    </row>
    <row r="19" spans="1:40" x14ac:dyDescent="0.45">
      <c r="A19" s="2">
        <v>16</v>
      </c>
      <c r="B19" s="3" t="s">
        <v>4</v>
      </c>
      <c r="C19" s="3" t="s">
        <v>20</v>
      </c>
      <c r="D19" s="3"/>
      <c r="E19" s="3"/>
      <c r="F19" s="3">
        <v>5362.2</v>
      </c>
      <c r="G19" s="3">
        <v>19</v>
      </c>
      <c r="H19" s="3">
        <v>71.7</v>
      </c>
      <c r="I19" s="3">
        <v>63.34</v>
      </c>
      <c r="J19" s="7">
        <f t="shared" si="1"/>
        <v>0.18854307622913843</v>
      </c>
      <c r="K19" s="8">
        <f t="shared" si="2"/>
        <v>942.36258558837994</v>
      </c>
      <c r="L19" s="9">
        <f t="shared" si="3"/>
        <v>1784.3999999999996</v>
      </c>
      <c r="M19" s="10">
        <f t="shared" si="4"/>
        <v>1.8935386732123702</v>
      </c>
      <c r="N19" s="10">
        <f t="shared" si="5"/>
        <v>1.5931594833061955</v>
      </c>
      <c r="O19" s="1">
        <v>1.5931594833061955</v>
      </c>
      <c r="V19" s="1">
        <v>1.7387618292327622</v>
      </c>
      <c r="W19" s="1">
        <v>1.6244084374750853</v>
      </c>
      <c r="X19" s="1">
        <v>1.6557085186903659</v>
      </c>
      <c r="Y19" s="1">
        <v>1.7158206957245821</v>
      </c>
      <c r="AD19" s="2" t="s">
        <v>35</v>
      </c>
      <c r="AE19" s="3">
        <v>1.5820999999999999E-3</v>
      </c>
      <c r="AF19" s="2">
        <v>1.6813938352823694</v>
      </c>
      <c r="AG19" s="2" t="str">
        <f>IF(AE19&lt;$AL$17,"CUMPLE","NO")</f>
        <v>CUMPLE</v>
      </c>
      <c r="AH19" s="2" t="str">
        <f>IF(AF19&gt;$AL$16,"CUMPLE","NO")</f>
        <v>CUMPLE</v>
      </c>
      <c r="AI19" s="3" t="str">
        <f t="shared" si="7"/>
        <v>NICE</v>
      </c>
      <c r="AL19" s="1">
        <v>1.6982865896324033</v>
      </c>
    </row>
    <row r="20" spans="1:40" x14ac:dyDescent="0.45">
      <c r="V20" s="1">
        <v>1.6803508768409445</v>
      </c>
      <c r="W20" s="1">
        <v>1.7011513682583603</v>
      </c>
      <c r="X20" s="1">
        <v>1.5931594833061955</v>
      </c>
      <c r="Y20" s="1">
        <v>1.735227625567771</v>
      </c>
      <c r="AD20" s="2" t="s">
        <v>32</v>
      </c>
      <c r="AE20" s="3">
        <v>1.4258000000000001E-3</v>
      </c>
      <c r="AF20" s="2">
        <v>1.698312574889731</v>
      </c>
      <c r="AG20" s="2" t="str">
        <f>IF(AE20&lt;$AL$17,"CUMPLE","NO")</f>
        <v>CUMPLE</v>
      </c>
      <c r="AH20" s="2" t="str">
        <f>IF(AF20&gt;$AL$16,"CUMPLE","NO")</f>
        <v>CUMPLE</v>
      </c>
      <c r="AI20" s="3" t="str">
        <f t="shared" si="7"/>
        <v>NICE</v>
      </c>
    </row>
    <row r="21" spans="1:40" x14ac:dyDescent="0.45">
      <c r="V21" s="1">
        <v>1.6758955089337426</v>
      </c>
      <c r="W21" s="1">
        <v>1.7058170171806979</v>
      </c>
      <c r="X21" s="1">
        <v>1.5551021015538951</v>
      </c>
      <c r="Y21" s="1">
        <v>1.7236636902406557</v>
      </c>
      <c r="AD21" s="2" t="s">
        <v>31</v>
      </c>
      <c r="AE21" s="3">
        <v>1.6161999999999999E-3</v>
      </c>
      <c r="AF21" s="2">
        <v>1.7387618292327622</v>
      </c>
      <c r="AG21" s="2" t="str">
        <f>IF(AE21&lt;$AL$17,"CUMPLE","NO")</f>
        <v>CUMPLE</v>
      </c>
      <c r="AH21" s="2" t="str">
        <f>IF(AF21&gt;$AL$16,"CUMPLE","NO")</f>
        <v>CUMPLE</v>
      </c>
      <c r="AI21" s="3" t="str">
        <f t="shared" si="7"/>
        <v>NICE</v>
      </c>
    </row>
    <row r="22" spans="1:40" x14ac:dyDescent="0.45">
      <c r="C22" s="12"/>
      <c r="F22" s="12"/>
      <c r="G22" s="12"/>
      <c r="H22" s="12"/>
      <c r="AD22" s="2" t="s">
        <v>39</v>
      </c>
      <c r="AE22" s="3">
        <v>1.9434000000000001E-3</v>
      </c>
      <c r="AF22" s="2">
        <v>1.6244084374750853</v>
      </c>
      <c r="AG22" s="2" t="str">
        <f>IF(AE22&lt;$AL$17,"CUMPLE","NO")</f>
        <v>NO</v>
      </c>
      <c r="AH22" s="2" t="str">
        <f>IF(AF22&gt;$AL$16,"CUMPLE","NO")</f>
        <v>CUMPLE</v>
      </c>
      <c r="AI22" s="3" t="str">
        <f t="shared" si="7"/>
        <v>PANIC</v>
      </c>
    </row>
    <row r="23" spans="1:40" x14ac:dyDescent="0.45">
      <c r="AD23" s="2" t="s">
        <v>36</v>
      </c>
      <c r="AE23" s="3">
        <v>1.9688000000000002E-3</v>
      </c>
      <c r="AF23" s="2">
        <v>1.6557085186903659</v>
      </c>
      <c r="AG23" s="2" t="str">
        <f>IF(AE23&lt;$AL$17,"CUMPLE","NO")</f>
        <v>NO</v>
      </c>
      <c r="AH23" s="2" t="str">
        <f>IF(AF23&gt;$AL$16,"CUMPLE","NO")</f>
        <v>CUMPLE</v>
      </c>
      <c r="AI23" s="3" t="str">
        <f t="shared" si="7"/>
        <v>PANIC</v>
      </c>
    </row>
    <row r="24" spans="1:40" x14ac:dyDescent="0.45">
      <c r="C24" s="12"/>
      <c r="F24" s="12"/>
      <c r="G24" s="12"/>
      <c r="H24" s="12"/>
      <c r="AD24" s="2" t="s">
        <v>34</v>
      </c>
      <c r="AE24" s="3">
        <v>2.6221E-3</v>
      </c>
      <c r="AF24" s="2">
        <v>1.7158206957245821</v>
      </c>
      <c r="AG24" s="2" t="str">
        <f>IF(AE24&lt;$AL$17,"CUMPLE","NO")</f>
        <v>NO</v>
      </c>
      <c r="AH24" s="2" t="str">
        <f>IF(AF24&gt;$AL$16,"CUMPLE","NO")</f>
        <v>CUMPLE</v>
      </c>
      <c r="AI24" s="3" t="str">
        <f t="shared" si="7"/>
        <v>PANIC</v>
      </c>
      <c r="AK24" s="16"/>
      <c r="AL24" s="16"/>
    </row>
    <row r="25" spans="1:40" x14ac:dyDescent="0.45">
      <c r="AD25" s="2" t="s">
        <v>28</v>
      </c>
      <c r="AE25" s="3">
        <v>1.5938E-3</v>
      </c>
      <c r="AF25" s="2">
        <v>1.6803508768409445</v>
      </c>
      <c r="AG25" s="2" t="str">
        <f>IF(AE25&lt;$AL$17,"CUMPLE","NO")</f>
        <v>CUMPLE</v>
      </c>
      <c r="AH25" s="2" t="str">
        <f>IF(AF25&gt;$AL$16,"CUMPLE","NO")</f>
        <v>CUMPLE</v>
      </c>
      <c r="AI25" s="3" t="str">
        <f t="shared" si="7"/>
        <v>NICE</v>
      </c>
    </row>
    <row r="26" spans="1:40" x14ac:dyDescent="0.45">
      <c r="AD26" s="2" t="s">
        <v>37</v>
      </c>
      <c r="AE26" s="3">
        <v>1.6094E-3</v>
      </c>
      <c r="AF26" s="2">
        <v>1.7011513682583603</v>
      </c>
      <c r="AG26" s="2" t="str">
        <f>IF(AE26&lt;$AL$17,"CUMPLE","NO")</f>
        <v>CUMPLE</v>
      </c>
      <c r="AH26" s="2" t="str">
        <f>IF(AF26&gt;$AL$16,"CUMPLE","NO")</f>
        <v>CUMPLE</v>
      </c>
      <c r="AI26" s="3" t="str">
        <f t="shared" si="7"/>
        <v>NICE</v>
      </c>
    </row>
    <row r="27" spans="1:40" x14ac:dyDescent="0.45">
      <c r="AD27" s="2" t="s">
        <v>42</v>
      </c>
      <c r="AE27" s="3">
        <v>2.3281999999999999E-3</v>
      </c>
      <c r="AF27" s="2">
        <v>1.5931594833061955</v>
      </c>
      <c r="AG27" s="2" t="str">
        <f>IF(AE27&lt;$AL$17,"CUMPLE","NO")</f>
        <v>NO</v>
      </c>
      <c r="AH27" s="2" t="str">
        <f>IF(AF27&gt;$AL$16,"CUMPLE","NO")</f>
        <v>NO</v>
      </c>
      <c r="AI27" s="3" t="str">
        <f t="shared" si="7"/>
        <v>NICE</v>
      </c>
    </row>
    <row r="28" spans="1:40" x14ac:dyDescent="0.45">
      <c r="AD28" s="2" t="s">
        <v>29</v>
      </c>
      <c r="AE28" s="3">
        <v>1.9189999999999999E-3</v>
      </c>
      <c r="AF28" s="2">
        <v>1.735227625567771</v>
      </c>
      <c r="AG28" s="2" t="str">
        <f>IF(AE28&lt;$AL$17,"CUMPLE","NO")</f>
        <v>NO</v>
      </c>
      <c r="AH28" s="2" t="str">
        <f>IF(AF28&gt;$AL$16,"CUMPLE","NO")</f>
        <v>CUMPLE</v>
      </c>
      <c r="AI28" s="3" t="str">
        <f t="shared" si="7"/>
        <v>PANIC</v>
      </c>
    </row>
    <row r="29" spans="1:40" x14ac:dyDescent="0.45">
      <c r="AD29" s="2" t="s">
        <v>30</v>
      </c>
      <c r="AE29" s="3">
        <v>2.3340000000000001E-3</v>
      </c>
      <c r="AF29" s="2">
        <v>1.6758955089337426</v>
      </c>
      <c r="AG29" s="2" t="str">
        <f>IF(AE29&lt;$AL$17,"CUMPLE","NO")</f>
        <v>NO</v>
      </c>
      <c r="AH29" s="2" t="str">
        <f>IF(AF29&gt;$AL$16,"CUMPLE","NO")</f>
        <v>CUMPLE</v>
      </c>
      <c r="AI29" s="3" t="str">
        <f t="shared" si="7"/>
        <v>PANIC</v>
      </c>
    </row>
    <row r="30" spans="1:40" x14ac:dyDescent="0.45">
      <c r="AD30" s="2" t="s">
        <v>38</v>
      </c>
      <c r="AE30" s="3">
        <v>1.709E-3</v>
      </c>
      <c r="AF30" s="2">
        <v>1.7058170171806979</v>
      </c>
      <c r="AG30" s="2" t="str">
        <f>IF(AE30&lt;$AL$17,"CUMPLE","NO")</f>
        <v>NO</v>
      </c>
      <c r="AH30" s="2" t="str">
        <f>IF(AF30&gt;$AL$16,"CUMPLE","NO")</f>
        <v>CUMPLE</v>
      </c>
      <c r="AI30" s="3" t="str">
        <f t="shared" si="7"/>
        <v>PANIC</v>
      </c>
    </row>
    <row r="31" spans="1:40" x14ac:dyDescent="0.45">
      <c r="AD31" s="2" t="s">
        <v>41</v>
      </c>
      <c r="AE31" s="3">
        <v>1.6992999999999999E-3</v>
      </c>
      <c r="AF31" s="2">
        <v>1.5551021015538951</v>
      </c>
      <c r="AG31" s="2" t="str">
        <f>IF(AE31&lt;$AL$17,"CUMPLE","NO")</f>
        <v>NO</v>
      </c>
      <c r="AH31" s="2" t="str">
        <f>IF(AF31&gt;$AL$16,"CUMPLE","NO")</f>
        <v>NO</v>
      </c>
      <c r="AI31" s="3" t="str">
        <f t="shared" si="7"/>
        <v>NICE</v>
      </c>
    </row>
    <row r="32" spans="1:40" x14ac:dyDescent="0.45">
      <c r="AD32" s="2" t="s">
        <v>33</v>
      </c>
      <c r="AE32" s="3">
        <v>1.4844000000000001E-3</v>
      </c>
      <c r="AF32" s="2">
        <v>1.7236636902406557</v>
      </c>
      <c r="AG32" s="2" t="str">
        <f>IF(AE32&lt;$AL$17,"CUMPLE","NO")</f>
        <v>CUMPLE</v>
      </c>
      <c r="AH32" s="2" t="str">
        <f>IF(AF32&gt;$AL$16,"CUMPLE","NO")</f>
        <v>CUMPLE</v>
      </c>
      <c r="AI32" s="3" t="str">
        <f t="shared" si="7"/>
        <v>NICE</v>
      </c>
    </row>
    <row r="34" spans="34:35" x14ac:dyDescent="0.45">
      <c r="AH34" s="6" t="s">
        <v>48</v>
      </c>
      <c r="AI34" s="6">
        <f>COUNTIF(AI17:AI32,"PANIC")</f>
        <v>6</v>
      </c>
    </row>
  </sheetData>
  <phoneticPr fontId="2" type="noConversion"/>
  <conditionalFormatting sqref="AI17:AI32">
    <cfRule type="cellIs" dxfId="2" priority="2" operator="equal">
      <formula>"PANIC"</formula>
    </cfRule>
  </conditionalFormatting>
  <conditionalFormatting sqref="AI17:AI32">
    <cfRule type="cellIs" dxfId="0" priority="1" operator="equal">
      <formula>"NICE"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ProctorsCuadrilla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2024-05-02T16:44:50Z</dcterms:created>
  <dcterms:modified xsi:type="dcterms:W3CDTF">2024-05-19T18:19:08Z</dcterms:modified>
</cp:coreProperties>
</file>