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052F4EC0-2673-4C82-83DB-798D88E2EE99}" xr6:coauthVersionLast="47" xr6:coauthVersionMax="47" xr10:uidLastSave="{00000000-0000-0000-0000-000000000000}"/>
  <bookViews>
    <workbookView xWindow="43080" yWindow="-120" windowWidth="29040" windowHeight="15720" activeTab="3" xr2:uid="{F555FD4A-A0AD-4E05-91AA-F39F4B103AE1}"/>
  </bookViews>
  <sheets>
    <sheet name="ObtenciónProbetas" sheetId="1" r:id="rId1"/>
    <sheet name="CurvaCompactaciónProbetas" sheetId="3" r:id="rId2"/>
    <sheet name="ProcesamientoDatos" sheetId="2" r:id="rId3"/>
    <sheet name="SSW_CalibrationCur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J7" i="2"/>
  <c r="G13" i="5"/>
  <c r="I28" i="2"/>
  <c r="J28" i="2"/>
  <c r="L12" i="2"/>
  <c r="L14" i="2"/>
  <c r="K25" i="2"/>
  <c r="J6" i="2" s="1"/>
  <c r="Q26" i="2"/>
  <c r="L7" i="2" s="1"/>
  <c r="Q27" i="2"/>
  <c r="L8" i="2" s="1"/>
  <c r="Q28" i="2"/>
  <c r="L9" i="2" s="1"/>
  <c r="Q29" i="2"/>
  <c r="L10" i="2" s="1"/>
  <c r="Q30" i="2"/>
  <c r="L11" i="2" s="1"/>
  <c r="Q31" i="2"/>
  <c r="Q32" i="2"/>
  <c r="L13" i="2" s="1"/>
  <c r="N26" i="2"/>
  <c r="K7" i="2" s="1"/>
  <c r="N27" i="2"/>
  <c r="K8" i="2" s="1"/>
  <c r="N28" i="2"/>
  <c r="K9" i="2" s="1"/>
  <c r="N29" i="2"/>
  <c r="K10" i="2" s="1"/>
  <c r="N30" i="2"/>
  <c r="K11" i="2" s="1"/>
  <c r="N31" i="2"/>
  <c r="K12" i="2" s="1"/>
  <c r="N32" i="2"/>
  <c r="K13" i="2" s="1"/>
  <c r="K26" i="2"/>
  <c r="K27" i="2"/>
  <c r="J8" i="2" s="1"/>
  <c r="K29" i="2"/>
  <c r="J10" i="2" s="1"/>
  <c r="K30" i="2"/>
  <c r="J11" i="2" s="1"/>
  <c r="K31" i="2"/>
  <c r="J12" i="2" s="1"/>
  <c r="K32" i="2"/>
  <c r="J13" i="2" s="1"/>
  <c r="Q25" i="2"/>
  <c r="L6" i="2" s="1"/>
  <c r="N25" i="2"/>
  <c r="K6" i="2" s="1"/>
  <c r="F16" i="5"/>
  <c r="G16" i="5"/>
  <c r="H16" i="5"/>
  <c r="I16" i="5"/>
  <c r="C16" i="5"/>
  <c r="B16" i="5"/>
  <c r="D16" i="5"/>
  <c r="X9" i="2"/>
  <c r="X8" i="2"/>
  <c r="N11" i="3"/>
  <c r="N9" i="3"/>
  <c r="N10" i="3"/>
  <c r="N12" i="3"/>
  <c r="L9" i="3"/>
  <c r="M9" i="3" s="1"/>
  <c r="M10" i="3"/>
  <c r="M11" i="3"/>
  <c r="M12" i="3"/>
  <c r="L10" i="3"/>
  <c r="L11" i="3"/>
  <c r="L12" i="3"/>
  <c r="K9" i="3"/>
  <c r="K10" i="3"/>
  <c r="K11" i="3"/>
  <c r="K12" i="3"/>
  <c r="I12" i="3"/>
  <c r="I11" i="3"/>
  <c r="I10" i="3"/>
  <c r="I9" i="3"/>
  <c r="K8" i="3"/>
  <c r="K7" i="3"/>
  <c r="M7" i="3" s="1"/>
  <c r="N7" i="3" s="1"/>
  <c r="I7" i="3"/>
  <c r="L7" i="3"/>
  <c r="O8" i="2"/>
  <c r="N8" i="3"/>
  <c r="M8" i="3"/>
  <c r="L8" i="3"/>
  <c r="I8" i="3"/>
  <c r="N5" i="3"/>
  <c r="E16" i="5"/>
  <c r="Q6" i="2"/>
  <c r="J7" i="1"/>
  <c r="J8" i="1"/>
  <c r="J9" i="1"/>
  <c r="J10" i="1"/>
  <c r="J11" i="1"/>
  <c r="J12" i="1"/>
  <c r="J13" i="1"/>
  <c r="J14" i="1"/>
  <c r="J15" i="1"/>
  <c r="J16" i="1"/>
  <c r="J17" i="1"/>
  <c r="J6" i="1"/>
  <c r="I6" i="1"/>
  <c r="I7" i="1"/>
  <c r="I8" i="1"/>
  <c r="I9" i="1"/>
  <c r="I10" i="1"/>
  <c r="I11" i="1"/>
  <c r="I12" i="1"/>
  <c r="I13" i="1"/>
  <c r="I14" i="1"/>
  <c r="I15" i="1"/>
  <c r="I16" i="1"/>
  <c r="I17" i="1"/>
  <c r="N6" i="3"/>
  <c r="F7" i="1"/>
  <c r="F8" i="1"/>
  <c r="F9" i="1"/>
  <c r="F10" i="1"/>
  <c r="F11" i="1"/>
  <c r="F12" i="1"/>
  <c r="F13" i="1"/>
  <c r="F14" i="1"/>
  <c r="F15" i="1"/>
  <c r="F16" i="1"/>
  <c r="F17" i="1"/>
  <c r="F6" i="1"/>
  <c r="H25" i="1"/>
  <c r="H26" i="1" s="1"/>
  <c r="E23" i="1"/>
  <c r="M6" i="2" l="1"/>
  <c r="P6" i="2" s="1"/>
  <c r="R6" i="2" s="1"/>
  <c r="M7" i="2"/>
  <c r="P7" i="2" s="1"/>
  <c r="R7" i="2" s="1"/>
  <c r="M13" i="2"/>
  <c r="P13" i="2" s="1"/>
  <c r="R13" i="2" s="1"/>
  <c r="M12" i="2"/>
  <c r="P12" i="2" s="1"/>
  <c r="R12" i="2" s="1"/>
  <c r="M11" i="2"/>
  <c r="P11" i="2" s="1"/>
  <c r="R11" i="2" s="1"/>
  <c r="M10" i="2"/>
  <c r="P10" i="2" s="1"/>
  <c r="R10" i="2" s="1"/>
  <c r="K28" i="2"/>
  <c r="J9" i="2" s="1"/>
  <c r="M9" i="2" s="1"/>
  <c r="P9" i="2" s="1"/>
  <c r="R9" i="2" s="1"/>
  <c r="M8" i="2"/>
  <c r="P8" i="2" s="1"/>
  <c r="R8" i="2" s="1"/>
  <c r="H6" i="1"/>
  <c r="H14" i="1"/>
  <c r="H15" i="1"/>
  <c r="H16" i="1"/>
  <c r="H17" i="1"/>
  <c r="X7" i="2"/>
  <c r="X17" i="2"/>
  <c r="X16" i="2"/>
  <c r="X15" i="2"/>
  <c r="X14" i="2"/>
  <c r="X13" i="2"/>
  <c r="X12" i="2"/>
  <c r="X11" i="2"/>
  <c r="X10" i="2"/>
  <c r="X6" i="2"/>
  <c r="B17" i="2"/>
  <c r="C17" i="2"/>
  <c r="M17" i="2"/>
  <c r="P17" i="2" s="1"/>
  <c r="R17" i="2" s="1"/>
  <c r="N17" i="2"/>
  <c r="B14" i="2"/>
  <c r="C14" i="2"/>
  <c r="M14" i="2"/>
  <c r="P14" i="2" s="1"/>
  <c r="R14" i="2" s="1"/>
  <c r="N14" i="2"/>
  <c r="B15" i="2"/>
  <c r="C15" i="2"/>
  <c r="M15" i="2"/>
  <c r="N15" i="2"/>
  <c r="P15" i="2"/>
  <c r="R15" i="2" s="1"/>
  <c r="B16" i="2"/>
  <c r="C16" i="2"/>
  <c r="M16" i="2"/>
  <c r="N16" i="2"/>
  <c r="P16" i="2"/>
  <c r="R16" i="2"/>
  <c r="B7" i="2"/>
  <c r="C7" i="2"/>
  <c r="N7" i="2"/>
  <c r="B8" i="2"/>
  <c r="C8" i="2"/>
  <c r="N8" i="2"/>
  <c r="B9" i="2"/>
  <c r="C9" i="2"/>
  <c r="N9" i="2"/>
  <c r="B10" i="2"/>
  <c r="C10" i="2"/>
  <c r="N10" i="2"/>
  <c r="B11" i="2"/>
  <c r="C11" i="2"/>
  <c r="N11" i="2"/>
  <c r="B12" i="2"/>
  <c r="C12" i="2"/>
  <c r="N12" i="2"/>
  <c r="B13" i="2"/>
  <c r="C13" i="2"/>
  <c r="N13" i="2"/>
  <c r="B6" i="2"/>
  <c r="C6" i="2"/>
  <c r="N6" i="2"/>
  <c r="O9" i="2"/>
  <c r="Q9" i="2" s="1"/>
  <c r="O10" i="2"/>
  <c r="Q10" i="2" s="1"/>
  <c r="O11" i="2"/>
  <c r="Q11" i="2" s="1"/>
  <c r="O15" i="2"/>
  <c r="Q15" i="2" s="1"/>
  <c r="B16" i="3"/>
  <c r="B7" i="3"/>
  <c r="B8" i="3"/>
  <c r="B9" i="3"/>
  <c r="B10" i="3"/>
  <c r="B11" i="3"/>
  <c r="B12" i="3"/>
  <c r="B13" i="3"/>
  <c r="B14" i="3"/>
  <c r="B15" i="3"/>
  <c r="B6" i="3"/>
  <c r="B5" i="3"/>
  <c r="L6" i="3"/>
  <c r="O7" i="2" s="1"/>
  <c r="Q7" i="2" s="1"/>
  <c r="L5" i="3"/>
  <c r="O6" i="2" s="1"/>
  <c r="J6" i="3"/>
  <c r="I6" i="3"/>
  <c r="K6" i="3" s="1"/>
  <c r="J5" i="3"/>
  <c r="I5" i="3"/>
  <c r="K5" i="3" s="1"/>
  <c r="S6" i="2" l="1"/>
  <c r="T6" i="2" s="1"/>
  <c r="Z6" i="2" s="1"/>
  <c r="S7" i="2"/>
  <c r="T7" i="2" s="1"/>
  <c r="Z7" i="2" s="1"/>
  <c r="O14" i="2"/>
  <c r="Q14" i="2" s="1"/>
  <c r="S14" i="2" s="1"/>
  <c r="T14" i="2" s="1"/>
  <c r="S10" i="2"/>
  <c r="T10" i="2" s="1"/>
  <c r="Z10" i="2" s="1"/>
  <c r="S11" i="2"/>
  <c r="T11" i="2" s="1"/>
  <c r="Z11" i="2" s="1"/>
  <c r="S9" i="2"/>
  <c r="T9" i="2" s="1"/>
  <c r="Z9" i="2" s="1"/>
  <c r="O12" i="2"/>
  <c r="Q12" i="2" s="1"/>
  <c r="S12" i="2" s="1"/>
  <c r="T12" i="2" s="1"/>
  <c r="Z12" i="2" s="1"/>
  <c r="S15" i="2"/>
  <c r="T15" i="2" s="1"/>
  <c r="O17" i="2"/>
  <c r="Q17" i="2" s="1"/>
  <c r="S17" i="2" s="1"/>
  <c r="T17" i="2" s="1"/>
  <c r="O13" i="2"/>
  <c r="Q13" i="2" s="1"/>
  <c r="S13" i="2" s="1"/>
  <c r="T13" i="2" s="1"/>
  <c r="Z13" i="2" s="1"/>
  <c r="O16" i="2"/>
  <c r="Q16" i="2" s="1"/>
  <c r="S16" i="2" s="1"/>
  <c r="T16" i="2" s="1"/>
  <c r="Q8" i="2"/>
  <c r="S8" i="2" s="1"/>
  <c r="T8" i="2" s="1"/>
  <c r="Z8" i="2" s="1"/>
  <c r="M5" i="3"/>
  <c r="M6" i="3"/>
  <c r="H10" i="1" l="1"/>
  <c r="H11" i="1"/>
  <c r="H12" i="1"/>
  <c r="H13" i="1"/>
  <c r="H9" i="1"/>
  <c r="H8" i="1"/>
  <c r="H7" i="1"/>
</calcChain>
</file>

<file path=xl/sharedStrings.xml><?xml version="1.0" encoding="utf-8"?>
<sst xmlns="http://schemas.openxmlformats.org/spreadsheetml/2006/main" count="148" uniqueCount="111">
  <si>
    <t>Cronograma Probetas</t>
  </si>
  <si>
    <t>Datos para crear Probeta</t>
  </si>
  <si>
    <t>[%]</t>
  </si>
  <si>
    <t>[gr/cm3]</t>
  </si>
  <si>
    <t>[gr]</t>
  </si>
  <si>
    <t>#Probeta</t>
  </si>
  <si>
    <t>Fecha</t>
  </si>
  <si>
    <t>Densidad Seca Objetivo</t>
  </si>
  <si>
    <t>Masa Seca</t>
  </si>
  <si>
    <t>Masa de Agua</t>
  </si>
  <si>
    <t>Altura Final Probeta</t>
  </si>
  <si>
    <t>Datos Molde Probeta</t>
  </si>
  <si>
    <t>H Probeta</t>
  </si>
  <si>
    <t>mm</t>
  </si>
  <si>
    <t xml:space="preserve">Altura </t>
  </si>
  <si>
    <t>H Objetivo</t>
  </si>
  <si>
    <t># Placas</t>
  </si>
  <si>
    <t>Diametro</t>
  </si>
  <si>
    <t>Volumen</t>
  </si>
  <si>
    <t>mm3</t>
  </si>
  <si>
    <t>cm3</t>
  </si>
  <si>
    <t>Peso Lata</t>
  </si>
  <si>
    <t>Peso Lata +Humedo</t>
  </si>
  <si>
    <t>Peso Lata + Seco</t>
  </si>
  <si>
    <t>%Humedad Real</t>
  </si>
  <si>
    <t>Humedad Final</t>
  </si>
  <si>
    <t>Masa 1</t>
  </si>
  <si>
    <t>Masa 2</t>
  </si>
  <si>
    <t>Masa3</t>
  </si>
  <si>
    <t>Masa4</t>
  </si>
  <si>
    <t>Masa5</t>
  </si>
  <si>
    <t>Masa6</t>
  </si>
  <si>
    <t>Masa7</t>
  </si>
  <si>
    <t>Masa8</t>
  </si>
  <si>
    <t>Humedad Objetivo</t>
  </si>
  <si>
    <t>Incremento Humedad Objetivo</t>
  </si>
  <si>
    <t>Densidad Humeda Final</t>
  </si>
  <si>
    <t>Densidad Seca Final</t>
  </si>
  <si>
    <t>g/cm3</t>
  </si>
  <si>
    <t>#</t>
  </si>
  <si>
    <t>TV1</t>
  </si>
  <si>
    <t>TV2</t>
  </si>
  <si>
    <t>TV3</t>
  </si>
  <si>
    <t>TV prom</t>
  </si>
  <si>
    <t>nu</t>
  </si>
  <si>
    <t>densidad</t>
  </si>
  <si>
    <t>Vp</t>
  </si>
  <si>
    <t>E</t>
  </si>
  <si>
    <t>(us)</t>
  </si>
  <si>
    <t>(cm)</t>
  </si>
  <si>
    <t>(cm/us)</t>
  </si>
  <si>
    <t>(kg/m3)</t>
  </si>
  <si>
    <t>(m/s)</t>
  </si>
  <si>
    <t>Pa</t>
  </si>
  <si>
    <t>Nombre</t>
  </si>
  <si>
    <t>Datos Plaquitas Inferiores</t>
  </si>
  <si>
    <t>Determinación Humedad Inicial</t>
  </si>
  <si>
    <t>Datos Probeta Final</t>
  </si>
  <si>
    <t>Masa Probeta</t>
  </si>
  <si>
    <t>Humedad #1</t>
  </si>
  <si>
    <t>Humedad #2</t>
  </si>
  <si>
    <t>Lata + Humedo #1</t>
  </si>
  <si>
    <t>Lata + Humedo #2</t>
  </si>
  <si>
    <t>Lata + Seco #1</t>
  </si>
  <si>
    <t>Lata + Seco #2</t>
  </si>
  <si>
    <t>Masa Lata #1</t>
  </si>
  <si>
    <t>Masa Lata #2</t>
  </si>
  <si>
    <t>Análisis Humedad Final de Muestras</t>
  </si>
  <si>
    <t>% Error</t>
  </si>
  <si>
    <t>Resultados Compactación</t>
  </si>
  <si>
    <t>Masa9</t>
  </si>
  <si>
    <t>Masa10</t>
  </si>
  <si>
    <t>Masa11</t>
  </si>
  <si>
    <t>Masa12</t>
  </si>
  <si>
    <t>Mpa</t>
  </si>
  <si>
    <t>Saturación</t>
  </si>
  <si>
    <t>GS</t>
  </si>
  <si>
    <t>E Vp</t>
  </si>
  <si>
    <t>TOF1</t>
  </si>
  <si>
    <t>TOF2</t>
  </si>
  <si>
    <t>TOF3</t>
  </si>
  <si>
    <t>Probeta</t>
  </si>
  <si>
    <t>Módulo de Young por Velocidad de Onpa p</t>
  </si>
  <si>
    <t>Obtención Poisson</t>
  </si>
  <si>
    <t>Mod. E Pelotazo</t>
  </si>
  <si>
    <t>TOF Prom</t>
  </si>
  <si>
    <t>MPA</t>
  </si>
  <si>
    <t xml:space="preserve">% Error </t>
  </si>
  <si>
    <t>Vw</t>
  </si>
  <si>
    <t>Vv</t>
  </si>
  <si>
    <t>Vs</t>
  </si>
  <si>
    <t>Datos Curva Calibración</t>
  </si>
  <si>
    <t>Mod. Poisson</t>
  </si>
  <si>
    <t>TOF</t>
  </si>
  <si>
    <t>Interpolación para Poisson Dado</t>
  </si>
  <si>
    <t>Interpolación para Módulo de Elasticidad</t>
  </si>
  <si>
    <t>Mod. Elasticidad</t>
  </si>
  <si>
    <t>arriba</t>
  </si>
  <si>
    <t>abajo</t>
  </si>
  <si>
    <t>X1</t>
  </si>
  <si>
    <t>X2</t>
  </si>
  <si>
    <t>diferencia</t>
  </si>
  <si>
    <t>M1</t>
  </si>
  <si>
    <t>M2</t>
  </si>
  <si>
    <t>M3</t>
  </si>
  <si>
    <t>M4</t>
  </si>
  <si>
    <t>M5</t>
  </si>
  <si>
    <t>M6</t>
  </si>
  <si>
    <t>M7</t>
  </si>
  <si>
    <t>M8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</si>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</sst>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0"/>
    <numFmt numFmtId="168" formatCode="0.0000000"/>
    <numFmt numFmtId="169" formatCode="0.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11" xfId="0" applyFill="1" applyBorder="1"/>
    <xf numFmtId="10" fontId="0" fillId="2" borderId="8" xfId="1" applyNumberFormat="1" applyFont="1" applyFill="1" applyBorder="1"/>
    <xf numFmtId="0" fontId="0" fillId="2" borderId="8" xfId="0" applyFill="1" applyBorder="1" applyAlignment="1">
      <alignment horizontal="center"/>
    </xf>
    <xf numFmtId="10" fontId="0" fillId="2" borderId="8" xfId="0" applyNumberFormat="1" applyFill="1" applyBorder="1"/>
    <xf numFmtId="0" fontId="0" fillId="2" borderId="10" xfId="0" applyFill="1" applyBorder="1"/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0" borderId="21" xfId="0" applyBorder="1"/>
    <xf numFmtId="10" fontId="0" fillId="2" borderId="12" xfId="1" applyNumberFormat="1" applyFont="1" applyFill="1" applyBorder="1"/>
    <xf numFmtId="0" fontId="4" fillId="2" borderId="8" xfId="0" applyFont="1" applyFill="1" applyBorder="1" applyAlignment="1">
      <alignment horizontal="center" vertical="center"/>
    </xf>
    <xf numFmtId="16" fontId="4" fillId="2" borderId="8" xfId="0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6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/>
    </xf>
    <xf numFmtId="0" fontId="0" fillId="5" borderId="15" xfId="0" applyFill="1" applyBorder="1"/>
    <xf numFmtId="0" fontId="0" fillId="5" borderId="16" xfId="0" applyFill="1" applyBorder="1"/>
    <xf numFmtId="0" fontId="0" fillId="5" borderId="1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2" fontId="0" fillId="5" borderId="7" xfId="0" applyNumberForma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right"/>
    </xf>
    <xf numFmtId="0" fontId="7" fillId="2" borderId="24" xfId="0" applyFont="1" applyFill="1" applyBorder="1" applyAlignment="1">
      <alignment horizontal="left"/>
    </xf>
    <xf numFmtId="2" fontId="0" fillId="2" borderId="25" xfId="0" applyNumberFormat="1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164" fontId="0" fillId="2" borderId="8" xfId="0" applyNumberFormat="1" applyFill="1" applyBorder="1"/>
    <xf numFmtId="0" fontId="8" fillId="3" borderId="2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0" fontId="2" fillId="2" borderId="0" xfId="2" applyFill="1"/>
    <xf numFmtId="0" fontId="2" fillId="2" borderId="33" xfId="2" applyFill="1" applyBorder="1"/>
    <xf numFmtId="0" fontId="2" fillId="2" borderId="35" xfId="2" applyFill="1" applyBorder="1"/>
    <xf numFmtId="0" fontId="2" fillId="2" borderId="8" xfId="2" applyFill="1" applyBorder="1"/>
    <xf numFmtId="0" fontId="2" fillId="2" borderId="36" xfId="2" applyFill="1" applyBorder="1"/>
    <xf numFmtId="0" fontId="2" fillId="2" borderId="10" xfId="2" applyFill="1" applyBorder="1"/>
    <xf numFmtId="0" fontId="2" fillId="2" borderId="11" xfId="2" applyFill="1" applyBorder="1"/>
    <xf numFmtId="0" fontId="2" fillId="2" borderId="12" xfId="2" applyFill="1" applyBorder="1"/>
    <xf numFmtId="0" fontId="2" fillId="2" borderId="22" xfId="2" applyFill="1" applyBorder="1"/>
    <xf numFmtId="0" fontId="13" fillId="2" borderId="0" xfId="2" applyFont="1" applyFill="1" applyAlignment="1">
      <alignment horizontal="center"/>
    </xf>
    <xf numFmtId="0" fontId="2" fillId="2" borderId="4" xfId="2" applyFill="1" applyBorder="1"/>
    <xf numFmtId="0" fontId="2" fillId="2" borderId="20" xfId="2" applyFill="1" applyBorder="1"/>
    <xf numFmtId="2" fontId="2" fillId="2" borderId="9" xfId="2" applyNumberFormat="1" applyFill="1" applyBorder="1"/>
    <xf numFmtId="0" fontId="2" fillId="2" borderId="39" xfId="2" applyFill="1" applyBorder="1"/>
    <xf numFmtId="2" fontId="2" fillId="2" borderId="4" xfId="2" applyNumberFormat="1" applyFill="1" applyBorder="1"/>
    <xf numFmtId="2" fontId="2" fillId="2" borderId="34" xfId="2" applyNumberFormat="1" applyFill="1" applyBorder="1"/>
    <xf numFmtId="166" fontId="0" fillId="2" borderId="8" xfId="1" applyNumberFormat="1" applyFont="1" applyFill="1" applyBorder="1"/>
    <xf numFmtId="167" fontId="0" fillId="2" borderId="0" xfId="0" applyNumberFormat="1" applyFill="1"/>
    <xf numFmtId="168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69" fontId="0" fillId="2" borderId="8" xfId="0" applyNumberFormat="1" applyFill="1" applyBorder="1" applyAlignment="1">
      <alignment horizontal="center" vertical="center"/>
    </xf>
    <xf numFmtId="2" fontId="15" fillId="2" borderId="8" xfId="0" applyNumberFormat="1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 vertical="center"/>
    </xf>
    <xf numFmtId="11" fontId="0" fillId="2" borderId="8" xfId="0" applyNumberFormat="1" applyFill="1" applyBorder="1"/>
    <xf numFmtId="167" fontId="0" fillId="2" borderId="8" xfId="0" applyNumberFormat="1" applyFill="1" applyBorder="1" applyAlignment="1">
      <alignment horizontal="center" vertical="center"/>
    </xf>
    <xf numFmtId="168" fontId="2" fillId="2" borderId="0" xfId="2" applyNumberFormat="1" applyFill="1"/>
    <xf numFmtId="168" fontId="2" fillId="2" borderId="22" xfId="2" applyNumberFormat="1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3" fillId="2" borderId="9" xfId="2" applyFont="1" applyFill="1" applyBorder="1" applyAlignment="1">
      <alignment horizontal="center"/>
    </xf>
    <xf numFmtId="0" fontId="13" fillId="2" borderId="39" xfId="2" applyFont="1" applyFill="1" applyBorder="1" applyAlignment="1">
      <alignment horizontal="center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0" fontId="13" fillId="2" borderId="1" xfId="2" applyFont="1" applyFill="1" applyBorder="1" applyAlignment="1">
      <alignment horizontal="center"/>
    </xf>
    <xf numFmtId="0" fontId="13" fillId="2" borderId="3" xfId="2" applyFont="1" applyFill="1" applyBorder="1" applyAlignment="1">
      <alignment horizontal="center"/>
    </xf>
    <xf numFmtId="0" fontId="13" fillId="2" borderId="2" xfId="2" applyFont="1" applyFill="1" applyBorder="1" applyAlignment="1">
      <alignment horizontal="center"/>
    </xf>
    <xf numFmtId="0" fontId="13" fillId="2" borderId="13" xfId="2" applyFont="1" applyFill="1" applyBorder="1" applyAlignment="1">
      <alignment horizontal="center"/>
    </xf>
    <xf numFmtId="0" fontId="13" fillId="2" borderId="37" xfId="2" applyFont="1" applyFill="1" applyBorder="1" applyAlignment="1">
      <alignment horizontal="center"/>
    </xf>
    <xf numFmtId="0" fontId="13" fillId="2" borderId="38" xfId="2" applyFont="1" applyFill="1" applyBorder="1" applyAlignment="1">
      <alignment horizontal="center"/>
    </xf>
    <xf numFmtId="0" fontId="1" fillId="2" borderId="0" xfId="2" applyFont="1" applyFill="1"/>
  </cellXfs>
  <cellStyles count="3">
    <cellStyle name="Normal" xfId="0" builtinId="0"/>
    <cellStyle name="Normal 2" xfId="2" xr:uid="{A395C95D-9011-4F69-A9A8-DB6498E678B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ObtenciónProbetas!$F$8:$F$11</c:f>
              <c:numCache>
                <c:formatCode>0.00%</c:formatCode>
                <c:ptCount val="4"/>
                <c:pt idx="0">
                  <c:v>0.22035087719298252</c:v>
                </c:pt>
                <c:pt idx="1">
                  <c:v>0.23535087719298253</c:v>
                </c:pt>
                <c:pt idx="2">
                  <c:v>0.24235087719298254</c:v>
                </c:pt>
                <c:pt idx="3">
                  <c:v>0.24835087719298254</c:v>
                </c:pt>
              </c:numCache>
            </c:numRef>
          </c:xVal>
          <c:yVal>
            <c:numRef>
              <c:f>ObtenciónProbetas!$G$8:$G$11</c:f>
              <c:numCache>
                <c:formatCode>0.000</c:formatCode>
                <c:ptCount val="4"/>
                <c:pt idx="0">
                  <c:v>1.554</c:v>
                </c:pt>
                <c:pt idx="1">
                  <c:v>1.585</c:v>
                </c:pt>
                <c:pt idx="2">
                  <c:v>1.5580000000000001</c:v>
                </c:pt>
                <c:pt idx="3" formatCode="General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D-470C-AA18-E9AF81B8E9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ObtenciónProbetas!$F$12:$F$15</c:f>
              <c:numCache>
                <c:formatCode>0.00%</c:formatCode>
                <c:ptCount val="4"/>
                <c:pt idx="0">
                  <c:v>0.18035087719298254</c:v>
                </c:pt>
                <c:pt idx="1">
                  <c:v>0.19535087719298252</c:v>
                </c:pt>
                <c:pt idx="2">
                  <c:v>0.20735087719298254</c:v>
                </c:pt>
                <c:pt idx="3">
                  <c:v>0.22035087719298252</c:v>
                </c:pt>
              </c:numCache>
            </c:numRef>
          </c:xVal>
          <c:yVal>
            <c:numRef>
              <c:f>ObtenciónProbetas!$G$12:$G$15</c:f>
              <c:numCache>
                <c:formatCode>General</c:formatCode>
                <c:ptCount val="4"/>
                <c:pt idx="0">
                  <c:v>1.6</c:v>
                </c:pt>
                <c:pt idx="1">
                  <c:v>1.66</c:v>
                </c:pt>
                <c:pt idx="2">
                  <c:v>1.655</c:v>
                </c:pt>
                <c:pt idx="3">
                  <c:v>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D-470C-AA18-E9AF81B8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58063"/>
        <c:axId val="971740543"/>
      </c:scatterChart>
      <c:valAx>
        <c:axId val="970658063"/>
        <c:scaling>
          <c:orientation val="minMax"/>
          <c:max val="0.33000000000000007"/>
          <c:min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40543"/>
        <c:crosses val="autoZero"/>
        <c:crossBetween val="midCat"/>
        <c:majorUnit val="4.0000000000000008E-2"/>
      </c:valAx>
      <c:valAx>
        <c:axId val="9717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5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CurvaCompactaciónProbetas!$K$7:$K$10</c:f>
              <c:numCache>
                <c:formatCode>0.00%</c:formatCode>
                <c:ptCount val="4"/>
                <c:pt idx="0">
                  <c:v>0.21935293703665454</c:v>
                </c:pt>
                <c:pt idx="1">
                  <c:v>0.23560209424083789</c:v>
                </c:pt>
                <c:pt idx="2">
                  <c:v>0.25282885431400276</c:v>
                </c:pt>
                <c:pt idx="3">
                  <c:v>0.25694708793300342</c:v>
                </c:pt>
              </c:numCache>
            </c:numRef>
          </c:xVal>
          <c:yVal>
            <c:numRef>
              <c:f>CurvaCompactaciónProbetas!$M$7:$M$10</c:f>
              <c:numCache>
                <c:formatCode>0.0000</c:formatCode>
                <c:ptCount val="4"/>
                <c:pt idx="0">
                  <c:v>1.5500406397207307</c:v>
                </c:pt>
                <c:pt idx="1">
                  <c:v>1.5778541061717817</c:v>
                </c:pt>
                <c:pt idx="2">
                  <c:v>1.5717153191863193</c:v>
                </c:pt>
                <c:pt idx="3">
                  <c:v>1.5658606862573667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C-46AC-B682-BC90CE5C98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CurvaCompactaciónProbetas!$K$11:$K$12</c:f>
              <c:numCache>
                <c:formatCode>0.00%</c:formatCode>
                <c:ptCount val="2"/>
                <c:pt idx="0">
                  <c:v>0.1797546012269941</c:v>
                </c:pt>
                <c:pt idx="1">
                  <c:v>0.1942128494359977</c:v>
                </c:pt>
              </c:numCache>
            </c:numRef>
          </c:xVal>
          <c:yVal>
            <c:numRef>
              <c:f>CurvaCompactaciónProbetas!$M$11:$M$12</c:f>
              <c:numCache>
                <c:formatCode>0.0000</c:formatCode>
                <c:ptCount val="2"/>
                <c:pt idx="0">
                  <c:v>1.5520297605561089</c:v>
                </c:pt>
                <c:pt idx="1">
                  <c:v>1.6035596605878082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C-46AC-B682-BC90CE5C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92992"/>
        <c:axId val="990064960"/>
      </c:scatterChart>
      <c:valAx>
        <c:axId val="16494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960"/>
        <c:crosses val="autoZero"/>
        <c:crossBetween val="midCat"/>
      </c:valAx>
      <c:valAx>
        <c:axId val="9900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Mod.</a:t>
            </a:r>
            <a:r>
              <a:rPr lang="en-US" baseline="0"/>
              <a:t> 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878412073490814"/>
                  <c:y val="6.99985418489355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ProcesamientoDatos!$Y$6:$Y$13</c:f>
              <c:numCache>
                <c:formatCode>General</c:formatCode>
                <c:ptCount val="8"/>
                <c:pt idx="0">
                  <c:v>50.93</c:v>
                </c:pt>
                <c:pt idx="1">
                  <c:v>74.66</c:v>
                </c:pt>
                <c:pt idx="2">
                  <c:v>286.91000000000003</c:v>
                </c:pt>
                <c:pt idx="3">
                  <c:v>347.21</c:v>
                </c:pt>
                <c:pt idx="4">
                  <c:v>342.03</c:v>
                </c:pt>
                <c:pt idx="5">
                  <c:v>321.33</c:v>
                </c:pt>
                <c:pt idx="6">
                  <c:v>347.21</c:v>
                </c:pt>
                <c:pt idx="7">
                  <c:v>357.56</c:v>
                </c:pt>
              </c:numCache>
            </c:numRef>
          </c:xVal>
          <c:yVal>
            <c:numRef>
              <c:f>ProcesamientoDatos!$T$6:$T$13</c:f>
              <c:numCache>
                <c:formatCode>0.00</c:formatCode>
                <c:ptCount val="8"/>
                <c:pt idx="0">
                  <c:v>54.406654429662701</c:v>
                </c:pt>
                <c:pt idx="1">
                  <c:v>71.330066025744173</c:v>
                </c:pt>
                <c:pt idx="2">
                  <c:v>260.43645467800462</c:v>
                </c:pt>
                <c:pt idx="3">
                  <c:v>378.55618287867651</c:v>
                </c:pt>
                <c:pt idx="4">
                  <c:v>320.43482752146997</c:v>
                </c:pt>
                <c:pt idx="5">
                  <c:v>350.70480262352351</c:v>
                </c:pt>
                <c:pt idx="6">
                  <c:v>360.43159048286122</c:v>
                </c:pt>
                <c:pt idx="7">
                  <c:v>381.57511511581333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4-43E9-A1E6-0130F15B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14927"/>
        <c:axId val="2074784079"/>
      </c:scatterChart>
      <c:valAx>
        <c:axId val="20736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84079"/>
        <c:crosses val="autoZero"/>
        <c:crossBetween val="midCat"/>
      </c:valAx>
      <c:valAx>
        <c:axId val="20747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Mod. E vs Densidad Seca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ProcesamientoDatos!$AA$8:$AA$13</c:f>
              <c:numCache>
                <c:formatCode>General</c:formatCode>
                <c:ptCount val="6"/>
                <c:pt idx="0">
                  <c:v>1.5500406397207307</c:v>
                </c:pt>
                <c:pt idx="1">
                  <c:v>1.5778541061717817</c:v>
                </c:pt>
                <c:pt idx="2">
                  <c:v>1.5717153191863193</c:v>
                </c:pt>
                <c:pt idx="3">
                  <c:v>1.5658606862573667</c:v>
                </c:pt>
                <c:pt idx="4">
                  <c:v>1.5520297605561089</c:v>
                </c:pt>
                <c:pt idx="5">
                  <c:v>1.6035596605878082</c:v>
                </c:pt>
              </c:numCache>
            </c:numRef>
          </c:xVal>
          <c:yVal>
            <c:numRef>
              <c:f>ProcesamientoDatos!$Y$8:$Y$13</c:f>
              <c:numCache>
                <c:formatCode>General</c:formatCode>
                <c:ptCount val="6"/>
                <c:pt idx="0">
                  <c:v>286.91000000000003</c:v>
                </c:pt>
                <c:pt idx="1">
                  <c:v>347.21</c:v>
                </c:pt>
                <c:pt idx="2">
                  <c:v>342.03</c:v>
                </c:pt>
                <c:pt idx="3">
                  <c:v>321.33</c:v>
                </c:pt>
                <c:pt idx="4">
                  <c:v>347.21</c:v>
                </c:pt>
                <c:pt idx="5">
                  <c:v>357.56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90-4AFB-9CE3-11E0BA6A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14927"/>
        <c:axId val="2074784079"/>
      </c:scatterChart>
      <c:valAx>
        <c:axId val="20736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84079"/>
        <c:crosses val="autoZero"/>
        <c:crossBetween val="midCat"/>
      </c:valAx>
      <c:valAx>
        <c:axId val="207478407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Curva</a:t>
            </a:r>
            <a:r>
              <a:rPr lang="es-EC" baseline="0"/>
              <a:t> de Calibración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914775300621"/>
          <c:y val="0.1496131693307661"/>
          <c:w val="0.77828049197223137"/>
          <c:h val="0.6233716363137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SSW_CalibrationCurve!$B$6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SSW_CalibrationCurve!$C$6:$G$6</c:f>
              <c:numCache>
                <c:formatCode>General</c:formatCode>
                <c:ptCount val="5"/>
                <c:pt idx="0">
                  <c:v>2.3478348100633198E-3</c:v>
                </c:pt>
                <c:pt idx="1">
                  <c:v>1.9955787603624102E-3</c:v>
                </c:pt>
                <c:pt idx="2">
                  <c:v>1.7820024121730301E-3</c:v>
                </c:pt>
                <c:pt idx="3">
                  <c:v>1.5694576530822599E-3</c:v>
                </c:pt>
                <c:pt idx="4">
                  <c:v>1.3718172767980101E-3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3-4CDA-9616-CD3A05AFA704}"/>
            </c:ext>
          </c:extLst>
        </c:ser>
        <c:ser>
          <c:idx val="1"/>
          <c:order val="1"/>
          <c:tx>
            <c:strRef>
              <c:f>SSW_CalibrationCurve!$B$7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SSW_CalibrationCurve!$C$7:$G$7</c:f>
              <c:numCache>
                <c:formatCode>General</c:formatCode>
                <c:ptCount val="5"/>
                <c:pt idx="0">
                  <c:v>2.3394404849428098E-3</c:v>
                </c:pt>
                <c:pt idx="1">
                  <c:v>1.98434376581171E-3</c:v>
                </c:pt>
                <c:pt idx="2">
                  <c:v>1.7711769880264601E-3</c:v>
                </c:pt>
                <c:pt idx="3">
                  <c:v>1.5596375331642599E-3</c:v>
                </c:pt>
                <c:pt idx="4">
                  <c:v>1.3631794859288E-3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3-4CDA-9616-CD3A05AFA704}"/>
            </c:ext>
          </c:extLst>
        </c:ser>
        <c:ser>
          <c:idx val="2"/>
          <c:order val="2"/>
          <c:tx>
            <c:strRef>
              <c:f>SSW_CalibrationCurve!$B$8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SSW_CalibrationCurve!$C$8:$I$8</c:f>
              <c:numCache>
                <c:formatCode>General</c:formatCode>
                <c:ptCount val="7"/>
                <c:pt idx="0">
                  <c:v>2.32464610063569E-3</c:v>
                </c:pt>
                <c:pt idx="1">
                  <c:v>1.9648933392996401E-3</c:v>
                </c:pt>
                <c:pt idx="2">
                  <c:v>1.7524451909427701E-3</c:v>
                </c:pt>
                <c:pt idx="3">
                  <c:v>1.5426744704321301E-3</c:v>
                </c:pt>
                <c:pt idx="4">
                  <c:v>1.3483557321667301E-3</c:v>
                </c:pt>
                <c:pt idx="5">
                  <c:v>1.2449639506084301E-3</c:v>
                </c:pt>
                <c:pt idx="6">
                  <c:v>1.1772007984239201E-3</c:v>
                </c:pt>
              </c:numCache>
            </c:numRef>
          </c:xVal>
          <c:yVal>
            <c:numRef>
              <c:f>SSW_CalibrationCurve!$C$5:$I$5</c:f>
              <c:numCache>
                <c:formatCode>0.00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 formatCode="General">
                  <c:v>300</c:v>
                </c:pt>
                <c:pt idx="6" formatCode="General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3-4CDA-9616-CD3A05AFA704}"/>
            </c:ext>
          </c:extLst>
        </c:ser>
        <c:ser>
          <c:idx val="3"/>
          <c:order val="3"/>
          <c:tx>
            <c:strRef>
              <c:f>SSW_CalibrationCurve!$B$9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SSW_CalibrationCurve!$C$9:$I$9</c:f>
              <c:numCache>
                <c:formatCode>General</c:formatCode>
                <c:ptCount val="7"/>
                <c:pt idx="0">
                  <c:v>2.3023397656270999E-3</c:v>
                </c:pt>
                <c:pt idx="1">
                  <c:v>1.9358334976590601E-3</c:v>
                </c:pt>
                <c:pt idx="2">
                  <c:v>1.7247572871193599E-3</c:v>
                </c:pt>
                <c:pt idx="3">
                  <c:v>1.51776845222711E-3</c:v>
                </c:pt>
                <c:pt idx="4">
                  <c:v>1.3265591896317601E-3</c:v>
                </c:pt>
                <c:pt idx="5">
                  <c:v>1.2253486062462199E-3</c:v>
                </c:pt>
                <c:pt idx="6">
                  <c:v>1.1591183841943499E-3</c:v>
                </c:pt>
              </c:numCache>
            </c:numRef>
          </c:xVal>
          <c:yVal>
            <c:numRef>
              <c:f>SSW_CalibrationCurve!$C$5:$I$5</c:f>
              <c:numCache>
                <c:formatCode>0.00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 formatCode="General">
                  <c:v>300</c:v>
                </c:pt>
                <c:pt idx="6" formatCode="General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3-4CDA-9616-CD3A05AFA704}"/>
            </c:ext>
          </c:extLst>
        </c:ser>
        <c:ser>
          <c:idx val="4"/>
          <c:order val="4"/>
          <c:tx>
            <c:strRef>
              <c:f>SSW_CalibrationCurve!$B$10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SSW_CalibrationCurve!$C$10:$I$10</c:f>
              <c:numCache>
                <c:formatCode>General</c:formatCode>
                <c:ptCount val="7"/>
                <c:pt idx="0">
                  <c:v>2.27007750668263E-3</c:v>
                </c:pt>
                <c:pt idx="1">
                  <c:v>1.89502062975498E-3</c:v>
                </c:pt>
                <c:pt idx="2">
                  <c:v>1.68607013178486E-3</c:v>
                </c:pt>
                <c:pt idx="3">
                  <c:v>1.48321064757378E-3</c:v>
                </c:pt>
                <c:pt idx="4">
                  <c:v>1.2964257444793301E-3</c:v>
                </c:pt>
                <c:pt idx="5">
                  <c:v>1.1983390993185899E-3</c:v>
                </c:pt>
                <c:pt idx="6">
                  <c:v>1.13437854046204E-3</c:v>
                </c:pt>
              </c:numCache>
            </c:numRef>
          </c:xVal>
          <c:yVal>
            <c:numRef>
              <c:f>SSW_CalibrationCurve!$C$5:$I$5</c:f>
              <c:numCache>
                <c:formatCode>0.00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 formatCode="General">
                  <c:v>300</c:v>
                </c:pt>
                <c:pt idx="6" formatCode="General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3-4CDA-9616-CD3A05AFA704}"/>
            </c:ext>
          </c:extLst>
        </c:ser>
        <c:ser>
          <c:idx val="5"/>
          <c:order val="5"/>
          <c:tx>
            <c:v>Data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SSW_CalibrationCurve!$G$13</c:f>
              <c:numCache>
                <c:formatCode>0.0000000</c:formatCode>
                <c:ptCount val="1"/>
                <c:pt idx="0">
                  <c:v>1.1666666666666668E-3</c:v>
                </c:pt>
              </c:numCache>
            </c:numRef>
          </c:xVal>
          <c:yVal>
            <c:numRef>
              <c:f>SSW_CalibrationCurve!$D$19</c:f>
              <c:numCache>
                <c:formatCode>0.00</c:formatCode>
                <c:ptCount val="1"/>
                <c:pt idx="0">
                  <c:v>357.55589026108146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63-4CDA-9616-CD3A05AF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8847"/>
        <c:axId val="1847155231"/>
      </c:scatterChart>
      <c:valAx>
        <c:axId val="86478847"/>
        <c:scaling>
          <c:orientation val="minMax"/>
          <c:min val="1.100000000000000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TOF</a:t>
                </a:r>
                <a:r>
                  <a:rPr lang="es-EC" baseline="0"/>
                  <a:t> (s)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55231"/>
        <c:crosses val="autoZero"/>
        <c:crossBetween val="midCat"/>
        <c:majorUnit val="1.0000000000000003E-4"/>
        <c:minorUnit val="2.0000000000000008E-5"/>
      </c:valAx>
      <c:valAx>
        <c:axId val="1847155231"/>
        <c:scaling>
          <c:logBase val="10"/>
          <c:orientation val="minMax"/>
          <c:max val="4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Mod</a:t>
                </a:r>
                <a:r>
                  <a:rPr lang="es-EC" baseline="0"/>
                  <a:t>. E [MPa]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8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355248</xdr:colOff>
      <xdr:row>1</xdr:row>
      <xdr:rowOff>108673</xdr:rowOff>
    </xdr:from>
    <xdr:to>
      <xdr:col>18</xdr:col>
      <xdr:colOff>562541</xdr:colOff>
      <xdr:row>9</xdr:row>
      <xdr:rowOff>56562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AD6072-99F1-4FD5-B4B6-8DC62844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7586" y="306595"/>
          <a:ext cx="4408375" cy="3085140"/>
        </a:xfrm>
        <a:prstGeom prst="rect">
          <a:avLst/>
        </a:prstGeom>
      </xdr:spPr>
    </xdr:pic>
    <xdr:clientData/>
  </xdr:twoCellAnchor>
  <xdr:twoCellAnchor>
    <xdr:from>
      <xdr:col>13</xdr:col>
      <xdr:colOff>735402</xdr:colOff>
      <xdr:row>9</xdr:row>
      <xdr:rowOff>146834</xdr:rowOff>
    </xdr:from>
    <xdr:to>
      <xdr:col>18</xdr:col>
      <xdr:colOff>500990</xdr:colOff>
      <xdr:row>14</xdr:row>
      <xdr:rowOff>354157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7A168-F920-8EB6-835E-2CA41247A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335644</xdr:colOff>
      <xdr:row>0</xdr:row>
      <xdr:rowOff>151720</xdr:rowOff>
    </xdr:from>
    <xdr:to>
      <xdr:col>19</xdr:col>
      <xdr:colOff>551150</xdr:colOff>
      <xdr:row>11</xdr:row>
      <xdr:rowOff>103188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95B4C-FE09-449C-8DCF-42BB81893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1180" y="151720"/>
          <a:ext cx="3640878" cy="2611438"/>
        </a:xfrm>
        <a:prstGeom prst="rect">
          <a:avLst/>
        </a:prstGeom>
      </xdr:spPr>
    </xdr:pic>
    <xdr:clientData/>
  </xdr:twoCellAnchor>
  <xdr:twoCellAnchor>
    <xdr:from>
      <xdr:col>14</xdr:col>
      <xdr:colOff>333375</xdr:colOff>
      <xdr:row>12</xdr:row>
      <xdr:rowOff>25964</xdr:rowOff>
    </xdr:from>
    <xdr:to>
      <xdr:col>20</xdr:col>
      <xdr:colOff>544287</xdr:colOff>
      <xdr:row>24</xdr:row>
      <xdr:rowOff>51025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44C26-A894-70F7-2E1A-E5126723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77667</xdr:colOff>
      <xdr:row>17</xdr:row>
      <xdr:rowOff>190685</xdr:rowOff>
    </xdr:from>
    <xdr:ext cx="180382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7">
              <a:extLst>
                <a:ext uri="{FF2B5EF4-FFF2-40B4-BE49-F238E27FC236}">
                  <a16:creationId xmlns:a16="http://schemas.microsoft.com/office/drawing/2014/main" id="{9F55FD0F-DB82-41DE-A9A9-64609FBCD5BE}"/>
                </a:ext>
              </a:extLst>
            </xdr:cNvPr>
            <xdr:cNvSpPr txBox="1"/>
          </xdr:nvSpPr>
          <xdr:spPr>
            <a:xfrm>
              <a:off x="12067961" y="3617817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)(1−2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7">
              <a:extLst>
                <a:ext uri="{FF2B5EF4-FFF2-40B4-BE49-F238E27FC236}">
                  <a16:creationId xmlns:a16="http://schemas.microsoft.com/office/drawing/2014/main" id="{9F55FD0F-DB82-41DE-A9A9-64609FBCD5BE}"/>
                </a:ext>
              </a:extLst>
            </xdr:cNvPr>
            <xdr:cNvSpPr txBox="1"/>
          </xdr:nvSpPr>
          <xdr:spPr>
            <a:xfrm>
              <a:off x="12067961" y="3617817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𝐸=〖𝑉𝑝〗^2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∙(𝑝∙(1+𝑢)(1−2𝑢))/((1−𝑢))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2</xdr:col>
      <xdr:colOff>350347</xdr:colOff>
      <xdr:row>17</xdr:row>
      <xdr:rowOff>186121</xdr:rowOff>
    </xdr:from>
    <xdr:to>
      <xdr:col>6</xdr:col>
      <xdr:colOff>563124</xdr:colOff>
      <xdr:row>29</xdr:row>
      <xdr:rowOff>94187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E1927B-DD7C-42C4-8E8E-3520C3067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881" y="3426811"/>
          <a:ext cx="3339222" cy="2338584"/>
        </a:xfrm>
        <a:prstGeom prst="rect">
          <a:avLst/>
        </a:prstGeom>
      </xdr:spPr>
    </xdr:pic>
    <xdr:clientData/>
  </xdr:twoCellAnchor>
  <xdr:twoCellAnchor>
    <xdr:from>
      <xdr:col>18</xdr:col>
      <xdr:colOff>1050085</xdr:colOff>
      <xdr:row>17</xdr:row>
      <xdr:rowOff>138859</xdr:rowOff>
    </xdr:from>
    <xdr:to>
      <xdr:col>25</xdr:col>
      <xdr:colOff>285284</xdr:colOff>
      <xdr:row>31</xdr:row>
      <xdr:rowOff>71250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0B230-3446-FA24-C2C1-2029A33BF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803088</xdr:colOff>
      <xdr:row>17</xdr:row>
      <xdr:rowOff>98051</xdr:rowOff>
    </xdr:from>
    <xdr:to>
      <xdr:col>30</xdr:col>
      <xdr:colOff>281081</xdr:colOff>
      <xdr:row>31</xdr:row>
      <xdr:rowOff>30442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69ACE-F0F6-49DD-A2EF-D60D00F2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597759</xdr:colOff>
      <xdr:row>48</xdr:row>
      <xdr:rowOff>145313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3DF962-33EB-8314-2597-D3D570A87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0034" y="6386969"/>
          <a:ext cx="4495833" cy="3329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436115</xdr:colOff>
      <xdr:row>2</xdr:row>
      <xdr:rowOff>97892</xdr:rowOff>
    </xdr:from>
    <xdr:to>
      <xdr:col>22</xdr:col>
      <xdr:colOff>134206</xdr:colOff>
      <xdr:row>24</xdr:row>
      <xdr:rowOff>118517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B4A24-E754-4C86-BAC3-836267B92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B41B-D01D-4B26-8279-B2BAAF4E622E}">
  <dimension ref="B2:M26"/>
  <sheetViews>
    <sheetView zoomScale="77" workbookViewId="0">
      <selection activeCell="N16" sqref="N16"/>
    </sheetView>
  </sheetViews>
  <sheetFormatPr defaultColWidth="11" defaultRowHeight="15.75" x14ac:dyDescent="0.5"/>
  <cols>
    <col min="1" max="2" width="11.5" style="1" customWidth="1"/>
    <col min="3" max="3" width="13.0625" style="1" bestFit="1" customWidth="1"/>
    <col min="4" max="4" width="11.5" style="1" customWidth="1"/>
    <col min="5" max="5" width="17.125" style="1" bestFit="1" customWidth="1"/>
    <col min="6" max="6" width="17.125" style="1" customWidth="1"/>
    <col min="7" max="9" width="12.5" style="1" customWidth="1"/>
    <col min="10" max="10" width="13.5" style="1" customWidth="1"/>
    <col min="11" max="11" width="11.5" style="1" customWidth="1"/>
    <col min="12" max="12" width="16.125" style="73" bestFit="1" customWidth="1"/>
    <col min="13" max="13" width="11.5" style="73" customWidth="1"/>
    <col min="14" max="16384" width="11" style="1"/>
  </cols>
  <sheetData>
    <row r="2" spans="2:13" ht="16.149999999999999" thickBot="1" x14ac:dyDescent="0.55000000000000004"/>
    <row r="3" spans="2:13" ht="16.149999999999999" thickBot="1" x14ac:dyDescent="0.55000000000000004">
      <c r="B3" s="86" t="s">
        <v>0</v>
      </c>
      <c r="C3" s="87"/>
      <c r="D3" s="88"/>
      <c r="E3" s="86" t="s">
        <v>1</v>
      </c>
      <c r="F3" s="87"/>
      <c r="G3" s="87"/>
      <c r="H3" s="87"/>
      <c r="I3" s="87"/>
      <c r="J3" s="88"/>
      <c r="K3" s="86" t="s">
        <v>57</v>
      </c>
      <c r="L3" s="87"/>
      <c r="M3" s="88"/>
    </row>
    <row r="4" spans="2:13" s="2" customFormat="1" x14ac:dyDescent="0.5">
      <c r="E4" s="2" t="s">
        <v>2</v>
      </c>
      <c r="F4" s="2" t="s">
        <v>2</v>
      </c>
      <c r="G4" s="2" t="s">
        <v>3</v>
      </c>
      <c r="H4" s="2" t="s">
        <v>3</v>
      </c>
      <c r="I4" s="2" t="s">
        <v>4</v>
      </c>
      <c r="J4" s="2" t="s">
        <v>4</v>
      </c>
      <c r="K4" s="2" t="s">
        <v>13</v>
      </c>
      <c r="L4" s="73"/>
      <c r="M4" s="73"/>
    </row>
    <row r="5" spans="2:13" s="21" customFormat="1" ht="40.049999999999997" customHeight="1" x14ac:dyDescent="0.5">
      <c r="B5" s="22" t="s">
        <v>5</v>
      </c>
      <c r="C5" s="23" t="s">
        <v>54</v>
      </c>
      <c r="D5" s="22" t="s">
        <v>6</v>
      </c>
      <c r="E5" s="24" t="s">
        <v>35</v>
      </c>
      <c r="F5" s="24" t="s">
        <v>34</v>
      </c>
      <c r="G5" s="24" t="s">
        <v>7</v>
      </c>
      <c r="H5" s="24" t="s">
        <v>36</v>
      </c>
      <c r="I5" s="25" t="s">
        <v>8</v>
      </c>
      <c r="J5" s="26" t="s">
        <v>9</v>
      </c>
      <c r="K5" s="27" t="s">
        <v>10</v>
      </c>
      <c r="L5" s="22" t="s">
        <v>58</v>
      </c>
      <c r="M5" s="22" t="s">
        <v>17</v>
      </c>
    </row>
    <row r="6" spans="2:13" ht="40.049999999999997" customHeight="1" x14ac:dyDescent="0.5">
      <c r="B6" s="16">
        <v>1</v>
      </c>
      <c r="C6" s="4" t="s">
        <v>26</v>
      </c>
      <c r="D6" s="17">
        <v>45195</v>
      </c>
      <c r="E6" s="18">
        <v>0.1</v>
      </c>
      <c r="F6" s="18">
        <f>$E$23+E6</f>
        <v>0.24035087719298254</v>
      </c>
      <c r="G6" s="53">
        <v>1.4</v>
      </c>
      <c r="H6" s="5">
        <f>G6*(1+F6)</f>
        <v>1.7364912280701754</v>
      </c>
      <c r="I6" s="5">
        <f>MROUND(H6*$H$26,5)</f>
        <v>340</v>
      </c>
      <c r="J6" s="5">
        <f>ROUNDUP(E6*I6,1)</f>
        <v>34</v>
      </c>
      <c r="K6" s="4">
        <v>102.3</v>
      </c>
      <c r="L6" s="4">
        <v>308.83999999999997</v>
      </c>
      <c r="M6" s="4">
        <v>50.3</v>
      </c>
    </row>
    <row r="7" spans="2:13" ht="40.049999999999997" customHeight="1" x14ac:dyDescent="0.5">
      <c r="B7" s="16">
        <v>2</v>
      </c>
      <c r="C7" s="4" t="s">
        <v>27</v>
      </c>
      <c r="D7" s="17">
        <v>45195</v>
      </c>
      <c r="E7" s="18">
        <v>0.06</v>
      </c>
      <c r="F7" s="18">
        <f t="shared" ref="F7:F17" si="0">$E$23+E7</f>
        <v>0.20035087719298253</v>
      </c>
      <c r="G7" s="53">
        <v>1.35</v>
      </c>
      <c r="H7" s="5">
        <f>G7*(1+F7)</f>
        <v>1.6204736842105265</v>
      </c>
      <c r="I7" s="5">
        <f t="shared" ref="I7:I17" si="1">MROUND(H7*$H$26,5)</f>
        <v>320</v>
      </c>
      <c r="J7" s="5">
        <f t="shared" ref="J7:J17" si="2">ROUNDUP(E7*I7,1)</f>
        <v>19.2</v>
      </c>
      <c r="K7" s="4">
        <v>103.5</v>
      </c>
      <c r="L7" s="4">
        <v>317.92</v>
      </c>
      <c r="M7" s="4">
        <v>50.2</v>
      </c>
    </row>
    <row r="8" spans="2:13" ht="40.049999999999997" customHeight="1" x14ac:dyDescent="0.5">
      <c r="B8" s="16">
        <v>3</v>
      </c>
      <c r="C8" s="4" t="s">
        <v>28</v>
      </c>
      <c r="D8" s="19">
        <v>45215</v>
      </c>
      <c r="E8" s="18">
        <v>0.08</v>
      </c>
      <c r="F8" s="18">
        <f t="shared" si="0"/>
        <v>0.22035087719298252</v>
      </c>
      <c r="G8" s="53">
        <v>1.554</v>
      </c>
      <c r="H8" s="5">
        <f t="shared" ref="H8:H13" si="3">G8*(1+F8)</f>
        <v>1.8964252631578948</v>
      </c>
      <c r="I8" s="5">
        <f t="shared" si="1"/>
        <v>370</v>
      </c>
      <c r="J8" s="5">
        <f t="shared" si="2"/>
        <v>29.6</v>
      </c>
      <c r="K8" s="4">
        <v>103.8</v>
      </c>
      <c r="L8" s="4">
        <v>391.4</v>
      </c>
      <c r="M8" s="4">
        <v>50.4</v>
      </c>
    </row>
    <row r="9" spans="2:13" ht="40.049999999999997" customHeight="1" x14ac:dyDescent="0.5">
      <c r="B9" s="16">
        <v>4</v>
      </c>
      <c r="C9" s="4" t="s">
        <v>29</v>
      </c>
      <c r="D9" s="19">
        <v>45215</v>
      </c>
      <c r="E9" s="18">
        <v>9.5000000000000001E-2</v>
      </c>
      <c r="F9" s="18">
        <f t="shared" si="0"/>
        <v>0.23535087719298253</v>
      </c>
      <c r="G9" s="53">
        <v>1.585</v>
      </c>
      <c r="H9" s="5">
        <f t="shared" si="3"/>
        <v>1.9580311403508774</v>
      </c>
      <c r="I9" s="5">
        <f t="shared" si="1"/>
        <v>385</v>
      </c>
      <c r="J9" s="5">
        <f t="shared" si="2"/>
        <v>36.6</v>
      </c>
      <c r="K9" s="4">
        <v>105</v>
      </c>
      <c r="L9" s="4">
        <v>408.4</v>
      </c>
      <c r="M9" s="4">
        <v>50.4</v>
      </c>
    </row>
    <row r="10" spans="2:13" ht="40.049999999999997" customHeight="1" x14ac:dyDescent="0.5">
      <c r="B10" s="16">
        <v>5</v>
      </c>
      <c r="C10" s="4" t="s">
        <v>30</v>
      </c>
      <c r="D10" s="19">
        <v>45220</v>
      </c>
      <c r="E10" s="18">
        <v>0.10199999999999999</v>
      </c>
      <c r="F10" s="18">
        <f t="shared" si="0"/>
        <v>0.24235087719298254</v>
      </c>
      <c r="G10" s="53">
        <v>1.5580000000000001</v>
      </c>
      <c r="H10" s="5">
        <f t="shared" si="3"/>
        <v>1.9355826666666669</v>
      </c>
      <c r="I10" s="5">
        <f t="shared" si="1"/>
        <v>380</v>
      </c>
      <c r="J10" s="5">
        <f t="shared" si="2"/>
        <v>38.800000000000004</v>
      </c>
      <c r="K10" s="4">
        <v>104.9</v>
      </c>
      <c r="L10" s="4">
        <v>412.09</v>
      </c>
      <c r="M10" s="4">
        <v>50.4</v>
      </c>
    </row>
    <row r="11" spans="2:13" ht="40.049999999999997" customHeight="1" x14ac:dyDescent="0.5">
      <c r="B11" s="16">
        <v>6</v>
      </c>
      <c r="C11" s="4" t="s">
        <v>31</v>
      </c>
      <c r="D11" s="19">
        <v>45220</v>
      </c>
      <c r="E11" s="18">
        <v>0.108</v>
      </c>
      <c r="F11" s="18">
        <f>$E$23+E11</f>
        <v>0.24835087719298254</v>
      </c>
      <c r="G11" s="4">
        <v>1.52</v>
      </c>
      <c r="H11" s="5">
        <f t="shared" si="3"/>
        <v>1.8974933333333335</v>
      </c>
      <c r="I11" s="5">
        <f t="shared" si="1"/>
        <v>375</v>
      </c>
      <c r="J11" s="5">
        <f t="shared" si="2"/>
        <v>40.5</v>
      </c>
      <c r="K11" s="4">
        <v>103.7</v>
      </c>
      <c r="L11" s="4">
        <v>408.81</v>
      </c>
      <c r="M11" s="4">
        <v>50.5</v>
      </c>
    </row>
    <row r="12" spans="2:13" ht="40.049999999999997" customHeight="1" x14ac:dyDescent="0.5">
      <c r="B12" s="16">
        <v>7</v>
      </c>
      <c r="C12" s="4" t="s">
        <v>32</v>
      </c>
      <c r="D12" s="19">
        <v>45220</v>
      </c>
      <c r="E12" s="18">
        <v>0.04</v>
      </c>
      <c r="F12" s="18">
        <f>$E$23+E12</f>
        <v>0.18035087719298254</v>
      </c>
      <c r="G12" s="4">
        <v>1.6</v>
      </c>
      <c r="H12" s="5">
        <f t="shared" si="3"/>
        <v>1.8885614035087721</v>
      </c>
      <c r="I12" s="5">
        <f t="shared" si="1"/>
        <v>370</v>
      </c>
      <c r="J12" s="5">
        <f t="shared" si="2"/>
        <v>14.8</v>
      </c>
      <c r="K12" s="4">
        <v>102</v>
      </c>
      <c r="L12" s="4">
        <v>372.6</v>
      </c>
      <c r="M12" s="4">
        <v>50.4</v>
      </c>
    </row>
    <row r="13" spans="2:13" ht="40.049999999999997" customHeight="1" x14ac:dyDescent="0.5">
      <c r="B13" s="16">
        <v>8</v>
      </c>
      <c r="C13" s="4" t="s">
        <v>33</v>
      </c>
      <c r="D13" s="19">
        <v>45220</v>
      </c>
      <c r="E13" s="18">
        <v>5.5E-2</v>
      </c>
      <c r="F13" s="18">
        <f>$E$23+E13</f>
        <v>0.19535087719298252</v>
      </c>
      <c r="G13" s="4">
        <v>1.66</v>
      </c>
      <c r="H13" s="5">
        <f t="shared" si="3"/>
        <v>1.9842824561403509</v>
      </c>
      <c r="I13" s="5">
        <f t="shared" si="1"/>
        <v>390</v>
      </c>
      <c r="J13" s="5">
        <f t="shared" si="2"/>
        <v>21.5</v>
      </c>
      <c r="K13" s="4">
        <v>104.6</v>
      </c>
      <c r="L13" s="4">
        <v>402.8</v>
      </c>
      <c r="M13" s="4">
        <v>50.6</v>
      </c>
    </row>
    <row r="14" spans="2:13" ht="40.049999999999997" customHeight="1" x14ac:dyDescent="0.5">
      <c r="B14" s="16">
        <v>9</v>
      </c>
      <c r="C14" s="4" t="s">
        <v>70</v>
      </c>
      <c r="D14" s="19">
        <v>45220</v>
      </c>
      <c r="E14" s="18">
        <v>6.7000000000000004E-2</v>
      </c>
      <c r="F14" s="18">
        <f>$E$23+E14</f>
        <v>0.20735087719298254</v>
      </c>
      <c r="G14" s="4">
        <v>1.655</v>
      </c>
      <c r="H14" s="5">
        <f t="shared" ref="H14:H17" si="4">G14*(1+F14)</f>
        <v>1.9981657017543863</v>
      </c>
      <c r="I14" s="5">
        <f t="shared" si="1"/>
        <v>390</v>
      </c>
      <c r="J14" s="5">
        <f t="shared" si="2"/>
        <v>26.200000000000003</v>
      </c>
      <c r="K14" s="4"/>
      <c r="L14" s="4"/>
      <c r="M14" s="4"/>
    </row>
    <row r="15" spans="2:13" ht="40.049999999999997" customHeight="1" x14ac:dyDescent="0.5">
      <c r="B15" s="16">
        <v>10</v>
      </c>
      <c r="C15" s="4" t="s">
        <v>71</v>
      </c>
      <c r="D15" s="19">
        <v>45220</v>
      </c>
      <c r="E15" s="18">
        <v>0.08</v>
      </c>
      <c r="F15" s="18">
        <f t="shared" si="0"/>
        <v>0.22035087719298252</v>
      </c>
      <c r="G15" s="4">
        <v>1.62</v>
      </c>
      <c r="H15" s="5">
        <f t="shared" si="4"/>
        <v>1.9769684210526317</v>
      </c>
      <c r="I15" s="5">
        <f t="shared" si="1"/>
        <v>390</v>
      </c>
      <c r="J15" s="5">
        <f t="shared" si="2"/>
        <v>31.2</v>
      </c>
      <c r="K15" s="4"/>
      <c r="L15" s="4"/>
      <c r="M15" s="4"/>
    </row>
    <row r="16" spans="2:13" ht="40.049999999999997" customHeight="1" x14ac:dyDescent="0.5">
      <c r="B16" s="16">
        <v>11</v>
      </c>
      <c r="C16" s="4" t="s">
        <v>72</v>
      </c>
      <c r="D16" s="20"/>
      <c r="E16" s="18"/>
      <c r="F16" s="18">
        <f t="shared" si="0"/>
        <v>0.14035087719298253</v>
      </c>
      <c r="G16" s="4"/>
      <c r="H16" s="5">
        <f t="shared" si="4"/>
        <v>0</v>
      </c>
      <c r="I16" s="5">
        <f t="shared" si="1"/>
        <v>0</v>
      </c>
      <c r="J16" s="5">
        <f t="shared" si="2"/>
        <v>0</v>
      </c>
      <c r="K16" s="4"/>
      <c r="L16" s="4"/>
      <c r="M16" s="4"/>
    </row>
    <row r="17" spans="2:13" ht="40.049999999999997" customHeight="1" x14ac:dyDescent="0.5">
      <c r="B17" s="16">
        <v>12</v>
      </c>
      <c r="C17" s="4" t="s">
        <v>73</v>
      </c>
      <c r="D17" s="20"/>
      <c r="E17" s="18"/>
      <c r="F17" s="18">
        <f t="shared" si="0"/>
        <v>0.14035087719298253</v>
      </c>
      <c r="G17" s="4"/>
      <c r="H17" s="5">
        <f t="shared" si="4"/>
        <v>0</v>
      </c>
      <c r="I17" s="5">
        <f t="shared" si="1"/>
        <v>0</v>
      </c>
      <c r="J17" s="5">
        <f t="shared" si="2"/>
        <v>0</v>
      </c>
      <c r="K17" s="4"/>
      <c r="L17" s="4"/>
      <c r="M17" s="4"/>
    </row>
    <row r="20" spans="2:13" ht="16.149999999999999" thickBot="1" x14ac:dyDescent="0.55000000000000004"/>
    <row r="21" spans="2:13" ht="16.149999999999999" thickBot="1" x14ac:dyDescent="0.55000000000000004">
      <c r="B21" s="86" t="s">
        <v>56</v>
      </c>
      <c r="C21" s="87"/>
      <c r="D21" s="87"/>
      <c r="E21" s="88"/>
      <c r="G21" s="89" t="s">
        <v>11</v>
      </c>
      <c r="H21" s="87"/>
      <c r="I21" s="88"/>
      <c r="K21" s="86" t="s">
        <v>55</v>
      </c>
      <c r="L21" s="87"/>
      <c r="M21" s="88"/>
    </row>
    <row r="22" spans="2:13" ht="31.5" x14ac:dyDescent="0.5">
      <c r="B22" s="32" t="s">
        <v>21</v>
      </c>
      <c r="C22" s="33" t="s">
        <v>22</v>
      </c>
      <c r="D22" s="33" t="s">
        <v>23</v>
      </c>
      <c r="E22" s="34" t="s">
        <v>24</v>
      </c>
      <c r="G22" s="28" t="s">
        <v>12</v>
      </c>
      <c r="H22" s="35">
        <v>160</v>
      </c>
      <c r="I22" s="36" t="s">
        <v>13</v>
      </c>
      <c r="K22" s="31" t="s">
        <v>14</v>
      </c>
      <c r="L22" s="74">
        <v>2</v>
      </c>
      <c r="M22" s="75" t="s">
        <v>13</v>
      </c>
    </row>
    <row r="23" spans="2:13" ht="16.149999999999999" thickBot="1" x14ac:dyDescent="0.55000000000000004">
      <c r="B23" s="10">
        <v>17.52</v>
      </c>
      <c r="C23" s="6">
        <v>51.97</v>
      </c>
      <c r="D23" s="6">
        <v>47.73</v>
      </c>
      <c r="E23" s="15">
        <f t="shared" ref="E23" si="5">(C23-D23)/(D23-B23)</f>
        <v>0.14035087719298253</v>
      </c>
      <c r="G23" s="29" t="s">
        <v>15</v>
      </c>
      <c r="H23" s="39">
        <v>100</v>
      </c>
      <c r="I23" s="40" t="s">
        <v>13</v>
      </c>
      <c r="K23" s="30" t="s">
        <v>16</v>
      </c>
      <c r="L23" s="76">
        <v>2</v>
      </c>
      <c r="M23" s="77"/>
    </row>
    <row r="24" spans="2:13" x14ac:dyDescent="0.5">
      <c r="G24" s="29" t="s">
        <v>17</v>
      </c>
      <c r="H24" s="39">
        <v>50</v>
      </c>
      <c r="I24" s="40" t="s">
        <v>13</v>
      </c>
    </row>
    <row r="25" spans="2:13" x14ac:dyDescent="0.5">
      <c r="G25" s="29" t="s">
        <v>18</v>
      </c>
      <c r="H25" s="37">
        <f>((H24^2)*(PI()/4))*H23</f>
        <v>196349.54084936206</v>
      </c>
      <c r="I25" s="38" t="s">
        <v>19</v>
      </c>
    </row>
    <row r="26" spans="2:13" ht="16.149999999999999" thickBot="1" x14ac:dyDescent="0.55000000000000004">
      <c r="G26" s="30" t="s">
        <v>18</v>
      </c>
      <c r="H26" s="37">
        <f>H25/(10^3)</f>
        <v>196.34954084936206</v>
      </c>
      <c r="I26" s="38" t="s">
        <v>20</v>
      </c>
    </row>
  </sheetData>
  <mergeCells count="6">
    <mergeCell ref="B21:E21"/>
    <mergeCell ref="G21:I21"/>
    <mergeCell ref="K21:M21"/>
    <mergeCell ref="K3:M3"/>
    <mergeCell ref="B3:D3"/>
    <mergeCell ref="E3:J3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2AA3-11F5-450E-BC0A-EF547132C734}">
  <dimension ref="A1:N16"/>
  <sheetViews>
    <sheetView topLeftCell="B1" zoomScale="98" workbookViewId="0">
      <selection activeCell="L16" sqref="L16"/>
    </sheetView>
  </sheetViews>
  <sheetFormatPr defaultRowHeight="15.75" x14ac:dyDescent="0.5"/>
  <cols>
    <col min="1" max="2" width="9" style="1"/>
    <col min="3" max="4" width="10.6875" style="1" bestFit="1" customWidth="1"/>
    <col min="5" max="6" width="10.375" style="1" bestFit="1" customWidth="1"/>
    <col min="7" max="8" width="9" style="1"/>
    <col min="9" max="9" width="8.75" style="1" bestFit="1" customWidth="1"/>
    <col min="10" max="11" width="9" style="1"/>
    <col min="12" max="12" width="13.3125" style="1" customWidth="1"/>
    <col min="13" max="13" width="11.1875" style="1" customWidth="1"/>
    <col min="14" max="16384" width="9" style="1"/>
  </cols>
  <sheetData>
    <row r="1" spans="1:14" ht="16.149999999999999" thickBot="1" x14ac:dyDescent="0.55000000000000004"/>
    <row r="2" spans="1:14" ht="16.149999999999999" thickBot="1" x14ac:dyDescent="0.55000000000000004">
      <c r="B2" s="42" t="s">
        <v>54</v>
      </c>
      <c r="C2" s="86" t="s">
        <v>67</v>
      </c>
      <c r="D2" s="87"/>
      <c r="E2" s="87"/>
      <c r="F2" s="87"/>
      <c r="G2" s="87"/>
      <c r="H2" s="87"/>
      <c r="I2" s="87"/>
      <c r="J2" s="87"/>
      <c r="K2" s="87"/>
      <c r="L2" s="90" t="s">
        <v>69</v>
      </c>
      <c r="M2" s="90"/>
      <c r="N2" s="90"/>
    </row>
    <row r="3" spans="1:14" x14ac:dyDescent="0.5"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2</v>
      </c>
      <c r="J3" s="2" t="s">
        <v>2</v>
      </c>
      <c r="K3" s="2" t="s">
        <v>2</v>
      </c>
      <c r="L3" s="2" t="s">
        <v>38</v>
      </c>
      <c r="M3" s="2"/>
    </row>
    <row r="4" spans="1:14" ht="34.15" customHeight="1" x14ac:dyDescent="0.5">
      <c r="B4" s="43" t="s">
        <v>54</v>
      </c>
      <c r="C4" s="44" t="s">
        <v>65</v>
      </c>
      <c r="D4" s="44" t="s">
        <v>66</v>
      </c>
      <c r="E4" s="44" t="s">
        <v>61</v>
      </c>
      <c r="F4" s="44" t="s">
        <v>62</v>
      </c>
      <c r="G4" s="44" t="s">
        <v>63</v>
      </c>
      <c r="H4" s="44" t="s">
        <v>64</v>
      </c>
      <c r="I4" s="44" t="s">
        <v>59</v>
      </c>
      <c r="J4" s="44" t="s">
        <v>60</v>
      </c>
      <c r="K4" s="44" t="s">
        <v>25</v>
      </c>
      <c r="L4" s="44" t="s">
        <v>36</v>
      </c>
      <c r="M4" s="44" t="s">
        <v>37</v>
      </c>
      <c r="N4" s="45" t="s">
        <v>68</v>
      </c>
    </row>
    <row r="5" spans="1:14" ht="18.399999999999999" customHeight="1" x14ac:dyDescent="0.5">
      <c r="B5" s="8" t="str">
        <f>ObtenciónProbetas!C6</f>
        <v>Masa 1</v>
      </c>
      <c r="C5" s="3">
        <v>17.53</v>
      </c>
      <c r="D5" s="3">
        <v>16.829999999999998</v>
      </c>
      <c r="E5" s="3">
        <v>53.32</v>
      </c>
      <c r="F5" s="3">
        <v>47.59</v>
      </c>
      <c r="G5" s="3">
        <v>46.38</v>
      </c>
      <c r="H5" s="3">
        <v>41.58</v>
      </c>
      <c r="I5" s="7">
        <f>(E5-G5)/(G5-C5)</f>
        <v>0.24055459272097043</v>
      </c>
      <c r="J5" s="7">
        <f>(F5-H5)/(H5-D5)</f>
        <v>0.24282828282828303</v>
      </c>
      <c r="K5" s="9">
        <f>AVERAGE(I5,J5)</f>
        <v>0.24169143777462673</v>
      </c>
      <c r="L5" s="41">
        <f>ObtenciónProbetas!L6/(ObtenciónProbetas!K6/10*(PI()/4)*(ObtenciónProbetas!M6/10)^2)</f>
        <v>1.5192598424792538</v>
      </c>
      <c r="M5" s="41">
        <f>L5/(1+K5)</f>
        <v>1.2235405643145034</v>
      </c>
      <c r="N5" s="7">
        <f>IF(ObtenciónProbetas!K6&gt;0,ABS(-ObtenciónProbetas!G6+CurvaCompactaciónProbetas!M5)/CurvaCompactaciónProbetas!M5,0)</f>
        <v>0.14422033958829886</v>
      </c>
    </row>
    <row r="6" spans="1:14" ht="18.399999999999999" customHeight="1" x14ac:dyDescent="0.5">
      <c r="B6" s="8" t="str">
        <f>ObtenciónProbetas!C7</f>
        <v>Masa 2</v>
      </c>
      <c r="C6" s="3">
        <v>18.14</v>
      </c>
      <c r="D6" s="3">
        <v>18.57</v>
      </c>
      <c r="E6" s="3">
        <v>55.59</v>
      </c>
      <c r="F6" s="3">
        <v>53.6</v>
      </c>
      <c r="G6" s="3">
        <v>49.31</v>
      </c>
      <c r="H6" s="3">
        <v>47.73</v>
      </c>
      <c r="I6" s="7">
        <f>(E6-G6)/(G6-C6)</f>
        <v>0.20147577799165867</v>
      </c>
      <c r="J6" s="7">
        <f>(F6-H6)/(H6-D6)</f>
        <v>0.20130315500685889</v>
      </c>
      <c r="K6" s="9">
        <f>AVERAGE(I6,J6)</f>
        <v>0.20138946649925876</v>
      </c>
      <c r="L6" s="41">
        <f>ObtenciónProbetas!L7/(ObtenciónProbetas!K7/10*(PI()/4)*(ObtenciónProbetas!M7/10)^2)</f>
        <v>1.5519587874887764</v>
      </c>
      <c r="M6" s="41">
        <f>L6/(1+K6)</f>
        <v>1.2918032251531597</v>
      </c>
      <c r="N6" s="7">
        <f>IF(ObtenciónProbetas!K7&gt;0,ABS(-ObtenciónProbetas!G7+CurvaCompactaciónProbetas!M6)/CurvaCompactaciónProbetas!M6,0)</f>
        <v>4.5050804730682119E-2</v>
      </c>
    </row>
    <row r="7" spans="1:14" ht="18.399999999999999" customHeight="1" x14ac:dyDescent="0.5">
      <c r="A7" s="1" t="s">
        <v>97</v>
      </c>
      <c r="B7" s="8" t="str">
        <f>ObtenciónProbetas!C8</f>
        <v>Masa3</v>
      </c>
      <c r="C7" s="3">
        <v>18.54</v>
      </c>
      <c r="D7" s="3">
        <v>18.079999999999998</v>
      </c>
      <c r="E7" s="3">
        <v>40.83</v>
      </c>
      <c r="F7" s="3">
        <v>63.29</v>
      </c>
      <c r="G7" s="3">
        <v>36.82</v>
      </c>
      <c r="H7" s="3"/>
      <c r="I7" s="7">
        <f t="shared" ref="I7:I12" si="0">(E7-G7)/(G7-C7)</f>
        <v>0.21936542669584233</v>
      </c>
      <c r="J7" s="7"/>
      <c r="K7" s="9">
        <f>(1-N8)*ObtenciónProbetas!F8</f>
        <v>0.21935293703665454</v>
      </c>
      <c r="L7" s="41">
        <f>ObtenciónProbetas!L8/(ObtenciónProbetas!K8/10*(PI()/4)*(ObtenciónProbetas!M8/10)^2)</f>
        <v>1.8900466065696477</v>
      </c>
      <c r="M7" s="41">
        <f>L7/(1+K7)</f>
        <v>1.5500406397207307</v>
      </c>
      <c r="N7" s="7">
        <f>IF(ObtenciónProbetas!K8&gt;0,ABS(-ObtenciónProbetas!G8+CurvaCompactaciónProbetas!M7)/CurvaCompactaciónProbetas!M7,0)</f>
        <v>2.5543590134402584E-3</v>
      </c>
    </row>
    <row r="8" spans="1:14" ht="18.399999999999999" customHeight="1" x14ac:dyDescent="0.5">
      <c r="A8" s="1" t="s">
        <v>98</v>
      </c>
      <c r="B8" s="8" t="str">
        <f>ObtenciónProbetas!C9</f>
        <v>Masa4</v>
      </c>
      <c r="C8" s="3">
        <v>17.510000000000002</v>
      </c>
      <c r="D8" s="3">
        <v>19.010000000000002</v>
      </c>
      <c r="E8" s="3">
        <v>26.95</v>
      </c>
      <c r="F8" s="3">
        <v>64.510000000000005</v>
      </c>
      <c r="G8" s="3">
        <v>25.15</v>
      </c>
      <c r="H8" s="3"/>
      <c r="I8" s="7">
        <f t="shared" si="0"/>
        <v>0.23560209424083789</v>
      </c>
      <c r="J8" s="7"/>
      <c r="K8" s="9">
        <f>I8</f>
        <v>0.23560209424083789</v>
      </c>
      <c r="L8" s="41">
        <f>ObtenciónProbetas!L9/(ObtenciónProbetas!K9/10*(PI()/4)*(ObtenciónProbetas!M9/10)^2)</f>
        <v>1.9495998379923587</v>
      </c>
      <c r="M8" s="41">
        <f t="shared" ref="M8:M12" si="1">L8/(1+K8)</f>
        <v>1.5778541061717817</v>
      </c>
      <c r="N8" s="7">
        <f>IF(ObtenciónProbetas!K9&gt;0,ABS(-ObtenciónProbetas!G9+CurvaCompactaciónProbetas!M8)/CurvaCompactaciónProbetas!M8,0)</f>
        <v>4.5288685438451487E-3</v>
      </c>
    </row>
    <row r="9" spans="1:14" ht="18.399999999999999" customHeight="1" x14ac:dyDescent="0.5">
      <c r="B9" s="8" t="str">
        <f>ObtenciónProbetas!C10</f>
        <v>Masa5</v>
      </c>
      <c r="C9" s="3">
        <v>17.989999999999998</v>
      </c>
      <c r="D9" s="3"/>
      <c r="E9" s="3">
        <v>53.42</v>
      </c>
      <c r="F9" s="3"/>
      <c r="G9" s="3">
        <v>46.27</v>
      </c>
      <c r="H9" s="3"/>
      <c r="I9" s="7">
        <f t="shared" si="0"/>
        <v>0.25282885431400276</v>
      </c>
      <c r="J9" s="7"/>
      <c r="K9" s="9">
        <f t="shared" ref="K9:K12" si="2">I9</f>
        <v>0.25282885431400276</v>
      </c>
      <c r="L9" s="41">
        <f>ObtenciónProbetas!L10/(ObtenciónProbetas!K10/10*(PI()/4)*(ObtenciónProbetas!M10/10)^2)</f>
        <v>1.9690903026439637</v>
      </c>
      <c r="M9" s="41">
        <f>L9/(1+K9)</f>
        <v>1.5717153191863193</v>
      </c>
      <c r="N9" s="7">
        <f>IF(ObtenciónProbetas!K10&gt;0,ABS(-ObtenciónProbetas!G10+CurvaCompactaciónProbetas!M9)/CurvaCompactaciónProbetas!M9,0)</f>
        <v>8.7263380453781857E-3</v>
      </c>
    </row>
    <row r="10" spans="1:14" ht="18.399999999999999" customHeight="1" x14ac:dyDescent="0.5">
      <c r="B10" s="8" t="str">
        <f>ObtenciónProbetas!C11</f>
        <v>Masa6</v>
      </c>
      <c r="C10" s="3">
        <v>18.13</v>
      </c>
      <c r="D10" s="3"/>
      <c r="E10" s="3">
        <v>51.15</v>
      </c>
      <c r="F10" s="3"/>
      <c r="G10" s="3">
        <v>44.4</v>
      </c>
      <c r="H10" s="3"/>
      <c r="I10" s="7">
        <f t="shared" si="0"/>
        <v>0.25694708793300342</v>
      </c>
      <c r="J10" s="7"/>
      <c r="K10" s="9">
        <f t="shared" si="2"/>
        <v>0.25694708793300342</v>
      </c>
      <c r="L10" s="41">
        <f>ObtenciónProbetas!L11/(ObtenciónProbetas!K11/10*(PI()/4)*(ObtenciónProbetas!M11/10)^2)</f>
        <v>1.9682040296999714</v>
      </c>
      <c r="M10" s="41">
        <f t="shared" si="1"/>
        <v>1.5658606862573667</v>
      </c>
      <c r="N10" s="7">
        <f>IF(ObtenciónProbetas!K11&gt;0,ABS(-ObtenciónProbetas!G11+CurvaCompactaciónProbetas!M10)/CurvaCompactaciónProbetas!M10,0)</f>
        <v>2.9287845757837109E-2</v>
      </c>
    </row>
    <row r="11" spans="1:14" ht="18.399999999999999" customHeight="1" x14ac:dyDescent="0.5">
      <c r="B11" s="8" t="str">
        <f>ObtenciónProbetas!C12</f>
        <v>Masa7</v>
      </c>
      <c r="C11" s="3">
        <v>16.88</v>
      </c>
      <c r="D11" s="3"/>
      <c r="E11" s="3">
        <v>55.34</v>
      </c>
      <c r="F11" s="3"/>
      <c r="G11" s="3">
        <v>49.48</v>
      </c>
      <c r="H11" s="3"/>
      <c r="I11" s="7">
        <f t="shared" si="0"/>
        <v>0.1797546012269941</v>
      </c>
      <c r="J11" s="7"/>
      <c r="K11" s="9">
        <f t="shared" si="2"/>
        <v>0.1797546012269941</v>
      </c>
      <c r="L11" s="41">
        <f>ObtenciónProbetas!L12/(ObtenciónProbetas!K12/10*(PI()/4)*(ObtenciónProbetas!M12/10)^2)</f>
        <v>1.8310142512572996</v>
      </c>
      <c r="M11" s="41">
        <f t="shared" si="1"/>
        <v>1.5520297605561089</v>
      </c>
      <c r="N11" s="7">
        <f>IF(ObtenciónProbetas!K12&gt;0,ABS(-ObtenciónProbetas!G12+CurvaCompactaciónProbetas!M11)/CurvaCompactaciónProbetas!M11,0)</f>
        <v>3.0908066754276011E-2</v>
      </c>
    </row>
    <row r="12" spans="1:14" ht="18.399999999999999" customHeight="1" x14ac:dyDescent="0.5">
      <c r="B12" s="8" t="str">
        <f>ObtenciónProbetas!C13</f>
        <v>Masa8</v>
      </c>
      <c r="C12" s="3">
        <v>17.45</v>
      </c>
      <c r="D12" s="3"/>
      <c r="E12" s="3">
        <v>41.8</v>
      </c>
      <c r="F12" s="3"/>
      <c r="G12" s="3">
        <v>37.840000000000003</v>
      </c>
      <c r="H12" s="3"/>
      <c r="I12" s="7">
        <f t="shared" si="0"/>
        <v>0.1942128494359977</v>
      </c>
      <c r="J12" s="7"/>
      <c r="K12" s="9">
        <f t="shared" si="2"/>
        <v>0.1942128494359977</v>
      </c>
      <c r="L12" s="41">
        <f>ObtenciónProbetas!L13/(ObtenciónProbetas!K13/10*(PI()/4)*(ObtenciónProbetas!M13/10)^2)</f>
        <v>1.9149915515111879</v>
      </c>
      <c r="M12" s="41">
        <f t="shared" si="1"/>
        <v>1.6035596605878082</v>
      </c>
      <c r="N12" s="7">
        <f>IF(ObtenciónProbetas!K13&gt;0,ABS(-ObtenciónProbetas!G13+CurvaCompactaciónProbetas!M12)/CurvaCompactaciónProbetas!M12,0)</f>
        <v>3.5196906482109123E-2</v>
      </c>
    </row>
    <row r="13" spans="1:14" ht="18.399999999999999" customHeight="1" x14ac:dyDescent="0.5">
      <c r="B13" s="8" t="str">
        <f>ObtenciónProbetas!C14</f>
        <v>Masa9</v>
      </c>
      <c r="C13" s="3"/>
      <c r="D13" s="3"/>
      <c r="E13" s="3"/>
      <c r="F13" s="3"/>
      <c r="G13" s="3"/>
      <c r="H13" s="3"/>
      <c r="I13" s="7"/>
      <c r="J13" s="7"/>
      <c r="K13" s="9"/>
      <c r="L13" s="41"/>
      <c r="M13" s="41"/>
      <c r="N13" s="7"/>
    </row>
    <row r="14" spans="1:14" ht="18.399999999999999" customHeight="1" x14ac:dyDescent="0.5">
      <c r="B14" s="8" t="str">
        <f>ObtenciónProbetas!C15</f>
        <v>Masa10</v>
      </c>
      <c r="C14" s="3"/>
      <c r="D14" s="3"/>
      <c r="E14" s="3"/>
      <c r="F14" s="3"/>
      <c r="G14" s="3"/>
      <c r="H14" s="3"/>
      <c r="I14" s="7"/>
      <c r="J14" s="7"/>
      <c r="K14" s="9"/>
      <c r="L14" s="41"/>
      <c r="M14" s="41"/>
      <c r="N14" s="7"/>
    </row>
    <row r="15" spans="1:14" ht="18.399999999999999" customHeight="1" x14ac:dyDescent="0.5">
      <c r="B15" s="8" t="str">
        <f>ObtenciónProbetas!C16</f>
        <v>Masa11</v>
      </c>
      <c r="C15" s="3"/>
      <c r="D15" s="3"/>
      <c r="E15" s="3"/>
      <c r="F15" s="3"/>
      <c r="G15" s="3"/>
      <c r="H15" s="3"/>
      <c r="I15" s="7"/>
      <c r="J15" s="7"/>
      <c r="K15" s="9"/>
      <c r="L15" s="41"/>
      <c r="M15" s="41"/>
      <c r="N15" s="7"/>
    </row>
    <row r="16" spans="1:14" ht="18.399999999999999" customHeight="1" x14ac:dyDescent="0.5">
      <c r="B16" s="8" t="str">
        <f>ObtenciónProbetas!C17</f>
        <v>Masa12</v>
      </c>
      <c r="C16" s="3"/>
      <c r="D16" s="3"/>
      <c r="E16" s="3"/>
      <c r="F16" s="3"/>
      <c r="G16" s="3"/>
      <c r="H16" s="3"/>
      <c r="I16" s="7"/>
      <c r="J16" s="7"/>
      <c r="K16" s="9"/>
      <c r="L16" s="41"/>
      <c r="M16" s="41"/>
      <c r="N16" s="7"/>
    </row>
  </sheetData>
  <mergeCells count="2">
    <mergeCell ref="C2:K2"/>
    <mergeCell ref="L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8340-9291-4088-AB40-C36370AC0EB7}">
  <dimension ref="B2:AA32"/>
  <sheetViews>
    <sheetView topLeftCell="M3" zoomScale="102" workbookViewId="0">
      <selection activeCell="T8" sqref="T8"/>
    </sheetView>
  </sheetViews>
  <sheetFormatPr defaultRowHeight="15.75" x14ac:dyDescent="0.5"/>
  <cols>
    <col min="1" max="2" width="9" style="1"/>
    <col min="3" max="3" width="10.25" style="1" bestFit="1" customWidth="1"/>
    <col min="4" max="9" width="10.25" style="1" customWidth="1"/>
    <col min="10" max="11" width="9" style="1"/>
    <col min="12" max="12" width="11.3125" style="1" bestFit="1" customWidth="1"/>
    <col min="13" max="13" width="9.875" style="1" bestFit="1" customWidth="1"/>
    <col min="14" max="14" width="9.0625" style="1" bestFit="1" customWidth="1"/>
    <col min="15" max="15" width="9.125" style="1" bestFit="1" customWidth="1"/>
    <col min="16" max="16" width="10.3125" style="1" bestFit="1" customWidth="1"/>
    <col min="17" max="17" width="10.9375" style="1" bestFit="1" customWidth="1"/>
    <col min="18" max="18" width="9.3125" style="1" bestFit="1" customWidth="1"/>
    <col min="19" max="19" width="15.375" style="1" bestFit="1" customWidth="1"/>
    <col min="20" max="20" width="9.3125" style="1" bestFit="1" customWidth="1"/>
    <col min="21" max="25" width="9.0625" style="1" bestFit="1" customWidth="1"/>
    <col min="26" max="26" width="22.375" style="1" customWidth="1"/>
    <col min="27" max="27" width="17.4375" style="1" bestFit="1" customWidth="1"/>
    <col min="28" max="16384" width="9" style="1"/>
  </cols>
  <sheetData>
    <row r="2" spans="2:27" ht="16.149999999999999" thickBot="1" x14ac:dyDescent="0.55000000000000004"/>
    <row r="3" spans="2:27" ht="16.149999999999999" thickBot="1" x14ac:dyDescent="0.55000000000000004">
      <c r="B3" s="86" t="s">
        <v>81</v>
      </c>
      <c r="C3" s="88"/>
      <c r="D3" s="86" t="s">
        <v>83</v>
      </c>
      <c r="E3" s="87"/>
      <c r="F3" s="87"/>
      <c r="G3" s="87"/>
      <c r="H3" s="87"/>
      <c r="I3" s="88"/>
      <c r="J3" s="86" t="s">
        <v>82</v>
      </c>
      <c r="K3" s="87"/>
      <c r="L3" s="87"/>
      <c r="M3" s="87"/>
      <c r="N3" s="87"/>
      <c r="O3" s="87"/>
      <c r="P3" s="87"/>
      <c r="Q3" s="87"/>
      <c r="R3" s="87"/>
      <c r="S3" s="87"/>
      <c r="T3" s="88"/>
      <c r="U3" s="86" t="s">
        <v>84</v>
      </c>
      <c r="V3" s="87"/>
      <c r="W3" s="87"/>
      <c r="X3" s="87"/>
      <c r="Y3" s="88"/>
      <c r="Z3" s="42" t="s">
        <v>87</v>
      </c>
    </row>
    <row r="4" spans="2:27" ht="16.149999999999999" thickBot="1" x14ac:dyDescent="0.55000000000000004">
      <c r="B4" s="50" t="s">
        <v>39</v>
      </c>
      <c r="C4" s="50" t="s">
        <v>54</v>
      </c>
      <c r="D4" s="50" t="s">
        <v>76</v>
      </c>
      <c r="E4" s="50" t="s">
        <v>90</v>
      </c>
      <c r="F4" s="50" t="s">
        <v>89</v>
      </c>
      <c r="G4" s="50" t="s">
        <v>88</v>
      </c>
      <c r="H4" s="50" t="s">
        <v>75</v>
      </c>
      <c r="I4" s="51" t="s">
        <v>44</v>
      </c>
      <c r="J4" s="50" t="s">
        <v>40</v>
      </c>
      <c r="K4" s="50" t="s">
        <v>41</v>
      </c>
      <c r="L4" s="50" t="s">
        <v>42</v>
      </c>
      <c r="M4" s="50" t="s">
        <v>43</v>
      </c>
      <c r="N4" s="50" t="s">
        <v>14</v>
      </c>
      <c r="O4" s="51" t="s">
        <v>45</v>
      </c>
      <c r="P4" s="51" t="s">
        <v>46</v>
      </c>
      <c r="Q4" s="51" t="s">
        <v>45</v>
      </c>
      <c r="R4" s="51" t="s">
        <v>46</v>
      </c>
      <c r="S4" s="49" t="s">
        <v>77</v>
      </c>
      <c r="T4" s="50" t="s">
        <v>77</v>
      </c>
      <c r="U4" s="50" t="s">
        <v>78</v>
      </c>
      <c r="V4" s="50" t="s">
        <v>79</v>
      </c>
      <c r="W4" s="50" t="s">
        <v>80</v>
      </c>
      <c r="X4" s="50" t="s">
        <v>85</v>
      </c>
      <c r="Y4" s="50" t="s">
        <v>47</v>
      </c>
      <c r="Z4" s="52" t="s">
        <v>87</v>
      </c>
      <c r="AA4" s="52" t="s">
        <v>37</v>
      </c>
    </row>
    <row r="5" spans="2:27" x14ac:dyDescent="0.5">
      <c r="B5" s="11"/>
      <c r="C5" s="12"/>
      <c r="D5" s="12"/>
      <c r="E5" s="12"/>
      <c r="F5" s="12"/>
      <c r="G5" s="12"/>
      <c r="H5" s="12"/>
      <c r="I5" s="14"/>
      <c r="J5" s="12"/>
      <c r="K5" s="12"/>
      <c r="L5" s="12"/>
      <c r="M5" s="12" t="s">
        <v>48</v>
      </c>
      <c r="N5" s="12" t="s">
        <v>49</v>
      </c>
      <c r="O5" s="13" t="s">
        <v>38</v>
      </c>
      <c r="P5" s="13" t="s">
        <v>50</v>
      </c>
      <c r="Q5" s="13" t="s">
        <v>51</v>
      </c>
      <c r="R5" s="13" t="s">
        <v>52</v>
      </c>
      <c r="S5" s="13" t="s">
        <v>53</v>
      </c>
      <c r="T5" s="46" t="s">
        <v>74</v>
      </c>
      <c r="U5" s="12"/>
      <c r="V5" s="12"/>
      <c r="W5" s="12"/>
      <c r="X5" s="12"/>
      <c r="Y5" s="12" t="s">
        <v>86</v>
      </c>
    </row>
    <row r="6" spans="2:27" x14ac:dyDescent="0.5">
      <c r="B6" s="4">
        <f>ObtenciónProbetas!B6</f>
        <v>1</v>
      </c>
      <c r="C6" s="4" t="str">
        <f>ObtenciónProbetas!C6</f>
        <v>Masa 1</v>
      </c>
      <c r="D6" s="4">
        <v>2.68</v>
      </c>
      <c r="E6" s="4"/>
      <c r="F6" s="4"/>
      <c r="G6" s="4"/>
      <c r="H6" s="4"/>
      <c r="I6" s="4">
        <v>0.48</v>
      </c>
      <c r="J6" s="4">
        <f>K25*1000000</f>
        <v>183.39999999999995</v>
      </c>
      <c r="K6" s="4">
        <f>N25*1000000</f>
        <v>159.00000000000003</v>
      </c>
      <c r="L6" s="4">
        <f>Q25*1000000</f>
        <v>204.79999999999998</v>
      </c>
      <c r="M6" s="4">
        <f>AVERAGE(J6:L6)</f>
        <v>182.39999999999998</v>
      </c>
      <c r="N6" s="4">
        <f>ObtenciónProbetas!K6/10</f>
        <v>10.23</v>
      </c>
      <c r="O6" s="47">
        <f>CurvaCompactaciónProbetas!L5</f>
        <v>1.5192598424792538</v>
      </c>
      <c r="P6" s="47">
        <f>IF(M6&gt;0,N6/M6,0)</f>
        <v>5.6085526315789481E-2</v>
      </c>
      <c r="Q6" s="47">
        <f>O6*1000</f>
        <v>1519.2598424792538</v>
      </c>
      <c r="R6" s="47">
        <f>P6*10000</f>
        <v>560.8552631578948</v>
      </c>
      <c r="S6" s="48">
        <f>(R6^2)*((Q6*(1+I6)*(1-2*(I6)))/(1-I6))</f>
        <v>54406654.429662704</v>
      </c>
      <c r="T6" s="79">
        <f>S6/1000000</f>
        <v>54.406654429662701</v>
      </c>
      <c r="U6" s="4">
        <v>1.6900000000000001E-3</v>
      </c>
      <c r="V6" s="4">
        <v>1.6900000000000001E-3</v>
      </c>
      <c r="W6" s="4">
        <v>1.6900000000000001E-3</v>
      </c>
      <c r="X6" s="83">
        <f>AVERAGE(U6:W6)</f>
        <v>1.6899999999999999E-3</v>
      </c>
      <c r="Y6" s="80">
        <v>50.93</v>
      </c>
      <c r="Z6" s="70">
        <f>(ABS(T6-Y6)/T6)</f>
        <v>6.3901272116581712E-2</v>
      </c>
      <c r="AA6" s="3">
        <v>1.2235405643145034</v>
      </c>
    </row>
    <row r="7" spans="2:27" x14ac:dyDescent="0.5">
      <c r="B7" s="4">
        <f>ObtenciónProbetas!B7</f>
        <v>2</v>
      </c>
      <c r="C7" s="4" t="str">
        <f>ObtenciónProbetas!C7</f>
        <v>Masa 2</v>
      </c>
      <c r="D7" s="4">
        <v>2.68</v>
      </c>
      <c r="E7" s="4"/>
      <c r="F7" s="4"/>
      <c r="G7" s="4"/>
      <c r="H7" s="4"/>
      <c r="I7" s="4">
        <v>0.48</v>
      </c>
      <c r="J7" s="4">
        <f>K26*1000000</f>
        <v>130.16</v>
      </c>
      <c r="K7" s="4">
        <f t="shared" ref="K7:K13" si="0">N26*1000000</f>
        <v>209.51999999999998</v>
      </c>
      <c r="L7" s="4">
        <f t="shared" ref="L7:L14" si="1">Q26*1000000</f>
        <v>149</v>
      </c>
      <c r="M7" s="4">
        <f t="shared" ref="M7:M13" si="2">AVERAGE(J7:L7)</f>
        <v>162.89333333333332</v>
      </c>
      <c r="N7" s="4">
        <f>ObtenciónProbetas!K7/10</f>
        <v>10.35</v>
      </c>
      <c r="O7" s="47">
        <f>CurvaCompactaciónProbetas!L6</f>
        <v>1.5519587874887764</v>
      </c>
      <c r="P7" s="47">
        <f t="shared" ref="P7:P13" si="3">IF(M7&gt;0,N7/M7,0)</f>
        <v>6.3538511909634124E-2</v>
      </c>
      <c r="Q7" s="47">
        <f t="shared" ref="Q7:Q13" si="4">O7*1000</f>
        <v>1551.9587874887764</v>
      </c>
      <c r="R7" s="47">
        <f t="shared" ref="R7:R13" si="5">P7*10000</f>
        <v>635.38511909634121</v>
      </c>
      <c r="S7" s="48">
        <f t="shared" ref="S7:S13" si="6">(R7^2)*((Q7*(1+I7)*(1-2*(I7)))/(1-I7))</f>
        <v>71330066.02574417</v>
      </c>
      <c r="T7" s="79">
        <f t="shared" ref="T7:T16" si="7">S7/1000000</f>
        <v>71.330066025744173</v>
      </c>
      <c r="U7" s="4">
        <v>1.5900000000000001E-3</v>
      </c>
      <c r="V7" s="4">
        <v>1.5900000000000001E-3</v>
      </c>
      <c r="W7" s="4">
        <v>1.6000000000000001E-3</v>
      </c>
      <c r="X7" s="83">
        <f>AVERAGE(U7:W7)</f>
        <v>1.5933333333333335E-3</v>
      </c>
      <c r="Y7" s="80">
        <v>74.66</v>
      </c>
      <c r="Z7" s="70">
        <f t="shared" ref="Z7:Z13" si="8">(ABS(T7-Y7)/T7)</f>
        <v>4.668345565604827E-2</v>
      </c>
      <c r="AA7" s="3">
        <v>1.2918032251531597</v>
      </c>
    </row>
    <row r="8" spans="2:27" x14ac:dyDescent="0.5">
      <c r="B8" s="4">
        <f>ObtenciónProbetas!B8</f>
        <v>3</v>
      </c>
      <c r="C8" s="4" t="str">
        <f>ObtenciónProbetas!C8</f>
        <v>Masa3</v>
      </c>
      <c r="D8" s="4">
        <v>2.68</v>
      </c>
      <c r="E8" s="4"/>
      <c r="F8" s="4"/>
      <c r="G8" s="4"/>
      <c r="H8" s="4"/>
      <c r="I8" s="4">
        <v>0.48</v>
      </c>
      <c r="J8" s="4">
        <f t="shared" ref="J8:J13" si="9">K27*1000000</f>
        <v>85.999999999999929</v>
      </c>
      <c r="K8" s="4">
        <f t="shared" si="0"/>
        <v>91.45</v>
      </c>
      <c r="L8" s="4">
        <f t="shared" si="1"/>
        <v>105.60000000000001</v>
      </c>
      <c r="M8" s="4">
        <f t="shared" si="2"/>
        <v>94.34999999999998</v>
      </c>
      <c r="N8" s="4">
        <f>ObtenciónProbetas!K8/10</f>
        <v>10.379999999999999</v>
      </c>
      <c r="O8" s="47">
        <f>CurvaCompactaciónProbetas!L7</f>
        <v>1.8900466065696477</v>
      </c>
      <c r="P8" s="47">
        <f t="shared" si="3"/>
        <v>0.11001589825119239</v>
      </c>
      <c r="Q8" s="47">
        <f t="shared" si="4"/>
        <v>1890.0466065696478</v>
      </c>
      <c r="R8" s="47">
        <f t="shared" si="5"/>
        <v>1100.1589825119238</v>
      </c>
      <c r="S8" s="48">
        <f t="shared" si="6"/>
        <v>260436454.67800462</v>
      </c>
      <c r="T8" s="79">
        <f t="shared" si="7"/>
        <v>260.43645467800462</v>
      </c>
      <c r="U8" s="4">
        <v>1.2099999999999999E-3</v>
      </c>
      <c r="V8" s="4">
        <v>1.1900000000000001E-3</v>
      </c>
      <c r="W8" s="4">
        <v>1.25E-3</v>
      </c>
      <c r="X8" s="83">
        <f>AVERAGE(U8:W8)</f>
        <v>1.2166666666666669E-3</v>
      </c>
      <c r="Y8" s="80">
        <v>286.91000000000003</v>
      </c>
      <c r="Z8" s="70">
        <f t="shared" si="8"/>
        <v>0.1016506900108376</v>
      </c>
      <c r="AA8" s="3">
        <v>1.5500406397207307</v>
      </c>
    </row>
    <row r="9" spans="2:27" x14ac:dyDescent="0.5">
      <c r="B9" s="4">
        <f>ObtenciónProbetas!B9</f>
        <v>4</v>
      </c>
      <c r="C9" s="4" t="str">
        <f>ObtenciónProbetas!C9</f>
        <v>Masa4</v>
      </c>
      <c r="D9" s="4">
        <v>2.68</v>
      </c>
      <c r="E9" s="4"/>
      <c r="F9" s="4"/>
      <c r="G9" s="4"/>
      <c r="H9" s="4"/>
      <c r="I9" s="4">
        <v>0.48</v>
      </c>
      <c r="J9" s="4">
        <f t="shared" si="9"/>
        <v>87.000000000000014</v>
      </c>
      <c r="K9" s="4">
        <f t="shared" si="0"/>
        <v>82.6</v>
      </c>
      <c r="L9" s="4">
        <f t="shared" si="1"/>
        <v>71.600000000000009</v>
      </c>
      <c r="M9" s="4">
        <f t="shared" si="2"/>
        <v>80.40000000000002</v>
      </c>
      <c r="N9" s="4">
        <f>ObtenciónProbetas!K9/10</f>
        <v>10.5</v>
      </c>
      <c r="O9" s="47">
        <f>CurvaCompactaciónProbetas!L8</f>
        <v>1.9495998379923587</v>
      </c>
      <c r="P9" s="47">
        <f t="shared" si="3"/>
        <v>0.13059701492537309</v>
      </c>
      <c r="Q9" s="47">
        <f t="shared" si="4"/>
        <v>1949.5998379923587</v>
      </c>
      <c r="R9" s="47">
        <f t="shared" si="5"/>
        <v>1305.9701492537311</v>
      </c>
      <c r="S9" s="48">
        <f t="shared" si="6"/>
        <v>378556182.87867653</v>
      </c>
      <c r="T9" s="79">
        <f t="shared" si="7"/>
        <v>378.55618287867651</v>
      </c>
      <c r="U9" s="4">
        <v>1.17E-3</v>
      </c>
      <c r="V9" s="4">
        <v>1.16E-3</v>
      </c>
      <c r="W9" s="4">
        <v>1.1900000000000001E-3</v>
      </c>
      <c r="X9" s="83">
        <f>AVERAGE(U9:W9)</f>
        <v>1.1733333333333333E-3</v>
      </c>
      <c r="Y9" s="80">
        <v>347.21</v>
      </c>
      <c r="Z9" s="70">
        <f t="shared" si="8"/>
        <v>8.280457246876527E-2</v>
      </c>
      <c r="AA9" s="3">
        <v>1.5778541061717817</v>
      </c>
    </row>
    <row r="10" spans="2:27" x14ac:dyDescent="0.5">
      <c r="B10" s="4">
        <f>ObtenciónProbetas!B10</f>
        <v>5</v>
      </c>
      <c r="C10" s="4" t="str">
        <f>ObtenciónProbetas!C10</f>
        <v>Masa5</v>
      </c>
      <c r="D10" s="4">
        <v>2.68</v>
      </c>
      <c r="E10" s="4"/>
      <c r="F10" s="4"/>
      <c r="G10" s="4"/>
      <c r="H10" s="4"/>
      <c r="I10" s="4">
        <v>0.48</v>
      </c>
      <c r="J10" s="4">
        <f t="shared" si="9"/>
        <v>77.91</v>
      </c>
      <c r="K10" s="4">
        <f t="shared" si="0"/>
        <v>75.7</v>
      </c>
      <c r="L10" s="4">
        <f t="shared" si="1"/>
        <v>109.61</v>
      </c>
      <c r="M10" s="4">
        <f t="shared" si="2"/>
        <v>87.740000000000009</v>
      </c>
      <c r="N10" s="4">
        <f>ObtenciónProbetas!K10/10</f>
        <v>10.49</v>
      </c>
      <c r="O10" s="47">
        <f>CurvaCompactaciónProbetas!L9</f>
        <v>1.9690903026439637</v>
      </c>
      <c r="P10" s="47">
        <f t="shared" si="3"/>
        <v>0.11955778436289034</v>
      </c>
      <c r="Q10" s="47">
        <f t="shared" si="4"/>
        <v>1969.0903026439637</v>
      </c>
      <c r="R10" s="47">
        <f t="shared" si="5"/>
        <v>1195.5778436289033</v>
      </c>
      <c r="S10" s="48">
        <f t="shared" si="6"/>
        <v>320434827.52146995</v>
      </c>
      <c r="T10" s="79">
        <f t="shared" si="7"/>
        <v>320.43482752146997</v>
      </c>
      <c r="U10" s="4">
        <v>1.1900000000000001E-3</v>
      </c>
      <c r="V10" s="4">
        <v>1.1800000000000001E-3</v>
      </c>
      <c r="W10" s="4">
        <v>1.16E-3</v>
      </c>
      <c r="X10" s="83">
        <f t="shared" ref="X10:X13" si="10">AVERAGE(U10:W10)</f>
        <v>1.1766666666666668E-3</v>
      </c>
      <c r="Y10" s="80">
        <v>342.03</v>
      </c>
      <c r="Z10" s="70">
        <f t="shared" si="8"/>
        <v>6.7393337501938891E-2</v>
      </c>
      <c r="AA10" s="3">
        <v>1.5717153191863193</v>
      </c>
    </row>
    <row r="11" spans="2:27" x14ac:dyDescent="0.5">
      <c r="B11" s="4">
        <f>ObtenciónProbetas!B11</f>
        <v>6</v>
      </c>
      <c r="C11" s="4" t="str">
        <f>ObtenciónProbetas!C11</f>
        <v>Masa6</v>
      </c>
      <c r="D11" s="4">
        <v>2.68</v>
      </c>
      <c r="E11" s="4"/>
      <c r="F11" s="4"/>
      <c r="G11" s="4"/>
      <c r="H11" s="4"/>
      <c r="I11" s="4">
        <v>0.48</v>
      </c>
      <c r="J11" s="4">
        <f t="shared" si="9"/>
        <v>72.069999999999993</v>
      </c>
      <c r="K11" s="4">
        <f t="shared" si="0"/>
        <v>83.8</v>
      </c>
      <c r="L11" s="4">
        <f t="shared" si="1"/>
        <v>92.8</v>
      </c>
      <c r="M11" s="4">
        <f t="shared" si="2"/>
        <v>82.89</v>
      </c>
      <c r="N11" s="4">
        <f>ObtenciónProbetas!K11/10</f>
        <v>10.370000000000001</v>
      </c>
      <c r="O11" s="47">
        <f>CurvaCompactaciónProbetas!L10</f>
        <v>1.9682040296999714</v>
      </c>
      <c r="P11" s="47">
        <f t="shared" si="3"/>
        <v>0.1251055615876463</v>
      </c>
      <c r="Q11" s="47">
        <f t="shared" si="4"/>
        <v>1968.2040296999714</v>
      </c>
      <c r="R11" s="47">
        <f t="shared" si="5"/>
        <v>1251.055615876463</v>
      </c>
      <c r="S11" s="48">
        <f t="shared" si="6"/>
        <v>350704802.62352353</v>
      </c>
      <c r="T11" s="79">
        <f t="shared" si="7"/>
        <v>350.70480262352351</v>
      </c>
      <c r="U11" s="4">
        <v>1.16E-3</v>
      </c>
      <c r="V11" s="4">
        <v>1.15E-3</v>
      </c>
      <c r="W11" s="4">
        <v>1.2600000000000001E-3</v>
      </c>
      <c r="X11" s="83">
        <f t="shared" si="10"/>
        <v>1.1900000000000001E-3</v>
      </c>
      <c r="Y11" s="80">
        <v>321.33</v>
      </c>
      <c r="Z11" s="70">
        <f t="shared" si="8"/>
        <v>8.3759339489447887E-2</v>
      </c>
      <c r="AA11" s="3">
        <v>1.5658606862573667</v>
      </c>
    </row>
    <row r="12" spans="2:27" x14ac:dyDescent="0.5">
      <c r="B12" s="4">
        <f>ObtenciónProbetas!B12</f>
        <v>7</v>
      </c>
      <c r="C12" s="4" t="str">
        <f>ObtenciónProbetas!C12</f>
        <v>Masa7</v>
      </c>
      <c r="D12" s="4">
        <v>2.68</v>
      </c>
      <c r="E12" s="4"/>
      <c r="F12" s="4"/>
      <c r="G12" s="4"/>
      <c r="H12" s="4"/>
      <c r="I12" s="4">
        <v>0.48</v>
      </c>
      <c r="J12" s="4">
        <f t="shared" si="9"/>
        <v>58.599999999999987</v>
      </c>
      <c r="K12" s="4">
        <f t="shared" si="0"/>
        <v>87.1</v>
      </c>
      <c r="L12" s="4">
        <f t="shared" si="1"/>
        <v>87.009999999999991</v>
      </c>
      <c r="M12" s="4">
        <f t="shared" si="2"/>
        <v>77.569999999999993</v>
      </c>
      <c r="N12" s="4">
        <f>ObtenciónProbetas!K12/10</f>
        <v>10.199999999999999</v>
      </c>
      <c r="O12" s="47">
        <f>CurvaCompactaciónProbetas!L11</f>
        <v>1.8310142512572996</v>
      </c>
      <c r="P12" s="47">
        <f t="shared" si="3"/>
        <v>0.13149413433028234</v>
      </c>
      <c r="Q12" s="47">
        <f t="shared" si="4"/>
        <v>1831.0142512572995</v>
      </c>
      <c r="R12" s="47">
        <f t="shared" si="5"/>
        <v>1314.9413433028235</v>
      </c>
      <c r="S12" s="48">
        <f t="shared" si="6"/>
        <v>360431590.48286122</v>
      </c>
      <c r="T12" s="79">
        <f t="shared" si="7"/>
        <v>360.43159048286122</v>
      </c>
      <c r="U12" s="4">
        <v>1.14E-3</v>
      </c>
      <c r="V12" s="4">
        <v>1.14E-3</v>
      </c>
      <c r="W12" s="4">
        <v>1.24E-3</v>
      </c>
      <c r="X12" s="83">
        <f t="shared" si="10"/>
        <v>1.1733333333333333E-3</v>
      </c>
      <c r="Y12" s="80">
        <v>347.21</v>
      </c>
      <c r="Z12" s="70">
        <f t="shared" si="8"/>
        <v>3.6682662763129641E-2</v>
      </c>
      <c r="AA12" s="3">
        <v>1.5520297605561089</v>
      </c>
    </row>
    <row r="13" spans="2:27" x14ac:dyDescent="0.5">
      <c r="B13" s="4">
        <f>ObtenciónProbetas!B13</f>
        <v>8</v>
      </c>
      <c r="C13" s="4" t="str">
        <f>ObtenciónProbetas!C13</f>
        <v>Masa8</v>
      </c>
      <c r="D13" s="4">
        <v>2.68</v>
      </c>
      <c r="E13" s="4"/>
      <c r="F13" s="4"/>
      <c r="G13" s="4"/>
      <c r="H13" s="4"/>
      <c r="I13" s="4">
        <v>0.48</v>
      </c>
      <c r="J13" s="4">
        <f t="shared" si="9"/>
        <v>73.899999999999977</v>
      </c>
      <c r="K13" s="4">
        <f t="shared" si="0"/>
        <v>81.520000000000024</v>
      </c>
      <c r="L13" s="4">
        <f t="shared" si="1"/>
        <v>81.775000000000006</v>
      </c>
      <c r="M13" s="4">
        <f t="shared" si="2"/>
        <v>79.065000000000012</v>
      </c>
      <c r="N13" s="4">
        <f>ObtenciónProbetas!K13/10</f>
        <v>10.459999999999999</v>
      </c>
      <c r="O13" s="47">
        <f>CurvaCompactaciónProbetas!L12</f>
        <v>1.9149915515111879</v>
      </c>
      <c r="P13" s="47">
        <f t="shared" si="3"/>
        <v>0.13229621197748684</v>
      </c>
      <c r="Q13" s="47">
        <f t="shared" si="4"/>
        <v>1914.9915515111879</v>
      </c>
      <c r="R13" s="47">
        <f t="shared" si="5"/>
        <v>1322.9621197748684</v>
      </c>
      <c r="S13" s="48">
        <f t="shared" si="6"/>
        <v>381575115.11581331</v>
      </c>
      <c r="T13" s="79">
        <f t="shared" si="7"/>
        <v>381.57511511581333</v>
      </c>
      <c r="U13" s="4">
        <v>1.1800000000000001E-3</v>
      </c>
      <c r="V13" s="4">
        <v>1.16E-3</v>
      </c>
      <c r="W13" s="4">
        <v>1.16E-3</v>
      </c>
      <c r="X13" s="83">
        <f t="shared" si="10"/>
        <v>1.1666666666666668E-3</v>
      </c>
      <c r="Y13" s="80">
        <v>357.56</v>
      </c>
      <c r="Z13" s="70">
        <f t="shared" si="8"/>
        <v>6.2936795835138282E-2</v>
      </c>
      <c r="AA13" s="3">
        <v>1.6035596605878082</v>
      </c>
    </row>
    <row r="14" spans="2:27" x14ac:dyDescent="0.5">
      <c r="B14" s="4">
        <f>ObtenciónProbetas!B14</f>
        <v>9</v>
      </c>
      <c r="C14" s="4" t="str">
        <f>ObtenciónProbetas!C14</f>
        <v>Masa9</v>
      </c>
      <c r="D14" s="4">
        <v>2.68</v>
      </c>
      <c r="E14" s="4"/>
      <c r="F14" s="4"/>
      <c r="G14" s="4"/>
      <c r="H14" s="4"/>
      <c r="I14" s="4">
        <v>0.48</v>
      </c>
      <c r="J14" s="4">
        <v>0</v>
      </c>
      <c r="K14" s="4">
        <v>0</v>
      </c>
      <c r="L14" s="4">
        <f t="shared" si="1"/>
        <v>0</v>
      </c>
      <c r="M14" s="4">
        <f>AVERAGE(J14:L14)</f>
        <v>0</v>
      </c>
      <c r="N14" s="4">
        <f>ObtenciónProbetas!K14/10</f>
        <v>0</v>
      </c>
      <c r="O14" s="47">
        <f>CurvaCompactaciónProbetas!L13</f>
        <v>0</v>
      </c>
      <c r="P14" s="47">
        <f>IF(M14&gt;0,N14/M14,0)</f>
        <v>0</v>
      </c>
      <c r="Q14" s="47">
        <f>O14*1000</f>
        <v>0</v>
      </c>
      <c r="R14" s="47">
        <f>P14*10000</f>
        <v>0</v>
      </c>
      <c r="S14" s="48">
        <f>(R14^2)*((Q14*(1+I14)*(1-2*(I14)))/(1-I14))</f>
        <v>0</v>
      </c>
      <c r="T14" s="79">
        <f>S14/1000000</f>
        <v>0</v>
      </c>
      <c r="U14" s="4">
        <v>0</v>
      </c>
      <c r="V14" s="4">
        <v>0</v>
      </c>
      <c r="W14" s="4">
        <v>0</v>
      </c>
      <c r="X14" s="78">
        <f>AVERAGE(U14:W14)</f>
        <v>0</v>
      </c>
      <c r="Y14" s="81"/>
      <c r="Z14" s="70"/>
      <c r="AA14" s="3"/>
    </row>
    <row r="15" spans="2:27" x14ac:dyDescent="0.5">
      <c r="B15" s="4">
        <f>ObtenciónProbetas!B15</f>
        <v>10</v>
      </c>
      <c r="C15" s="4" t="str">
        <f>ObtenciónProbetas!C15</f>
        <v>Masa10</v>
      </c>
      <c r="D15" s="4">
        <v>2.68</v>
      </c>
      <c r="E15" s="4"/>
      <c r="F15" s="4"/>
      <c r="G15" s="4"/>
      <c r="H15" s="4"/>
      <c r="I15" s="4">
        <v>0.48</v>
      </c>
      <c r="J15" s="4">
        <v>0</v>
      </c>
      <c r="K15" s="4">
        <v>0</v>
      </c>
      <c r="L15" s="4">
        <v>0</v>
      </c>
      <c r="M15" s="4">
        <f t="shared" ref="M15:M16" si="11">AVERAGE(J15:L15)</f>
        <v>0</v>
      </c>
      <c r="N15" s="4">
        <f>ObtenciónProbetas!K15/10</f>
        <v>0</v>
      </c>
      <c r="O15" s="47">
        <f>CurvaCompactaciónProbetas!L14</f>
        <v>0</v>
      </c>
      <c r="P15" s="47">
        <f t="shared" ref="P15:P16" si="12">IF(M15&gt;0,N15/M15,0)</f>
        <v>0</v>
      </c>
      <c r="Q15" s="47">
        <f t="shared" ref="Q15:Q16" si="13">O15*1000</f>
        <v>0</v>
      </c>
      <c r="R15" s="47">
        <f t="shared" ref="R15:R16" si="14">P15*10000</f>
        <v>0</v>
      </c>
      <c r="S15" s="48">
        <f t="shared" ref="S15:S16" si="15">(R15^2)*((Q15*(1+I15)*(1-2*(I15)))/(1-I15))</f>
        <v>0</v>
      </c>
      <c r="T15" s="79">
        <f t="shared" si="7"/>
        <v>0</v>
      </c>
      <c r="U15" s="4">
        <v>0</v>
      </c>
      <c r="V15" s="4">
        <v>0</v>
      </c>
      <c r="W15" s="4">
        <v>0</v>
      </c>
      <c r="X15" s="78">
        <f t="shared" ref="X15:X16" si="16">AVERAGE(U15:W15)</f>
        <v>0</v>
      </c>
      <c r="Y15" s="81"/>
      <c r="Z15" s="70"/>
      <c r="AA15" s="3"/>
    </row>
    <row r="16" spans="2:27" x14ac:dyDescent="0.5">
      <c r="B16" s="4">
        <f>ObtenciónProbetas!B16</f>
        <v>11</v>
      </c>
      <c r="C16" s="4" t="str">
        <f>ObtenciónProbetas!C16</f>
        <v>Masa11</v>
      </c>
      <c r="D16" s="4">
        <v>2.68</v>
      </c>
      <c r="E16" s="4"/>
      <c r="F16" s="4"/>
      <c r="G16" s="4"/>
      <c r="H16" s="4"/>
      <c r="I16" s="4">
        <v>0.48</v>
      </c>
      <c r="J16" s="4">
        <v>0</v>
      </c>
      <c r="K16" s="4">
        <v>0</v>
      </c>
      <c r="L16" s="4">
        <v>0</v>
      </c>
      <c r="M16" s="4">
        <f t="shared" si="11"/>
        <v>0</v>
      </c>
      <c r="N16" s="4">
        <f>ObtenciónProbetas!K16/10</f>
        <v>0</v>
      </c>
      <c r="O16" s="47">
        <f>CurvaCompactaciónProbetas!L15</f>
        <v>0</v>
      </c>
      <c r="P16" s="47">
        <f t="shared" si="12"/>
        <v>0</v>
      </c>
      <c r="Q16" s="47">
        <f t="shared" si="13"/>
        <v>0</v>
      </c>
      <c r="R16" s="47">
        <f t="shared" si="14"/>
        <v>0</v>
      </c>
      <c r="S16" s="48">
        <f t="shared" si="15"/>
        <v>0</v>
      </c>
      <c r="T16" s="79">
        <f t="shared" si="7"/>
        <v>0</v>
      </c>
      <c r="U16" s="4">
        <v>0</v>
      </c>
      <c r="V16" s="4">
        <v>0</v>
      </c>
      <c r="W16" s="4">
        <v>0</v>
      </c>
      <c r="X16" s="78">
        <f t="shared" si="16"/>
        <v>0</v>
      </c>
      <c r="Y16" s="81"/>
      <c r="Z16" s="70"/>
      <c r="AA16" s="3"/>
    </row>
    <row r="17" spans="2:27" x14ac:dyDescent="0.5">
      <c r="B17" s="4">
        <f>ObtenciónProbetas!B17</f>
        <v>12</v>
      </c>
      <c r="C17" s="4" t="str">
        <f>ObtenciónProbetas!C17</f>
        <v>Masa12</v>
      </c>
      <c r="D17" s="4">
        <v>2.68</v>
      </c>
      <c r="E17" s="4"/>
      <c r="F17" s="4"/>
      <c r="G17" s="4"/>
      <c r="H17" s="4"/>
      <c r="I17" s="4">
        <v>0.48</v>
      </c>
      <c r="J17" s="4">
        <v>0</v>
      </c>
      <c r="K17" s="4">
        <v>0</v>
      </c>
      <c r="L17" s="4">
        <v>0</v>
      </c>
      <c r="M17" s="4">
        <f>AVERAGE(J17:L17)</f>
        <v>0</v>
      </c>
      <c r="N17" s="4">
        <f>ObtenciónProbetas!K17/10</f>
        <v>0</v>
      </c>
      <c r="O17" s="47">
        <f>CurvaCompactaciónProbetas!L16</f>
        <v>0</v>
      </c>
      <c r="P17" s="47">
        <f>IF(M17&gt;0,N17/M17,0)</f>
        <v>0</v>
      </c>
      <c r="Q17" s="47">
        <f>O17*1000</f>
        <v>0</v>
      </c>
      <c r="R17" s="47">
        <f>P17*10000</f>
        <v>0</v>
      </c>
      <c r="S17" s="48">
        <f>(R17^2)*((Q17*(1+I17)*(1-2*(I17)))/(1-I17))</f>
        <v>0</v>
      </c>
      <c r="T17" s="79">
        <f>S17/1000000</f>
        <v>0</v>
      </c>
      <c r="U17" s="4">
        <v>0</v>
      </c>
      <c r="V17" s="4">
        <v>0</v>
      </c>
      <c r="W17" s="4">
        <v>0</v>
      </c>
      <c r="X17" s="78">
        <f>AVERAGE(U17:W17)</f>
        <v>0</v>
      </c>
      <c r="Y17" s="81"/>
      <c r="Z17" s="70"/>
      <c r="AA17" s="3"/>
    </row>
    <row r="20" spans="2:27" x14ac:dyDescent="0.5">
      <c r="V20" s="54"/>
    </row>
    <row r="21" spans="2:27" x14ac:dyDescent="0.5">
      <c r="K21" s="71"/>
      <c r="M21" s="72"/>
      <c r="V21" s="54"/>
    </row>
    <row r="22" spans="2:27" x14ac:dyDescent="0.5">
      <c r="V22" s="54"/>
    </row>
    <row r="23" spans="2:27" x14ac:dyDescent="0.5">
      <c r="V23" s="54"/>
    </row>
    <row r="24" spans="2:27" x14ac:dyDescent="0.5">
      <c r="H24" s="3"/>
      <c r="I24" s="3" t="s">
        <v>99</v>
      </c>
      <c r="J24" s="3" t="s">
        <v>100</v>
      </c>
      <c r="K24" s="3" t="s">
        <v>101</v>
      </c>
      <c r="L24" s="3" t="s">
        <v>99</v>
      </c>
      <c r="M24" s="3" t="s">
        <v>100</v>
      </c>
      <c r="N24" s="3" t="s">
        <v>101</v>
      </c>
      <c r="O24" s="3" t="s">
        <v>99</v>
      </c>
      <c r="P24" s="3" t="s">
        <v>100</v>
      </c>
      <c r="Q24" s="3" t="s">
        <v>101</v>
      </c>
      <c r="V24" s="54"/>
    </row>
    <row r="25" spans="2:27" x14ac:dyDescent="0.5">
      <c r="H25" s="3" t="s">
        <v>102</v>
      </c>
      <c r="I25" s="3">
        <v>-2.9999999999999997E-4</v>
      </c>
      <c r="J25" s="3">
        <v>-1.166E-4</v>
      </c>
      <c r="K25" s="3">
        <f>J25-I25</f>
        <v>1.8339999999999996E-4</v>
      </c>
      <c r="L25" s="3">
        <v>-2.0000000000000001E-4</v>
      </c>
      <c r="M25" s="3">
        <v>-4.1E-5</v>
      </c>
      <c r="N25" s="3">
        <f>M25-L25</f>
        <v>1.5900000000000002E-4</v>
      </c>
      <c r="O25" s="3">
        <v>-2.454E-4</v>
      </c>
      <c r="P25" s="3">
        <v>-4.0599999999999998E-5</v>
      </c>
      <c r="Q25" s="3">
        <f>P25-O25</f>
        <v>2.0479999999999999E-4</v>
      </c>
      <c r="V25" s="54"/>
    </row>
    <row r="26" spans="2:27" x14ac:dyDescent="0.5">
      <c r="H26" s="3" t="s">
        <v>103</v>
      </c>
      <c r="I26" s="3">
        <v>-1.94E-4</v>
      </c>
      <c r="J26" s="3">
        <v>-6.3839999999999999E-5</v>
      </c>
      <c r="K26" s="3">
        <f t="shared" ref="K26:K32" si="17">J26-I26</f>
        <v>1.3015999999999999E-4</v>
      </c>
      <c r="L26" s="3">
        <v>-3.1052E-4</v>
      </c>
      <c r="M26" s="3">
        <v>-1.01E-4</v>
      </c>
      <c r="N26" s="3">
        <f t="shared" ref="N26:N32" si="18">M26-L26</f>
        <v>2.0951999999999999E-4</v>
      </c>
      <c r="O26" s="3">
        <v>-2.386E-4</v>
      </c>
      <c r="P26" s="3">
        <v>-8.9599999999999996E-5</v>
      </c>
      <c r="Q26" s="3">
        <f t="shared" ref="Q26:Q32" si="19">P26-O26</f>
        <v>1.4899999999999999E-4</v>
      </c>
      <c r="V26" s="54"/>
    </row>
    <row r="27" spans="2:27" x14ac:dyDescent="0.5">
      <c r="H27" s="3" t="s">
        <v>104</v>
      </c>
      <c r="I27" s="3">
        <v>1.459E-3</v>
      </c>
      <c r="J27" s="3">
        <v>1.5449999999999999E-3</v>
      </c>
      <c r="K27" s="3">
        <f t="shared" si="17"/>
        <v>8.5999999999999922E-5</v>
      </c>
      <c r="L27" s="3">
        <v>-1.36E-4</v>
      </c>
      <c r="M27" s="3">
        <v>-4.4549999999999999E-5</v>
      </c>
      <c r="N27" s="3">
        <f t="shared" si="18"/>
        <v>9.145E-5</v>
      </c>
      <c r="O27" s="3">
        <v>-1.496E-4</v>
      </c>
      <c r="P27" s="3">
        <v>-4.3999999999999999E-5</v>
      </c>
      <c r="Q27" s="3">
        <f t="shared" si="19"/>
        <v>1.0560000000000001E-4</v>
      </c>
      <c r="V27" s="54"/>
    </row>
    <row r="28" spans="2:27" x14ac:dyDescent="0.5">
      <c r="H28" s="3" t="s">
        <v>105</v>
      </c>
      <c r="I28" s="3">
        <f>-0.000131</f>
        <v>-1.3100000000000001E-4</v>
      </c>
      <c r="J28" s="3">
        <f>-0.000044</f>
        <v>-4.3999999999999999E-5</v>
      </c>
      <c r="K28" s="3">
        <f t="shared" si="17"/>
        <v>8.7000000000000014E-5</v>
      </c>
      <c r="L28" s="3">
        <v>-1.2439999999999999E-4</v>
      </c>
      <c r="M28" s="82">
        <v>-4.18E-5</v>
      </c>
      <c r="N28" s="3">
        <f t="shared" si="18"/>
        <v>8.2599999999999988E-5</v>
      </c>
      <c r="O28" s="3">
        <v>-1.189E-4</v>
      </c>
      <c r="P28" s="82">
        <v>-4.7299999999999998E-5</v>
      </c>
      <c r="Q28" s="3">
        <f t="shared" si="19"/>
        <v>7.1600000000000006E-5</v>
      </c>
    </row>
    <row r="29" spans="2:27" x14ac:dyDescent="0.5">
      <c r="H29" s="3" t="s">
        <v>106</v>
      </c>
      <c r="I29" s="3">
        <v>-1.4909999999999999E-4</v>
      </c>
      <c r="J29" s="82">
        <v>-7.1190000000000001E-5</v>
      </c>
      <c r="K29" s="3">
        <f t="shared" si="17"/>
        <v>7.7909999999999991E-5</v>
      </c>
      <c r="L29" s="3">
        <v>-1.3449999999999999E-4</v>
      </c>
      <c r="M29" s="82">
        <v>-5.8799999999999999E-5</v>
      </c>
      <c r="N29" s="3">
        <f t="shared" si="18"/>
        <v>7.5699999999999997E-5</v>
      </c>
      <c r="O29" s="3">
        <v>-2.0566000000000001E-4</v>
      </c>
      <c r="P29" s="82">
        <v>-9.6050000000000004E-5</v>
      </c>
      <c r="Q29" s="3">
        <f t="shared" si="19"/>
        <v>1.0961E-4</v>
      </c>
    </row>
    <row r="30" spans="2:27" x14ac:dyDescent="0.5">
      <c r="H30" s="3" t="s">
        <v>107</v>
      </c>
      <c r="I30" s="3">
        <v>-1.5699999999999999E-4</v>
      </c>
      <c r="J30" s="82">
        <v>-8.4930000000000002E-5</v>
      </c>
      <c r="K30" s="3">
        <f t="shared" si="17"/>
        <v>7.2069999999999993E-5</v>
      </c>
      <c r="L30" s="3">
        <v>-1.583E-4</v>
      </c>
      <c r="M30" s="82">
        <v>-7.4499999999999995E-5</v>
      </c>
      <c r="N30" s="3">
        <f t="shared" si="18"/>
        <v>8.3800000000000004E-5</v>
      </c>
      <c r="O30" s="3">
        <v>-1.7699999999999999E-4</v>
      </c>
      <c r="P30" s="82">
        <v>-8.42E-5</v>
      </c>
      <c r="Q30" s="3">
        <f t="shared" si="19"/>
        <v>9.2799999999999992E-5</v>
      </c>
    </row>
    <row r="31" spans="2:27" x14ac:dyDescent="0.5">
      <c r="H31" s="3" t="s">
        <v>108</v>
      </c>
      <c r="I31" s="3">
        <v>-1.5689999999999999E-4</v>
      </c>
      <c r="J31" s="82">
        <v>-9.8300000000000004E-5</v>
      </c>
      <c r="K31" s="3">
        <f t="shared" si="17"/>
        <v>5.8599999999999988E-5</v>
      </c>
      <c r="L31" s="3">
        <v>-1.7589999999999999E-4</v>
      </c>
      <c r="M31" s="82">
        <v>-8.8800000000000004E-5</v>
      </c>
      <c r="N31" s="3">
        <f t="shared" si="18"/>
        <v>8.7099999999999989E-5</v>
      </c>
      <c r="O31" s="3">
        <v>-2.1018E-4</v>
      </c>
      <c r="P31" s="3">
        <v>-1.2317E-4</v>
      </c>
      <c r="Q31" s="3">
        <f t="shared" si="19"/>
        <v>8.7009999999999995E-5</v>
      </c>
    </row>
    <row r="32" spans="2:27" x14ac:dyDescent="0.5">
      <c r="H32" s="3" t="s">
        <v>109</v>
      </c>
      <c r="I32" s="82">
        <v>-1.3449999999999999E-4</v>
      </c>
      <c r="J32" s="82">
        <v>-6.0600000000000003E-5</v>
      </c>
      <c r="K32" s="3">
        <f t="shared" si="17"/>
        <v>7.389999999999998E-5</v>
      </c>
      <c r="L32" s="3">
        <v>-1.4440000000000001E-4</v>
      </c>
      <c r="M32" s="82">
        <v>-6.2879999999999994E-5</v>
      </c>
      <c r="N32" s="3">
        <f t="shared" si="18"/>
        <v>8.1520000000000019E-5</v>
      </c>
      <c r="O32" s="3">
        <v>-1.5330000000000001E-4</v>
      </c>
      <c r="P32" s="82">
        <v>-7.1525000000000004E-5</v>
      </c>
      <c r="Q32" s="3">
        <f t="shared" si="19"/>
        <v>8.1775000000000009E-5</v>
      </c>
    </row>
  </sheetData>
  <mergeCells count="4">
    <mergeCell ref="B3:C3"/>
    <mergeCell ref="D3:I3"/>
    <mergeCell ref="J3:T3"/>
    <mergeCell ref="U3:Y3"/>
  </mergeCells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80F7-DA37-4C2C-9166-82F6588CCFAC}">
  <dimension ref="B3:I37"/>
  <sheetViews>
    <sheetView tabSelected="1" topLeftCell="A3" zoomScale="96" workbookViewId="0">
      <selection activeCell="I13" sqref="I13"/>
    </sheetView>
  </sheetViews>
  <sheetFormatPr defaultColWidth="8.3125" defaultRowHeight="14.25" x14ac:dyDescent="0.45"/>
  <cols>
    <col min="1" max="3" width="8.3125" style="54"/>
    <col min="4" max="4" width="8.5" style="54" bestFit="1" customWidth="1"/>
    <col min="5" max="5" width="8.625" style="54" bestFit="1" customWidth="1"/>
    <col min="6" max="6" width="8.3125" style="54"/>
    <col min="7" max="7" width="8.625" style="54" bestFit="1" customWidth="1"/>
    <col min="8" max="16384" width="8.3125" style="54"/>
  </cols>
  <sheetData>
    <row r="3" spans="2:9" ht="14.65" thickBot="1" x14ac:dyDescent="0.5"/>
    <row r="4" spans="2:9" ht="14.65" thickBot="1" x14ac:dyDescent="0.5">
      <c r="B4" s="93" t="s">
        <v>91</v>
      </c>
      <c r="C4" s="94"/>
      <c r="D4" s="94"/>
      <c r="E4" s="94"/>
      <c r="F4" s="94"/>
      <c r="G4" s="95"/>
    </row>
    <row r="5" spans="2:9" x14ac:dyDescent="0.45">
      <c r="B5" s="55" t="s">
        <v>74</v>
      </c>
      <c r="C5" s="68">
        <v>5</v>
      </c>
      <c r="D5" s="68">
        <v>25</v>
      </c>
      <c r="E5" s="68">
        <v>50</v>
      </c>
      <c r="F5" s="68">
        <v>100</v>
      </c>
      <c r="G5" s="69">
        <v>200</v>
      </c>
      <c r="H5" s="54">
        <v>300</v>
      </c>
      <c r="I5" s="54">
        <v>400</v>
      </c>
    </row>
    <row r="6" spans="2:9" x14ac:dyDescent="0.45">
      <c r="B6" s="56">
        <v>0.1</v>
      </c>
      <c r="C6" s="57">
        <v>2.3478348100633198E-3</v>
      </c>
      <c r="D6" s="57">
        <v>1.9955787603624102E-3</v>
      </c>
      <c r="E6" s="57">
        <v>1.7820024121730301E-3</v>
      </c>
      <c r="F6" s="57">
        <v>1.5694576530822599E-3</v>
      </c>
      <c r="G6" s="58">
        <v>1.3718172767980101E-3</v>
      </c>
    </row>
    <row r="7" spans="2:9" x14ac:dyDescent="0.45">
      <c r="B7" s="56">
        <v>0.2</v>
      </c>
      <c r="C7" s="57">
        <v>2.3394404849428098E-3</v>
      </c>
      <c r="D7" s="57">
        <v>1.98434376581171E-3</v>
      </c>
      <c r="E7" s="57">
        <v>1.7711769880264601E-3</v>
      </c>
      <c r="F7" s="57">
        <v>1.5596375331642599E-3</v>
      </c>
      <c r="G7" s="58">
        <v>1.3631794859288E-3</v>
      </c>
    </row>
    <row r="8" spans="2:9" x14ac:dyDescent="0.45">
      <c r="B8" s="56">
        <v>0.3</v>
      </c>
      <c r="C8" s="57">
        <v>2.32464610063569E-3</v>
      </c>
      <c r="D8" s="57">
        <v>1.9648933392996401E-3</v>
      </c>
      <c r="E8" s="57">
        <v>1.7524451909427701E-3</v>
      </c>
      <c r="F8" s="57">
        <v>1.5426744704321301E-3</v>
      </c>
      <c r="G8" s="58">
        <v>1.3483557321667301E-3</v>
      </c>
      <c r="H8" s="54">
        <v>1.2449639506084301E-3</v>
      </c>
      <c r="I8" s="54">
        <v>1.1772007984239201E-3</v>
      </c>
    </row>
    <row r="9" spans="2:9" x14ac:dyDescent="0.45">
      <c r="B9" s="56">
        <v>0.4</v>
      </c>
      <c r="C9" s="57">
        <v>2.3023397656270999E-3</v>
      </c>
      <c r="D9" s="57">
        <v>1.9358334976590601E-3</v>
      </c>
      <c r="E9" s="57">
        <v>1.7247572871193599E-3</v>
      </c>
      <c r="F9" s="57">
        <v>1.51776845222711E-3</v>
      </c>
      <c r="G9" s="58">
        <v>1.3265591896317601E-3</v>
      </c>
      <c r="H9" s="54">
        <v>1.2253486062462199E-3</v>
      </c>
      <c r="I9" s="54">
        <v>1.1591183841943499E-3</v>
      </c>
    </row>
    <row r="10" spans="2:9" ht="14.65" thickBot="1" x14ac:dyDescent="0.5">
      <c r="B10" s="59">
        <v>0.5</v>
      </c>
      <c r="C10" s="60">
        <v>2.27007750668263E-3</v>
      </c>
      <c r="D10" s="60">
        <v>1.89502062975498E-3</v>
      </c>
      <c r="E10" s="60">
        <v>1.68607013178486E-3</v>
      </c>
      <c r="F10" s="60">
        <v>1.48321064757378E-3</v>
      </c>
      <c r="G10" s="61">
        <v>1.2964257444793301E-3</v>
      </c>
      <c r="H10" s="54">
        <v>1.1983390993185899E-3</v>
      </c>
      <c r="I10" s="54">
        <v>1.13437854046204E-3</v>
      </c>
    </row>
    <row r="12" spans="2:9" ht="14.65" thickBot="1" x14ac:dyDescent="0.5"/>
    <row r="13" spans="2:9" ht="14.65" thickBot="1" x14ac:dyDescent="0.5">
      <c r="B13" s="96" t="s">
        <v>92</v>
      </c>
      <c r="C13" s="97"/>
      <c r="D13" s="62">
        <v>0.48</v>
      </c>
      <c r="E13" s="96" t="s">
        <v>93</v>
      </c>
      <c r="F13" s="97"/>
      <c r="G13" s="85">
        <f>E31</f>
        <v>1.1666666666666668E-3</v>
      </c>
    </row>
    <row r="14" spans="2:9" ht="14.65" thickBot="1" x14ac:dyDescent="0.5">
      <c r="B14" s="63"/>
      <c r="C14" s="63"/>
      <c r="E14" s="63"/>
      <c r="F14" s="63"/>
    </row>
    <row r="15" spans="2:9" ht="14.65" thickBot="1" x14ac:dyDescent="0.5">
      <c r="B15" s="96" t="s">
        <v>94</v>
      </c>
      <c r="C15" s="98"/>
      <c r="D15" s="98"/>
      <c r="E15" s="98"/>
      <c r="F15" s="98"/>
      <c r="G15" s="97"/>
    </row>
    <row r="16" spans="2:9" x14ac:dyDescent="0.45">
      <c r="B16" s="64">
        <f>D13</f>
        <v>0.48</v>
      </c>
      <c r="C16" s="64">
        <f>_xlfn.FORECAST.LINEAR(D13,C9:C10,B9:B10)</f>
        <v>2.2765299584715237E-3</v>
      </c>
      <c r="D16" s="64">
        <f t="shared" ref="D16:I16" si="0">_xlfn.FORECAST.LINEAR($D$13,D9:D10,$B$9:$B$10)</f>
        <v>1.9031832033357962E-3</v>
      </c>
      <c r="E16" s="64">
        <f t="shared" si="0"/>
        <v>1.6938075628517599E-3</v>
      </c>
      <c r="F16" s="64">
        <f t="shared" si="0"/>
        <v>1.4901222085044459E-3</v>
      </c>
      <c r="G16" s="64">
        <f t="shared" si="0"/>
        <v>1.3024524335098161E-3</v>
      </c>
      <c r="H16" s="57">
        <f t="shared" si="0"/>
        <v>1.2037410007041159E-3</v>
      </c>
      <c r="I16" s="57">
        <f t="shared" si="0"/>
        <v>1.1393265092085019E-3</v>
      </c>
    </row>
    <row r="17" spans="2:7" ht="14.65" thickBot="1" x14ac:dyDescent="0.5"/>
    <row r="18" spans="2:7" x14ac:dyDescent="0.45">
      <c r="B18" s="99" t="s">
        <v>95</v>
      </c>
      <c r="C18" s="100"/>
      <c r="D18" s="100"/>
      <c r="E18" s="100"/>
      <c r="F18" s="100"/>
      <c r="G18" s="101"/>
    </row>
    <row r="19" spans="2:7" x14ac:dyDescent="0.45">
      <c r="B19" s="91" t="s">
        <v>96</v>
      </c>
      <c r="C19" s="92"/>
      <c r="D19" s="66">
        <f>_xlfn.FORECAST.LINEAR(G13,H5:I5,H16:I16)</f>
        <v>357.55589026108146</v>
      </c>
      <c r="E19" s="65" t="s">
        <v>74</v>
      </c>
      <c r="F19" s="66"/>
      <c r="G19" s="67"/>
    </row>
    <row r="24" spans="2:7" x14ac:dyDescent="0.45">
      <c r="E24" s="84">
        <v>1.6899999999999999E-3</v>
      </c>
      <c r="F24" s="54">
        <v>50.93</v>
      </c>
    </row>
    <row r="25" spans="2:7" x14ac:dyDescent="0.45">
      <c r="E25" s="84">
        <v>1.5933333333333335E-3</v>
      </c>
      <c r="F25" s="54">
        <v>74.66</v>
      </c>
    </row>
    <row r="26" spans="2:7" x14ac:dyDescent="0.45">
      <c r="E26" s="84">
        <v>1.2166666666666669E-3</v>
      </c>
      <c r="F26" s="54">
        <v>286.91000000000003</v>
      </c>
    </row>
    <row r="27" spans="2:7" x14ac:dyDescent="0.45">
      <c r="E27" s="84">
        <v>1.1733333333333333E-3</v>
      </c>
      <c r="F27" s="54">
        <v>347.21</v>
      </c>
    </row>
    <row r="28" spans="2:7" x14ac:dyDescent="0.45">
      <c r="E28" s="84">
        <v>1.1766666666666668E-3</v>
      </c>
      <c r="F28" s="54">
        <v>342.03</v>
      </c>
    </row>
    <row r="29" spans="2:7" x14ac:dyDescent="0.45">
      <c r="E29" s="84">
        <v>1.1900000000000001E-3</v>
      </c>
      <c r="F29" s="54">
        <v>321.33</v>
      </c>
    </row>
    <row r="30" spans="2:7" x14ac:dyDescent="0.45">
      <c r="E30" s="84">
        <v>1.1733333333333333E-3</v>
      </c>
      <c r="F30" s="54">
        <v>347.21</v>
      </c>
    </row>
    <row r="31" spans="2:7" x14ac:dyDescent="0.45">
      <c r="E31" s="54">
        <v>1.1666666666666668E-3</v>
      </c>
      <c r="F31" s="54">
        <v>357.56</v>
      </c>
    </row>
    <row r="37" spans="9:9" x14ac:dyDescent="0.45">
      <c r="I37" s="102" t="s">
        <v>110</v>
      </c>
    </row>
  </sheetData>
  <mergeCells count="6">
    <mergeCell ref="B19:C19"/>
    <mergeCell ref="B4:G4"/>
    <mergeCell ref="B13:C13"/>
    <mergeCell ref="E13:F13"/>
    <mergeCell ref="B15:G15"/>
    <mergeCell ref="B18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ObtenciónProbetas</vt:lpstr>
      <vt:lpstr>CurvaCompactaciónProbetas</vt:lpstr>
      <vt:lpstr>ProcesamientoDatos</vt:lpstr>
      <vt:lpstr>SSW_CalibrationCurve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Hernan Paredes Palomo</dc:creator>
  <cp:lastModifiedBy>Pablo Sebastián Alvarado Sarmiento</cp:lastModifiedBy>
  <dcterms:created xsi:type="dcterms:W3CDTF">2023-09-26T20:46:41Z</dcterms:created>
  <dcterms:modified xsi:type="dcterms:W3CDTF">2023-12-04T00:33:43Z</dcterms:modified>
</cp:coreProperties>
</file>