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41CDEBFD-7D3A-4B78-99C0-7C8871EBCD8F}" xr6:coauthVersionLast="47" xr6:coauthVersionMax="47" xr10:uidLastSave="{00000000-0000-0000-0000-000000000000}"/>
  <bookViews>
    <workbookView xWindow="-98" yWindow="-98" windowWidth="21795" windowHeight="12975" activeTab="1" xr2:uid="{747C28DD-15B6-4E1F-A279-D0E537572C89}"/>
  </bookViews>
  <sheets>
    <sheet name="DetalleMediciones" sheetId="1" r:id="rId1"/>
    <sheet name="Mediciones" sheetId="3" r:id="rId2"/>
    <sheet name="CurvasCompactació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3" l="1"/>
  <c r="AI35" i="3"/>
  <c r="AI41" i="3"/>
  <c r="U41" i="3"/>
  <c r="V41" i="3" s="1"/>
  <c r="AK56" i="3"/>
  <c r="AL56" i="3" s="1"/>
  <c r="AK55" i="3"/>
  <c r="AL55" i="3" s="1"/>
  <c r="AK54" i="3"/>
  <c r="AL54" i="3" s="1"/>
  <c r="AK53" i="3"/>
  <c r="AL53" i="3" s="1"/>
  <c r="AK52" i="3"/>
  <c r="AL52" i="3" s="1"/>
  <c r="AK51" i="3"/>
  <c r="AL51" i="3" s="1"/>
  <c r="AK50" i="3"/>
  <c r="AL50" i="3" s="1"/>
  <c r="AK49" i="3"/>
  <c r="AL49" i="3" s="1"/>
  <c r="AI50" i="3"/>
  <c r="AI51" i="3"/>
  <c r="AI52" i="3"/>
  <c r="AI53" i="3"/>
  <c r="AI54" i="3"/>
  <c r="AI55" i="3"/>
  <c r="AI56" i="3"/>
  <c r="AI49" i="3"/>
  <c r="AC50" i="3"/>
  <c r="AC51" i="3"/>
  <c r="AC52" i="3"/>
  <c r="AC53" i="3"/>
  <c r="AC54" i="3"/>
  <c r="AC55" i="3"/>
  <c r="AC56" i="3"/>
  <c r="AC49" i="3"/>
  <c r="V50" i="3"/>
  <c r="V51" i="3"/>
  <c r="V52" i="3"/>
  <c r="V53" i="3"/>
  <c r="V54" i="3"/>
  <c r="V55" i="3"/>
  <c r="V56" i="3"/>
  <c r="V49" i="3"/>
  <c r="U53" i="3"/>
  <c r="U50" i="3"/>
  <c r="U51" i="3"/>
  <c r="U52" i="3"/>
  <c r="U54" i="3"/>
  <c r="U55" i="3"/>
  <c r="U56" i="3"/>
  <c r="U49" i="3"/>
  <c r="AL36" i="3"/>
  <c r="AL37" i="3"/>
  <c r="AL38" i="3"/>
  <c r="AL39" i="3"/>
  <c r="AL40" i="3"/>
  <c r="AL42" i="3"/>
  <c r="AK36" i="3"/>
  <c r="AK37" i="3"/>
  <c r="AK38" i="3"/>
  <c r="AK39" i="3"/>
  <c r="AK40" i="3"/>
  <c r="AK42" i="3"/>
  <c r="AK35" i="3"/>
  <c r="AL35" i="3" s="1"/>
  <c r="U36" i="3"/>
  <c r="U37" i="3"/>
  <c r="U38" i="3"/>
  <c r="U39" i="3"/>
  <c r="U40" i="3"/>
  <c r="U42" i="3"/>
  <c r="AC36" i="3"/>
  <c r="AC37" i="3"/>
  <c r="AC38" i="3"/>
  <c r="AC39" i="3"/>
  <c r="AC40" i="3"/>
  <c r="AC41" i="3"/>
  <c r="AC42" i="3"/>
  <c r="AC35" i="3"/>
  <c r="V35" i="3"/>
  <c r="AI36" i="3"/>
  <c r="AI37" i="3"/>
  <c r="AI38" i="3"/>
  <c r="AI39" i="3"/>
  <c r="AI40" i="3"/>
  <c r="AI42" i="3"/>
  <c r="V36" i="3"/>
  <c r="V37" i="3"/>
  <c r="V38" i="3"/>
  <c r="V42" i="3"/>
  <c r="V40" i="3"/>
  <c r="V39" i="3"/>
  <c r="H35" i="3"/>
  <c r="D35" i="3"/>
  <c r="AK41" i="3" l="1"/>
  <c r="AL41" i="3" s="1"/>
  <c r="B17" i="4"/>
  <c r="B18" i="4"/>
  <c r="B16" i="4"/>
  <c r="B15" i="4"/>
  <c r="D50" i="3"/>
  <c r="F50" i="3" s="1"/>
  <c r="H50" i="3" s="1"/>
  <c r="J50" i="3" s="1"/>
  <c r="L50" i="3" s="1"/>
  <c r="M50" i="3" s="1"/>
  <c r="D51" i="3"/>
  <c r="F51" i="3" s="1"/>
  <c r="H51" i="3" s="1"/>
  <c r="J51" i="3" s="1"/>
  <c r="L51" i="3" s="1"/>
  <c r="M51" i="3" s="1"/>
  <c r="D56" i="3"/>
  <c r="F56" i="3" s="1"/>
  <c r="H56" i="3" s="1"/>
  <c r="J56" i="3" s="1"/>
  <c r="B10" i="4"/>
  <c r="B11" i="4"/>
  <c r="B9" i="4"/>
  <c r="B7" i="4"/>
  <c r="B8" i="4"/>
  <c r="B6" i="4"/>
  <c r="D55" i="3"/>
  <c r="D54" i="3"/>
  <c r="F54" i="3" s="1"/>
  <c r="H54" i="3" s="1"/>
  <c r="J54" i="3" s="1"/>
  <c r="L54" i="3" s="1"/>
  <c r="M54" i="3" s="1"/>
  <c r="D53" i="3"/>
  <c r="F53" i="3" s="1"/>
  <c r="H53" i="3" s="1"/>
  <c r="J53" i="3" s="1"/>
  <c r="L53" i="3" s="1"/>
  <c r="M53" i="3" s="1"/>
  <c r="D52" i="3"/>
  <c r="F52" i="3" s="1"/>
  <c r="H52" i="3" s="1"/>
  <c r="J52" i="3" s="1"/>
  <c r="L52" i="3" s="1"/>
  <c r="M52" i="3" s="1"/>
  <c r="D49" i="3"/>
  <c r="F49" i="3" s="1"/>
  <c r="H49" i="3" s="1"/>
  <c r="F55" i="3"/>
  <c r="H55" i="3" s="1"/>
  <c r="J55" i="3" s="1"/>
  <c r="L55" i="3" s="1"/>
  <c r="M55" i="3" s="1"/>
  <c r="D42" i="3"/>
  <c r="F42" i="3" s="1"/>
  <c r="H42" i="3" s="1"/>
  <c r="J42" i="3" s="1"/>
  <c r="L42" i="3" s="1"/>
  <c r="M42" i="3" s="1"/>
  <c r="D41" i="3"/>
  <c r="F41" i="3" s="1"/>
  <c r="H41" i="3" s="1"/>
  <c r="J41" i="3" s="1"/>
  <c r="L41" i="3" s="1"/>
  <c r="M41" i="3" s="1"/>
  <c r="D40" i="3"/>
  <c r="F40" i="3" s="1"/>
  <c r="H40" i="3" s="1"/>
  <c r="J40" i="3" s="1"/>
  <c r="L40" i="3" s="1"/>
  <c r="M40" i="3" s="1"/>
  <c r="D39" i="3"/>
  <c r="F39" i="3" s="1"/>
  <c r="H39" i="3" s="1"/>
  <c r="D38" i="3"/>
  <c r="F38" i="3" s="1"/>
  <c r="H38" i="3" s="1"/>
  <c r="D37" i="3"/>
  <c r="F37" i="3" s="1"/>
  <c r="H37" i="3" s="1"/>
  <c r="J37" i="3" s="1"/>
  <c r="L37" i="3" s="1"/>
  <c r="M37" i="3" s="1"/>
  <c r="D36" i="3"/>
  <c r="F36" i="3" s="1"/>
  <c r="H36" i="3" s="1"/>
  <c r="F28" i="3"/>
  <c r="H28" i="3" s="1"/>
  <c r="J28" i="3" s="1"/>
  <c r="L28" i="3" s="1"/>
  <c r="M28" i="3" s="1"/>
  <c r="F27" i="3"/>
  <c r="H27" i="3" s="1"/>
  <c r="J27" i="3" s="1"/>
  <c r="L27" i="3" s="1"/>
  <c r="M27" i="3" s="1"/>
  <c r="F35" i="3" l="1"/>
  <c r="L56" i="3"/>
  <c r="M56" i="3" s="1"/>
  <c r="C18" i="4"/>
  <c r="C16" i="4"/>
  <c r="C7" i="4"/>
  <c r="C17" i="4"/>
  <c r="C11" i="4"/>
  <c r="C10" i="4"/>
  <c r="J49" i="3"/>
  <c r="J38" i="3"/>
  <c r="J36" i="3"/>
  <c r="J39" i="3"/>
  <c r="L39" i="3" s="1"/>
  <c r="M39" i="3" s="1"/>
  <c r="L38" i="3" l="1"/>
  <c r="M38" i="3" s="1"/>
  <c r="C8" i="4"/>
  <c r="L36" i="3"/>
  <c r="M36" i="3" s="1"/>
  <c r="C6" i="4"/>
  <c r="L49" i="3"/>
  <c r="M49" i="3" s="1"/>
  <c r="C9" i="4"/>
  <c r="F26" i="3"/>
  <c r="H26" i="3" s="1"/>
  <c r="J26" i="3" s="1"/>
  <c r="L26" i="3" s="1"/>
  <c r="M26" i="3" s="1"/>
  <c r="F25" i="3"/>
  <c r="H25" i="3" s="1"/>
  <c r="J25" i="3" s="1"/>
  <c r="L25" i="3" s="1"/>
  <c r="M25" i="3" s="1"/>
  <c r="F24" i="3"/>
  <c r="H24" i="3" s="1"/>
  <c r="J24" i="3" s="1"/>
  <c r="L24" i="3" s="1"/>
  <c r="M24" i="3" s="1"/>
  <c r="F23" i="3"/>
  <c r="H23" i="3" s="1"/>
  <c r="J23" i="3" s="1"/>
  <c r="L23" i="3" s="1"/>
  <c r="M23" i="3" s="1"/>
  <c r="F22" i="3"/>
  <c r="H22" i="3" s="1"/>
  <c r="J22" i="3" s="1"/>
  <c r="L22" i="3" s="1"/>
  <c r="M22" i="3" s="1"/>
  <c r="F21" i="3"/>
  <c r="H21" i="3" s="1"/>
  <c r="J21" i="3" s="1"/>
  <c r="L21" i="3" s="1"/>
  <c r="M21" i="3" s="1"/>
  <c r="F20" i="3"/>
  <c r="H20" i="3" s="1"/>
  <c r="J20" i="3" s="1"/>
  <c r="L20" i="3" s="1"/>
  <c r="M20" i="3" s="1"/>
  <c r="F13" i="3"/>
  <c r="H13" i="3" s="1"/>
  <c r="J13" i="3" s="1"/>
  <c r="L13" i="3" s="1"/>
  <c r="M13" i="3" s="1"/>
  <c r="F12" i="3"/>
  <c r="H12" i="3" s="1"/>
  <c r="J12" i="3" s="1"/>
  <c r="L12" i="3" s="1"/>
  <c r="M12" i="3" s="1"/>
  <c r="F11" i="3"/>
  <c r="H11" i="3" s="1"/>
  <c r="J11" i="3" s="1"/>
  <c r="L11" i="3" s="1"/>
  <c r="M11" i="3" s="1"/>
  <c r="D10" i="3"/>
  <c r="F10" i="3" s="1"/>
  <c r="H10" i="3" s="1"/>
  <c r="J10" i="3" s="1"/>
  <c r="L10" i="3" s="1"/>
  <c r="M10" i="3" s="1"/>
  <c r="F9" i="3"/>
  <c r="H9" i="3" s="1"/>
  <c r="J9" i="3" s="1"/>
  <c r="L9" i="3" s="1"/>
  <c r="M9" i="3" s="1"/>
  <c r="F8" i="3"/>
  <c r="H8" i="3" s="1"/>
  <c r="J8" i="3" s="1"/>
  <c r="L8" i="3" s="1"/>
  <c r="M8" i="3" s="1"/>
  <c r="F7" i="3"/>
  <c r="H7" i="3" s="1"/>
  <c r="J7" i="3" s="1"/>
  <c r="L7" i="3" s="1"/>
  <c r="M7" i="3" s="1"/>
  <c r="J35" i="3" l="1"/>
  <c r="C15" i="4" l="1"/>
  <c r="L35" i="3"/>
  <c r="M35" i="3" s="1"/>
</calcChain>
</file>

<file path=xl/sharedStrings.xml><?xml version="1.0" encoding="utf-8"?>
<sst xmlns="http://schemas.openxmlformats.org/spreadsheetml/2006/main" count="348" uniqueCount="97">
  <si>
    <t>Medición #1</t>
  </si>
  <si>
    <t>Medición #2</t>
  </si>
  <si>
    <t>Medición #3</t>
  </si>
  <si>
    <t>Fecha</t>
  </si>
  <si>
    <t>Descripción</t>
  </si>
  <si>
    <t>Contenido</t>
  </si>
  <si>
    <t>Muestras obtenidas en laboratorio pavimentos para ensayo proctor</t>
  </si>
  <si>
    <t xml:space="preserve">Muestras Obtenidas directamente en Obra </t>
  </si>
  <si>
    <t>Muestras de verificación hechas por nosotros en el Laboratorio</t>
  </si>
  <si>
    <t>Medición #4</t>
  </si>
  <si>
    <t>Segunda Sesión muestras de verificación hechas por nosotrs</t>
  </si>
  <si>
    <t>Cuadrícula #1</t>
  </si>
  <si>
    <t>Cuadrícula #2</t>
  </si>
  <si>
    <t>Cuadrícula #3</t>
  </si>
  <si>
    <t>Total Datos</t>
  </si>
  <si>
    <t>16 Mediciones</t>
  </si>
  <si>
    <t>3 bolazos por ubicación - No Onda P</t>
  </si>
  <si>
    <t>1 bolazo por ubicación - No Onda P</t>
  </si>
  <si>
    <t>48 Mediciones</t>
  </si>
  <si>
    <t>Cuadrícula de la parte superior no muy bien compactada y nueva (4x4 de 50 cm)</t>
  </si>
  <si>
    <t>Cuadrícula Inferior con varios días dejadas y bien compactada (4x4 de 50 cm)</t>
  </si>
  <si>
    <t>Cuadrícula intermedia ubicada en el medio de las dos (4x4 de 50 cm)</t>
  </si>
  <si>
    <t>7 Probetas</t>
  </si>
  <si>
    <t xml:space="preserve">Altura </t>
  </si>
  <si>
    <t>Volumen</t>
  </si>
  <si>
    <t>Masa</t>
  </si>
  <si>
    <t>Densidad</t>
  </si>
  <si>
    <t>Humedad</t>
  </si>
  <si>
    <t>g/cm3</t>
  </si>
  <si>
    <t>%</t>
  </si>
  <si>
    <t>cm3</t>
  </si>
  <si>
    <t>g</t>
  </si>
  <si>
    <t>-</t>
  </si>
  <si>
    <t>Probeta</t>
  </si>
  <si>
    <t>Energía</t>
  </si>
  <si>
    <t>Golpes</t>
  </si>
  <si>
    <t>Masa 1</t>
  </si>
  <si>
    <t>Masa 2</t>
  </si>
  <si>
    <t>Masa 3</t>
  </si>
  <si>
    <t>Masa 4</t>
  </si>
  <si>
    <t>Masa 5</t>
  </si>
  <si>
    <t>Masa 6</t>
  </si>
  <si>
    <t>Masa 7</t>
  </si>
  <si>
    <t>Diámetro</t>
  </si>
  <si>
    <t>mm</t>
  </si>
  <si>
    <t>Datos Probetas</t>
  </si>
  <si>
    <t>Análisis Velocidad Onda P</t>
  </si>
  <si>
    <t>TV1</t>
  </si>
  <si>
    <t>TV2</t>
  </si>
  <si>
    <t>TV3</t>
  </si>
  <si>
    <t>TV prom</t>
  </si>
  <si>
    <t>us</t>
  </si>
  <si>
    <t>Mod E</t>
  </si>
  <si>
    <t>Mpa</t>
  </si>
  <si>
    <t>Mod. E Pelotazo</t>
  </si>
  <si>
    <t>TOF1</t>
  </si>
  <si>
    <t>TOF2</t>
  </si>
  <si>
    <t>TOF3</t>
  </si>
  <si>
    <t>TOF Prom</t>
  </si>
  <si>
    <t>s</t>
  </si>
  <si>
    <t>MEDICIÓN #1</t>
  </si>
  <si>
    <t>Den. Seca</t>
  </si>
  <si>
    <t>GS</t>
  </si>
  <si>
    <t>e</t>
  </si>
  <si>
    <t>Saturación</t>
  </si>
  <si>
    <t>Poisson</t>
  </si>
  <si>
    <t>MEDICIÓN #2</t>
  </si>
  <si>
    <t>M1 - Mod</t>
  </si>
  <si>
    <t>M3 - Mod</t>
  </si>
  <si>
    <t>M2 - Mod</t>
  </si>
  <si>
    <t>M1 - Est</t>
  </si>
  <si>
    <t>M2 - Est</t>
  </si>
  <si>
    <t>M3 - Est</t>
  </si>
  <si>
    <t>M4 - Est</t>
  </si>
  <si>
    <t>MEDICIÓN #3</t>
  </si>
  <si>
    <t>MEDICIÓN #4</t>
  </si>
  <si>
    <t>M4 - Mod</t>
  </si>
  <si>
    <t>M5 - Mod</t>
  </si>
  <si>
    <t>M6 - Mod</t>
  </si>
  <si>
    <t>M5 - Est</t>
  </si>
  <si>
    <t>M6 - Est</t>
  </si>
  <si>
    <t>56 Golpes Mod</t>
  </si>
  <si>
    <t>25 Golpes Mod</t>
  </si>
  <si>
    <t>TV4</t>
  </si>
  <si>
    <t>TV5</t>
  </si>
  <si>
    <t>TOF4</t>
  </si>
  <si>
    <t>TOF5</t>
  </si>
  <si>
    <t>E1</t>
  </si>
  <si>
    <t>E2</t>
  </si>
  <si>
    <t>E3</t>
  </si>
  <si>
    <t>E4</t>
  </si>
  <si>
    <t>E5</t>
  </si>
  <si>
    <t>Diferencia</t>
  </si>
  <si>
    <t>% Error</t>
  </si>
  <si>
    <t>Analisis Errores</t>
  </si>
  <si>
    <t>9 Probetas</t>
  </si>
  <si>
    <t>8 Probetas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</si>
</sst>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3" borderId="2" xfId="0" applyFont="1" applyFill="1" applyBorder="1" applyAlignment="1">
      <alignment horizontal="center"/>
    </xf>
    <xf numFmtId="2" fontId="0" fillId="2" borderId="1" xfId="1" applyNumberFormat="1" applyFont="1" applyFill="1" applyBorder="1" applyAlignment="1">
      <alignment horizontal="center"/>
    </xf>
    <xf numFmtId="0" fontId="10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/>
    <xf numFmtId="0" fontId="13" fillId="3" borderId="6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2" borderId="1" xfId="0" applyFont="1" applyFill="1" applyBorder="1"/>
    <xf numFmtId="9" fontId="10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CurvasCompactación!$B$4</c:f>
              <c:strCache>
                <c:ptCount val="1"/>
                <c:pt idx="0">
                  <c:v>56 Golpes Mod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CurvasCompactación!$B$6:$B$11</c:f>
              <c:numCache>
                <c:formatCode>0.00%</c:formatCode>
                <c:ptCount val="6"/>
                <c:pt idx="0">
                  <c:v>0.11805225653206648</c:v>
                </c:pt>
                <c:pt idx="1">
                  <c:v>9.6678107984795758E-2</c:v>
                </c:pt>
                <c:pt idx="2">
                  <c:v>8.0713111267325499E-2</c:v>
                </c:pt>
                <c:pt idx="3">
                  <c:v>0.1430861723446894</c:v>
                </c:pt>
                <c:pt idx="4">
                  <c:v>0.17279256442754556</c:v>
                </c:pt>
                <c:pt idx="5">
                  <c:v>0.1863437537080784</c:v>
                </c:pt>
              </c:numCache>
            </c:numRef>
          </c:xVal>
          <c:yVal>
            <c:numRef>
              <c:f>CurvasCompactación!$C$6:$C$11</c:f>
              <c:numCache>
                <c:formatCode>0.00</c:formatCode>
                <c:ptCount val="6"/>
                <c:pt idx="0">
                  <c:v>1.763728134637909</c:v>
                </c:pt>
                <c:pt idx="1">
                  <c:v>1.6822689096024417</c:v>
                </c:pt>
                <c:pt idx="2">
                  <c:v>1.6483733962172045</c:v>
                </c:pt>
                <c:pt idx="3">
                  <c:v>1.7772421994397172</c:v>
                </c:pt>
                <c:pt idx="4">
                  <c:v>1.6951263354634258</c:v>
                </c:pt>
                <c:pt idx="5">
                  <c:v>1.6321784584194605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6-418C-9430-9CFDB933A725}"/>
            </c:ext>
          </c:extLst>
        </c:ser>
        <c:ser>
          <c:idx val="1"/>
          <c:order val="1"/>
          <c:tx>
            <c:strRef>
              <c:f>CurvasCompactación!$B$13</c:f>
              <c:strCache>
                <c:ptCount val="1"/>
                <c:pt idx="0">
                  <c:v>25 Golpes Mod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CurvasCompactación!$B$15:$B$18</c:f>
              <c:numCache>
                <c:formatCode>0.00%</c:formatCode>
                <c:ptCount val="4"/>
                <c:pt idx="0">
                  <c:v>0.11843409316154611</c:v>
                </c:pt>
                <c:pt idx="1">
                  <c:v>0.13297332509443671</c:v>
                </c:pt>
                <c:pt idx="2">
                  <c:v>0.15578764142732804</c:v>
                </c:pt>
                <c:pt idx="3">
                  <c:v>0.16935064935064942</c:v>
                </c:pt>
              </c:numCache>
            </c:numRef>
          </c:xVal>
          <c:yVal>
            <c:numRef>
              <c:f>CurvasCompactación!$C$15:$C$18</c:f>
              <c:numCache>
                <c:formatCode>0.00</c:formatCode>
                <c:ptCount val="4"/>
                <c:pt idx="0">
                  <c:v>1.6584291622044007</c:v>
                </c:pt>
                <c:pt idx="1">
                  <c:v>1.6867190368361413</c:v>
                </c:pt>
                <c:pt idx="2">
                  <c:v>1.678484887889131</c:v>
                </c:pt>
                <c:pt idx="3">
                  <c:v>1.601954608561813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6-418C-9430-9CFDB933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61935"/>
        <c:axId val="293849215"/>
      </c:scatterChart>
      <c:valAx>
        <c:axId val="279661935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49215"/>
        <c:crosses val="autoZero"/>
        <c:crossBetween val="midCat"/>
      </c:valAx>
      <c:valAx>
        <c:axId val="2938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267555</xdr:colOff>
      <xdr:row>58</xdr:row>
      <xdr:rowOff>53512</xdr:rowOff>
    </xdr:from>
    <xdr:to>
      <xdr:col>17</xdr:col>
      <xdr:colOff>195807</xdr:colOff>
      <xdr:row>74</xdr:row>
      <xdr:rowOff>117725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F851DD-4E96-42F8-A343-DB8E0C631E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30" b="2400"/>
        <a:stretch/>
      </xdr:blipFill>
      <xdr:spPr>
        <a:xfrm>
          <a:off x="6742415" y="10884186"/>
          <a:ext cx="4556974" cy="2975224"/>
        </a:xfrm>
        <a:prstGeom prst="rect">
          <a:avLst/>
        </a:prstGeom>
      </xdr:spPr>
    </xdr:pic>
    <xdr:clientData/>
  </xdr:twoCellAnchor>
  <xdr:twoCellAnchor>
    <xdr:from>
      <xdr:col>11</xdr:col>
      <xdr:colOff>508870</xdr:colOff>
      <xdr:row>65</xdr:row>
      <xdr:rowOff>104730</xdr:rowOff>
    </xdr:from>
    <xdr:to>
      <xdr:col>16</xdr:col>
      <xdr:colOff>411010</xdr:colOff>
      <xdr:row>65</xdr:row>
      <xdr:rowOff>121040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EEC712-BDB7-62D6-CE76-4E62D2721333}"/>
            </a:ext>
          </a:extLst>
        </xdr:cNvPr>
        <xdr:cNvCxnSpPr/>
      </xdr:nvCxnSpPr>
      <xdr:spPr>
        <a:xfrm flipV="1">
          <a:off x="7618603" y="12235499"/>
          <a:ext cx="3229086" cy="16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528343</xdr:colOff>
      <xdr:row>59</xdr:row>
      <xdr:rowOff>9848</xdr:rowOff>
    </xdr:from>
    <xdr:to>
      <xdr:col>14</xdr:col>
      <xdr:colOff>534223</xdr:colOff>
      <xdr:row>71</xdr:row>
      <xdr:rowOff>92163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4AF48E0-D159-8156-EBD7-4C99D16AC2B1}"/>
            </a:ext>
          </a:extLst>
        </xdr:cNvPr>
        <xdr:cNvCxnSpPr/>
      </xdr:nvCxnSpPr>
      <xdr:spPr>
        <a:xfrm flipV="1">
          <a:off x="9672343" y="11038438"/>
          <a:ext cx="5880" cy="22866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0</xdr:colOff>
      <xdr:row>61</xdr:row>
      <xdr:rowOff>0</xdr:rowOff>
    </xdr:from>
    <xdr:ext cx="180382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7">
              <a:extLst>
                <a:ext uri="{FF2B5EF4-FFF2-40B4-BE49-F238E27FC236}">
                  <a16:creationId xmlns:a16="http://schemas.microsoft.com/office/drawing/2014/main" id="{9E1713CD-3AFE-4FF4-8253-5D4F216FC83B}"/>
                </a:ext>
              </a:extLst>
            </xdr:cNvPr>
            <xdr:cNvSpPr txBox="1"/>
          </xdr:nvSpPr>
          <xdr:spPr>
            <a:xfrm>
              <a:off x="11760730" y="11310938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)(1−2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7">
              <a:extLst>
                <a:ext uri="{FF2B5EF4-FFF2-40B4-BE49-F238E27FC236}">
                  <a16:creationId xmlns:a16="http://schemas.microsoft.com/office/drawing/2014/main" id="{9E1713CD-3AFE-4FF4-8253-5D4F216FC83B}"/>
                </a:ext>
              </a:extLst>
            </xdr:cNvPr>
            <xdr:cNvSpPr txBox="1"/>
          </xdr:nvSpPr>
          <xdr:spPr>
            <a:xfrm>
              <a:off x="11760730" y="11310938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𝐸=〖𝑉𝑝〗^2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∙(𝑝∙(1+𝑢)(1−2𝑢))/((1−𝑢))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511968</xdr:colOff>
      <xdr:row>2</xdr:row>
      <xdr:rowOff>123825</xdr:rowOff>
    </xdr:from>
    <xdr:to>
      <xdr:col>11</xdr:col>
      <xdr:colOff>550068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8E317-C905-D5BF-2431-315D700F6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1F8E-DE0D-402B-9454-2E9E08558670}">
  <dimension ref="B3:F10"/>
  <sheetViews>
    <sheetView workbookViewId="0">
      <selection activeCell="B5" sqref="B5:D5"/>
    </sheetView>
  </sheetViews>
  <sheetFormatPr defaultRowHeight="14.25" x14ac:dyDescent="0.45"/>
  <cols>
    <col min="1" max="1" width="9.06640625" style="1"/>
    <col min="2" max="2" width="12.06640625" style="1" customWidth="1"/>
    <col min="3" max="3" width="10.73046875" style="1" customWidth="1"/>
    <col min="4" max="4" width="64.73046875" style="1" customWidth="1"/>
    <col min="5" max="5" width="30.33203125" style="1" customWidth="1"/>
    <col min="6" max="6" width="13.06640625" style="1" customWidth="1"/>
    <col min="7" max="16384" width="9.06640625" style="1"/>
  </cols>
  <sheetData>
    <row r="3" spans="2:6" x14ac:dyDescent="0.45">
      <c r="B3" s="6"/>
      <c r="C3" s="6" t="s">
        <v>3</v>
      </c>
      <c r="D3" s="6" t="s">
        <v>4</v>
      </c>
      <c r="E3" s="6" t="s">
        <v>5</v>
      </c>
      <c r="F3" s="6" t="s">
        <v>14</v>
      </c>
    </row>
    <row r="4" spans="2:6" x14ac:dyDescent="0.45">
      <c r="B4" s="6" t="s">
        <v>0</v>
      </c>
      <c r="C4" s="3">
        <v>45581</v>
      </c>
      <c r="D4" s="5" t="s">
        <v>6</v>
      </c>
      <c r="E4" s="4"/>
      <c r="F4" s="4" t="s">
        <v>22</v>
      </c>
    </row>
    <row r="5" spans="2:6" x14ac:dyDescent="0.45">
      <c r="B5" s="6" t="s">
        <v>1</v>
      </c>
      <c r="C5" s="3">
        <v>45609</v>
      </c>
      <c r="D5" s="5" t="s">
        <v>7</v>
      </c>
      <c r="E5" s="4"/>
      <c r="F5" s="4" t="s">
        <v>95</v>
      </c>
    </row>
    <row r="6" spans="2:6" x14ac:dyDescent="0.45">
      <c r="B6" s="6" t="s">
        <v>2</v>
      </c>
      <c r="C6" s="3">
        <v>45626</v>
      </c>
      <c r="D6" s="5" t="s">
        <v>8</v>
      </c>
      <c r="E6" s="4"/>
      <c r="F6" s="4" t="s">
        <v>96</v>
      </c>
    </row>
    <row r="7" spans="2:6" x14ac:dyDescent="0.45">
      <c r="B7" s="6" t="s">
        <v>9</v>
      </c>
      <c r="C7" s="3">
        <v>45633</v>
      </c>
      <c r="D7" s="5" t="s">
        <v>10</v>
      </c>
      <c r="E7" s="4"/>
      <c r="F7" s="4" t="s">
        <v>96</v>
      </c>
    </row>
    <row r="8" spans="2:6" x14ac:dyDescent="0.45">
      <c r="B8" s="6" t="s">
        <v>11</v>
      </c>
      <c r="C8" s="3">
        <v>45634</v>
      </c>
      <c r="D8" s="2" t="s">
        <v>19</v>
      </c>
      <c r="E8" s="2" t="s">
        <v>16</v>
      </c>
      <c r="F8" s="2" t="s">
        <v>18</v>
      </c>
    </row>
    <row r="9" spans="2:6" x14ac:dyDescent="0.45">
      <c r="B9" s="6" t="s">
        <v>12</v>
      </c>
      <c r="C9" s="3">
        <v>45634</v>
      </c>
      <c r="D9" s="2" t="s">
        <v>20</v>
      </c>
      <c r="E9" s="2" t="s">
        <v>16</v>
      </c>
      <c r="F9" s="2" t="s">
        <v>18</v>
      </c>
    </row>
    <row r="10" spans="2:6" x14ac:dyDescent="0.45">
      <c r="B10" s="6" t="s">
        <v>13</v>
      </c>
      <c r="C10" s="3">
        <v>45634</v>
      </c>
      <c r="D10" s="2" t="s">
        <v>21</v>
      </c>
      <c r="E10" s="2" t="s">
        <v>17</v>
      </c>
      <c r="F10" s="2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9E85-1338-4EAF-81C4-AE0341C29C7F}">
  <dimension ref="B1:AL56"/>
  <sheetViews>
    <sheetView tabSelected="1" topLeftCell="A30" zoomScale="70" zoomScaleNormal="70" workbookViewId="0">
      <selection activeCell="M54" sqref="M54"/>
    </sheetView>
  </sheetViews>
  <sheetFormatPr defaultRowHeight="14.25" x14ac:dyDescent="0.45"/>
  <cols>
    <col min="1" max="12" width="9.06640625" style="17"/>
    <col min="13" max="13" width="10.3984375" style="17" customWidth="1"/>
    <col min="14" max="14" width="9.06640625" style="17"/>
    <col min="15" max="15" width="9.06640625" style="26"/>
    <col min="16" max="21" width="9.06640625" style="17"/>
    <col min="22" max="22" width="9.06640625" style="27"/>
    <col min="23" max="28" width="9.06640625" style="17"/>
    <col min="29" max="29" width="10.19921875" style="17" customWidth="1"/>
    <col min="30" max="34" width="9.06640625" style="17"/>
    <col min="35" max="35" width="9.06640625" style="27"/>
    <col min="36" max="36" width="9.06640625" style="17"/>
    <col min="37" max="37" width="9.796875" style="17" customWidth="1"/>
    <col min="38" max="16384" width="9.06640625" style="17"/>
  </cols>
  <sheetData>
    <row r="1" spans="2:35" ht="14.65" hidden="1" thickBot="1" x14ac:dyDescent="0.5"/>
    <row r="2" spans="2:35" ht="14.65" hidden="1" thickBot="1" x14ac:dyDescent="0.5">
      <c r="B2" s="34" t="s">
        <v>60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</row>
    <row r="3" spans="2:35" ht="14.65" hidden="1" thickBot="1" x14ac:dyDescent="0.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0"/>
      <c r="P3" s="1"/>
      <c r="Q3" s="1"/>
      <c r="R3" s="1"/>
      <c r="S3" s="1"/>
      <c r="T3" s="1"/>
      <c r="U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2:35" ht="16.149999999999999" hidden="1" thickBot="1" x14ac:dyDescent="0.55000000000000004">
      <c r="B4" s="31" t="s">
        <v>45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1"/>
      <c r="O4" s="31" t="s">
        <v>46</v>
      </c>
      <c r="P4" s="32"/>
      <c r="Q4" s="32"/>
      <c r="R4" s="32"/>
      <c r="S4" s="32"/>
      <c r="T4" s="32"/>
      <c r="U4" s="32"/>
      <c r="V4" s="33"/>
      <c r="W4" s="1"/>
      <c r="X4" s="31" t="s">
        <v>54</v>
      </c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3"/>
    </row>
    <row r="5" spans="2:35" ht="15.75" hidden="1" x14ac:dyDescent="0.5">
      <c r="B5" s="15" t="s">
        <v>33</v>
      </c>
      <c r="C5" s="15" t="s">
        <v>34</v>
      </c>
      <c r="D5" s="15" t="s">
        <v>23</v>
      </c>
      <c r="E5" s="15" t="s">
        <v>43</v>
      </c>
      <c r="F5" s="7" t="s">
        <v>24</v>
      </c>
      <c r="G5" s="15" t="s">
        <v>25</v>
      </c>
      <c r="H5" s="7" t="s">
        <v>26</v>
      </c>
      <c r="I5" s="15" t="s">
        <v>27</v>
      </c>
      <c r="J5" s="7" t="s">
        <v>61</v>
      </c>
      <c r="K5" s="15" t="s">
        <v>62</v>
      </c>
      <c r="L5" s="7" t="s">
        <v>63</v>
      </c>
      <c r="M5" s="7" t="s">
        <v>64</v>
      </c>
      <c r="N5" s="1"/>
      <c r="O5" s="15" t="s">
        <v>65</v>
      </c>
      <c r="P5" s="15" t="s">
        <v>47</v>
      </c>
      <c r="Q5" s="15" t="s">
        <v>48</v>
      </c>
      <c r="R5" s="15" t="s">
        <v>49</v>
      </c>
      <c r="S5" s="15" t="s">
        <v>83</v>
      </c>
      <c r="T5" s="15" t="s">
        <v>84</v>
      </c>
      <c r="U5" s="7" t="s">
        <v>50</v>
      </c>
      <c r="V5" s="28" t="s">
        <v>52</v>
      </c>
      <c r="W5" s="1"/>
      <c r="X5" s="7" t="s">
        <v>55</v>
      </c>
      <c r="Y5" s="7" t="s">
        <v>56</v>
      </c>
      <c r="Z5" s="7" t="s">
        <v>57</v>
      </c>
      <c r="AA5" s="7" t="s">
        <v>85</v>
      </c>
      <c r="AB5" s="7" t="s">
        <v>86</v>
      </c>
      <c r="AC5" s="7" t="s">
        <v>58</v>
      </c>
      <c r="AD5" s="7" t="s">
        <v>87</v>
      </c>
      <c r="AE5" s="7" t="s">
        <v>88</v>
      </c>
      <c r="AF5" s="7" t="s">
        <v>89</v>
      </c>
      <c r="AG5" s="7" t="s">
        <v>90</v>
      </c>
      <c r="AH5" s="7" t="s">
        <v>91</v>
      </c>
      <c r="AI5" s="30" t="s">
        <v>52</v>
      </c>
    </row>
    <row r="6" spans="2:35" ht="15.75" hidden="1" x14ac:dyDescent="0.5">
      <c r="B6" s="8" t="s">
        <v>32</v>
      </c>
      <c r="C6" s="8" t="s">
        <v>35</v>
      </c>
      <c r="D6" s="8" t="s">
        <v>44</v>
      </c>
      <c r="E6" s="8" t="s">
        <v>44</v>
      </c>
      <c r="F6" s="9" t="s">
        <v>30</v>
      </c>
      <c r="G6" s="8" t="s">
        <v>31</v>
      </c>
      <c r="H6" s="10" t="s">
        <v>28</v>
      </c>
      <c r="I6" s="9" t="s">
        <v>29</v>
      </c>
      <c r="J6" s="10" t="s">
        <v>28</v>
      </c>
      <c r="K6" s="9" t="s">
        <v>32</v>
      </c>
      <c r="L6" s="9" t="s">
        <v>32</v>
      </c>
      <c r="M6" s="9" t="s">
        <v>29</v>
      </c>
      <c r="N6" s="1"/>
      <c r="O6" s="8" t="s">
        <v>32</v>
      </c>
      <c r="P6" s="8" t="s">
        <v>51</v>
      </c>
      <c r="Q6" s="8" t="s">
        <v>51</v>
      </c>
      <c r="R6" s="8" t="s">
        <v>51</v>
      </c>
      <c r="S6" s="8" t="s">
        <v>51</v>
      </c>
      <c r="T6" s="8" t="s">
        <v>51</v>
      </c>
      <c r="U6" s="8" t="s">
        <v>51</v>
      </c>
      <c r="V6" s="29" t="s">
        <v>53</v>
      </c>
      <c r="W6" s="1"/>
      <c r="X6" s="8" t="s">
        <v>59</v>
      </c>
      <c r="Y6" s="8" t="s">
        <v>59</v>
      </c>
      <c r="Z6" s="8" t="s">
        <v>59</v>
      </c>
      <c r="AA6" s="8" t="s">
        <v>59</v>
      </c>
      <c r="AB6" s="8" t="s">
        <v>59</v>
      </c>
      <c r="AC6" s="8" t="s">
        <v>59</v>
      </c>
      <c r="AD6" s="10" t="s">
        <v>53</v>
      </c>
      <c r="AE6" s="10" t="s">
        <v>53</v>
      </c>
      <c r="AF6" s="10" t="s">
        <v>53</v>
      </c>
      <c r="AG6" s="10" t="s">
        <v>53</v>
      </c>
      <c r="AH6" s="10" t="s">
        <v>53</v>
      </c>
      <c r="AI6" s="29" t="s">
        <v>53</v>
      </c>
    </row>
    <row r="7" spans="2:35" hidden="1" x14ac:dyDescent="0.45">
      <c r="B7" s="4" t="s">
        <v>36</v>
      </c>
      <c r="C7" s="4">
        <v>25</v>
      </c>
      <c r="D7" s="4">
        <v>116.5</v>
      </c>
      <c r="E7" s="11">
        <v>102</v>
      </c>
      <c r="F7" s="12">
        <f>(D7/10)*(PI()/4)*((E7/10)^2)</f>
        <v>951.95441031649148</v>
      </c>
      <c r="G7" s="4">
        <v>1931.1999999999998</v>
      </c>
      <c r="H7" s="12">
        <f>G7/F7</f>
        <v>2.0286685781075833</v>
      </c>
      <c r="I7" s="13">
        <v>0.13873393160320133</v>
      </c>
      <c r="J7" s="12">
        <f>H7/(1+I7)</f>
        <v>1.7815123636927728</v>
      </c>
      <c r="K7" s="16">
        <v>2.5</v>
      </c>
      <c r="L7" s="11">
        <f t="shared" ref="L7:L13" si="0">K7/J7-1</f>
        <v>0.40330207690387532</v>
      </c>
      <c r="M7" s="13">
        <f t="shared" ref="M7:M13" si="1">I7*(K7/L7)</f>
        <v>0.85998770864418173</v>
      </c>
      <c r="N7" s="1"/>
      <c r="O7" s="4"/>
      <c r="P7" s="2"/>
      <c r="Q7" s="2"/>
      <c r="R7" s="2"/>
      <c r="S7" s="2"/>
      <c r="T7" s="2"/>
      <c r="U7" s="2"/>
      <c r="V7" s="14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2:35" hidden="1" x14ac:dyDescent="0.45">
      <c r="B8" s="4" t="s">
        <v>37</v>
      </c>
      <c r="C8" s="4">
        <v>25</v>
      </c>
      <c r="D8" s="4">
        <v>117.7</v>
      </c>
      <c r="E8" s="11">
        <v>101.8</v>
      </c>
      <c r="F8" s="12">
        <f t="shared" ref="F8:F13" si="2">(D8/10)*(PI()/4)*((E8/10)^2)</f>
        <v>957.99203931708848</v>
      </c>
      <c r="G8" s="4">
        <v>1925</v>
      </c>
      <c r="H8" s="12">
        <f t="shared" ref="H8:H12" si="3">G8/F8</f>
        <v>2.0094112696095574</v>
      </c>
      <c r="I8" s="13">
        <v>0.16541570438799089</v>
      </c>
      <c r="J8" s="12">
        <f t="shared" ref="J8:J12" si="4">H8/(1+I8)</f>
        <v>1.7242012974801848</v>
      </c>
      <c r="K8" s="16">
        <v>2.5</v>
      </c>
      <c r="L8" s="11">
        <f t="shared" si="0"/>
        <v>0.44994671077767867</v>
      </c>
      <c r="M8" s="13">
        <f t="shared" si="1"/>
        <v>0.91908497398552924</v>
      </c>
      <c r="N8" s="1"/>
      <c r="O8" s="4"/>
      <c r="P8" s="2"/>
      <c r="Q8" s="2"/>
      <c r="R8" s="2"/>
      <c r="S8" s="2"/>
      <c r="T8" s="2"/>
      <c r="U8" s="2"/>
      <c r="V8" s="14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2:35" hidden="1" x14ac:dyDescent="0.45">
      <c r="B9" s="4" t="s">
        <v>38</v>
      </c>
      <c r="C9" s="4">
        <v>25</v>
      </c>
      <c r="D9" s="4">
        <v>116.9</v>
      </c>
      <c r="E9" s="11">
        <v>101.1</v>
      </c>
      <c r="F9" s="12">
        <f t="shared" si="2"/>
        <v>938.44041676268716</v>
      </c>
      <c r="G9" s="4">
        <v>1837</v>
      </c>
      <c r="H9" s="12">
        <f t="shared" si="3"/>
        <v>1.9575030733832306</v>
      </c>
      <c r="I9" s="13">
        <v>0.18396770472895047</v>
      </c>
      <c r="J9" s="12">
        <f t="shared" si="4"/>
        <v>1.6533416119077065</v>
      </c>
      <c r="K9" s="16">
        <v>2.5</v>
      </c>
      <c r="L9" s="11">
        <f t="shared" si="0"/>
        <v>0.51208920285710202</v>
      </c>
      <c r="M9" s="13">
        <f t="shared" si="1"/>
        <v>0.89812333331057592</v>
      </c>
      <c r="N9" s="1"/>
      <c r="O9" s="4"/>
      <c r="P9" s="2"/>
      <c r="Q9" s="2"/>
      <c r="R9" s="2"/>
      <c r="S9" s="2"/>
      <c r="T9" s="2"/>
      <c r="U9" s="2"/>
      <c r="V9" s="14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2:35" hidden="1" x14ac:dyDescent="0.45">
      <c r="B10" s="4" t="s">
        <v>39</v>
      </c>
      <c r="C10" s="4">
        <v>25</v>
      </c>
      <c r="D10" s="11">
        <f>AVERAGE(D9,D12)</f>
        <v>116.69</v>
      </c>
      <c r="E10" s="11">
        <v>102.2</v>
      </c>
      <c r="F10" s="12">
        <f t="shared" si="2"/>
        <v>957.24986287126012</v>
      </c>
      <c r="G10" s="4">
        <v>1795.5</v>
      </c>
      <c r="H10" s="12">
        <f t="shared" si="3"/>
        <v>1.8756858262840781</v>
      </c>
      <c r="I10" s="13">
        <v>0.10371452420701166</v>
      </c>
      <c r="J10" s="12">
        <f t="shared" si="4"/>
        <v>1.6994302286922485</v>
      </c>
      <c r="K10" s="16">
        <v>2.5</v>
      </c>
      <c r="L10" s="11">
        <f t="shared" si="0"/>
        <v>0.47108128229766089</v>
      </c>
      <c r="M10" s="13">
        <f t="shared" si="1"/>
        <v>0.55040673501795945</v>
      </c>
      <c r="N10" s="1"/>
      <c r="O10" s="4"/>
      <c r="P10" s="2"/>
      <c r="Q10" s="2"/>
      <c r="R10" s="2"/>
      <c r="S10" s="2"/>
      <c r="T10" s="2"/>
      <c r="U10" s="2"/>
      <c r="V10" s="14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2:35" hidden="1" x14ac:dyDescent="0.45">
      <c r="B11" s="4" t="s">
        <v>40</v>
      </c>
      <c r="C11" s="4">
        <v>25</v>
      </c>
      <c r="D11" s="11">
        <v>118.3</v>
      </c>
      <c r="E11" s="11">
        <v>101.5</v>
      </c>
      <c r="F11" s="12">
        <f t="shared" si="2"/>
        <v>957.20886147429917</v>
      </c>
      <c r="G11" s="4">
        <v>1943.5</v>
      </c>
      <c r="H11" s="12">
        <f t="shared" si="3"/>
        <v>2.0303823734003141</v>
      </c>
      <c r="I11" s="13">
        <v>0.15280665280665287</v>
      </c>
      <c r="J11" s="12">
        <f t="shared" si="4"/>
        <v>1.7612514366195688</v>
      </c>
      <c r="K11" s="16">
        <v>2.5</v>
      </c>
      <c r="L11" s="11">
        <f t="shared" si="0"/>
        <v>0.41944525808213795</v>
      </c>
      <c r="M11" s="13">
        <f t="shared" si="1"/>
        <v>0.91076636260797528</v>
      </c>
      <c r="N11" s="1"/>
      <c r="O11" s="4"/>
      <c r="P11" s="2"/>
      <c r="Q11" s="2"/>
      <c r="R11" s="2"/>
      <c r="S11" s="2"/>
      <c r="T11" s="2"/>
      <c r="U11" s="2"/>
      <c r="V11" s="14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2:35" hidden="1" x14ac:dyDescent="0.45">
      <c r="B12" s="4" t="s">
        <v>41</v>
      </c>
      <c r="C12" s="4">
        <v>25</v>
      </c>
      <c r="D12" s="11">
        <v>116.48</v>
      </c>
      <c r="E12" s="11">
        <v>101.8</v>
      </c>
      <c r="F12" s="12">
        <f t="shared" si="2"/>
        <v>948.06213032841515</v>
      </c>
      <c r="G12" s="4">
        <v>1888.5</v>
      </c>
      <c r="H12" s="12">
        <f t="shared" si="3"/>
        <v>1.9919580580080873</v>
      </c>
      <c r="I12" s="13">
        <v>0.17336268574573463</v>
      </c>
      <c r="J12" s="12">
        <f t="shared" si="4"/>
        <v>1.697649057880251</v>
      </c>
      <c r="K12" s="16">
        <v>2.5</v>
      </c>
      <c r="L12" s="11">
        <f t="shared" si="0"/>
        <v>0.47262473854378051</v>
      </c>
      <c r="M12" s="13">
        <f t="shared" si="1"/>
        <v>0.91702079687940186</v>
      </c>
      <c r="N12" s="1"/>
      <c r="O12" s="4"/>
      <c r="P12" s="2"/>
      <c r="Q12" s="2"/>
      <c r="R12" s="2"/>
      <c r="S12" s="2"/>
      <c r="T12" s="2"/>
      <c r="U12" s="2"/>
      <c r="V12" s="14"/>
      <c r="W12" s="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2:35" hidden="1" x14ac:dyDescent="0.45">
      <c r="B13" s="4" t="s">
        <v>42</v>
      </c>
      <c r="C13" s="4">
        <v>25</v>
      </c>
      <c r="D13" s="11">
        <v>115.88</v>
      </c>
      <c r="E13" s="11">
        <v>101.5</v>
      </c>
      <c r="F13" s="12">
        <f t="shared" si="2"/>
        <v>937.62775036045457</v>
      </c>
      <c r="G13" s="4">
        <v>1918.5</v>
      </c>
      <c r="H13" s="12">
        <f>G13/F13</f>
        <v>2.0461211811003528</v>
      </c>
      <c r="I13" s="13">
        <v>0.19547775346462432</v>
      </c>
      <c r="J13" s="12">
        <f>H13/(1+I13)</f>
        <v>1.7115510306824793</v>
      </c>
      <c r="K13" s="16">
        <v>2.5</v>
      </c>
      <c r="L13" s="11">
        <f t="shared" si="0"/>
        <v>0.46066343052776371</v>
      </c>
      <c r="M13" s="13">
        <f t="shared" si="1"/>
        <v>1.0608490956221186</v>
      </c>
      <c r="N13" s="1"/>
      <c r="O13" s="4"/>
      <c r="P13" s="2"/>
      <c r="Q13" s="2"/>
      <c r="R13" s="2"/>
      <c r="S13" s="2"/>
      <c r="T13" s="2"/>
      <c r="U13" s="2"/>
      <c r="V13" s="14"/>
      <c r="W13" s="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2:35" ht="14.65" hidden="1" thickBot="1" x14ac:dyDescent="0.5"/>
    <row r="15" spans="2:35" ht="14.65" hidden="1" thickBot="1" x14ac:dyDescent="0.5">
      <c r="B15" s="34" t="s">
        <v>66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6"/>
    </row>
    <row r="16" spans="2:35" ht="14.65" hidden="1" thickBot="1" x14ac:dyDescent="0.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0"/>
      <c r="P16" s="1"/>
      <c r="Q16" s="1"/>
      <c r="R16" s="1"/>
      <c r="S16" s="1"/>
      <c r="T16" s="1"/>
      <c r="U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8" ht="16.149999999999999" hidden="1" thickBot="1" x14ac:dyDescent="0.55000000000000004">
      <c r="B17" s="31" t="s">
        <v>45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  <c r="N17" s="1"/>
      <c r="O17" s="31" t="s">
        <v>46</v>
      </c>
      <c r="P17" s="32"/>
      <c r="Q17" s="32"/>
      <c r="R17" s="32"/>
      <c r="S17" s="32"/>
      <c r="T17" s="32"/>
      <c r="U17" s="32"/>
      <c r="V17" s="33"/>
      <c r="W17" s="1"/>
      <c r="X17" s="31" t="s">
        <v>54</v>
      </c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3"/>
    </row>
    <row r="18" spans="2:38" ht="15.75" hidden="1" x14ac:dyDescent="0.5">
      <c r="B18" s="15" t="s">
        <v>33</v>
      </c>
      <c r="C18" s="15" t="s">
        <v>34</v>
      </c>
      <c r="D18" s="15" t="s">
        <v>23</v>
      </c>
      <c r="E18" s="15" t="s">
        <v>43</v>
      </c>
      <c r="F18" s="7" t="s">
        <v>24</v>
      </c>
      <c r="G18" s="15" t="s">
        <v>25</v>
      </c>
      <c r="H18" s="7" t="s">
        <v>26</v>
      </c>
      <c r="I18" s="15" t="s">
        <v>27</v>
      </c>
      <c r="J18" s="7" t="s">
        <v>61</v>
      </c>
      <c r="K18" s="15" t="s">
        <v>62</v>
      </c>
      <c r="L18" s="7" t="s">
        <v>63</v>
      </c>
      <c r="M18" s="7" t="s">
        <v>64</v>
      </c>
      <c r="N18" s="1"/>
      <c r="O18" s="15" t="s">
        <v>65</v>
      </c>
      <c r="P18" s="15" t="s">
        <v>47</v>
      </c>
      <c r="Q18" s="15" t="s">
        <v>48</v>
      </c>
      <c r="R18" s="15" t="s">
        <v>49</v>
      </c>
      <c r="S18" s="15" t="s">
        <v>83</v>
      </c>
      <c r="T18" s="15" t="s">
        <v>84</v>
      </c>
      <c r="U18" s="7" t="s">
        <v>50</v>
      </c>
      <c r="V18" s="28" t="s">
        <v>52</v>
      </c>
      <c r="W18" s="1"/>
      <c r="X18" s="15" t="s">
        <v>55</v>
      </c>
      <c r="Y18" s="15" t="s">
        <v>56</v>
      </c>
      <c r="Z18" s="15" t="s">
        <v>57</v>
      </c>
      <c r="AA18" s="15" t="s">
        <v>85</v>
      </c>
      <c r="AB18" s="15" t="s">
        <v>86</v>
      </c>
      <c r="AC18" s="7" t="s">
        <v>58</v>
      </c>
      <c r="AD18" s="15" t="s">
        <v>87</v>
      </c>
      <c r="AE18" s="15" t="s">
        <v>88</v>
      </c>
      <c r="AF18" s="15" t="s">
        <v>89</v>
      </c>
      <c r="AG18" s="15" t="s">
        <v>90</v>
      </c>
      <c r="AH18" s="15" t="s">
        <v>91</v>
      </c>
      <c r="AI18" s="30" t="s">
        <v>52</v>
      </c>
    </row>
    <row r="19" spans="2:38" ht="15.75" hidden="1" x14ac:dyDescent="0.5">
      <c r="B19" s="8" t="s">
        <v>32</v>
      </c>
      <c r="C19" s="8" t="s">
        <v>35</v>
      </c>
      <c r="D19" s="8" t="s">
        <v>44</v>
      </c>
      <c r="E19" s="8" t="s">
        <v>44</v>
      </c>
      <c r="F19" s="9" t="s">
        <v>30</v>
      </c>
      <c r="G19" s="8" t="s">
        <v>31</v>
      </c>
      <c r="H19" s="10" t="s">
        <v>28</v>
      </c>
      <c r="I19" s="9" t="s">
        <v>29</v>
      </c>
      <c r="J19" s="10" t="s">
        <v>28</v>
      </c>
      <c r="K19" s="9" t="s">
        <v>32</v>
      </c>
      <c r="L19" s="9" t="s">
        <v>32</v>
      </c>
      <c r="M19" s="9" t="s">
        <v>29</v>
      </c>
      <c r="N19" s="1"/>
      <c r="O19" s="8" t="s">
        <v>32</v>
      </c>
      <c r="P19" s="8" t="s">
        <v>51</v>
      </c>
      <c r="Q19" s="8" t="s">
        <v>51</v>
      </c>
      <c r="R19" s="8" t="s">
        <v>51</v>
      </c>
      <c r="S19" s="8" t="s">
        <v>51</v>
      </c>
      <c r="T19" s="8" t="s">
        <v>51</v>
      </c>
      <c r="U19" s="8" t="s">
        <v>51</v>
      </c>
      <c r="V19" s="29" t="s">
        <v>53</v>
      </c>
      <c r="W19" s="1"/>
      <c r="X19" s="8" t="s">
        <v>59</v>
      </c>
      <c r="Y19" s="8" t="s">
        <v>59</v>
      </c>
      <c r="Z19" s="8" t="s">
        <v>59</v>
      </c>
      <c r="AA19" s="8" t="s">
        <v>59</v>
      </c>
      <c r="AB19" s="8" t="s">
        <v>59</v>
      </c>
      <c r="AC19" s="8" t="s">
        <v>59</v>
      </c>
      <c r="AD19" s="10" t="s">
        <v>53</v>
      </c>
      <c r="AE19" s="10" t="s">
        <v>53</v>
      </c>
      <c r="AF19" s="10" t="s">
        <v>53</v>
      </c>
      <c r="AG19" s="10" t="s">
        <v>53</v>
      </c>
      <c r="AH19" s="10" t="s">
        <v>53</v>
      </c>
      <c r="AI19" s="29" t="s">
        <v>53</v>
      </c>
    </row>
    <row r="20" spans="2:38" hidden="1" x14ac:dyDescent="0.45">
      <c r="B20" s="4" t="s">
        <v>36</v>
      </c>
      <c r="C20" s="4">
        <v>25</v>
      </c>
      <c r="D20" s="11">
        <v>116.6</v>
      </c>
      <c r="E20" s="11">
        <v>102.7</v>
      </c>
      <c r="F20" s="12">
        <f>(D20/10)*(PI()/4)*((E20/10)^2)</f>
        <v>965.8936679160438</v>
      </c>
      <c r="G20" s="11">
        <v>1886.25</v>
      </c>
      <c r="H20" s="12">
        <f>G20/F20</f>
        <v>1.9528547112951509</v>
      </c>
      <c r="I20" s="13">
        <v>0.20908379013312436</v>
      </c>
      <c r="J20" s="12">
        <f>H20/(1+I20)</f>
        <v>1.6151525040957952</v>
      </c>
      <c r="K20" s="16">
        <v>2.5</v>
      </c>
      <c r="L20" s="11">
        <f t="shared" ref="L20:L28" si="5">K20/J20-1</f>
        <v>0.5478414537700671</v>
      </c>
      <c r="M20" s="13">
        <f t="shared" ref="M20:M28" si="6">I20*(K20/L20)</f>
        <v>0.95412545315016584</v>
      </c>
      <c r="N20" s="1"/>
      <c r="O20" s="4"/>
      <c r="P20" s="2"/>
      <c r="Q20" s="2"/>
      <c r="R20" s="2"/>
      <c r="S20" s="2"/>
      <c r="T20" s="2"/>
      <c r="U20" s="2"/>
      <c r="V20" s="14"/>
      <c r="W20" s="1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2:38" hidden="1" x14ac:dyDescent="0.45">
      <c r="B21" s="4" t="s">
        <v>37</v>
      </c>
      <c r="C21" s="4">
        <v>25</v>
      </c>
      <c r="D21" s="11">
        <v>117.7</v>
      </c>
      <c r="E21" s="11">
        <v>101.9</v>
      </c>
      <c r="F21" s="12">
        <f t="shared" ref="F21:F26" si="7">(D21/10)*(PI()/4)*((E21/10)^2)</f>
        <v>959.87506989834424</v>
      </c>
      <c r="G21" s="11">
        <v>1876.16</v>
      </c>
      <c r="H21" s="12">
        <f t="shared" ref="H21:H25" si="8">G21/F21</f>
        <v>1.954587694624359</v>
      </c>
      <c r="I21" s="13">
        <v>0.17261904761904748</v>
      </c>
      <c r="J21" s="12">
        <f t="shared" ref="J21:J25" si="9">H21/(1+I21)</f>
        <v>1.6668565111517379</v>
      </c>
      <c r="K21" s="16">
        <v>2.5</v>
      </c>
      <c r="L21" s="11">
        <f t="shared" si="5"/>
        <v>0.49982915942332062</v>
      </c>
      <c r="M21" s="13">
        <f t="shared" si="6"/>
        <v>0.86339024226901462</v>
      </c>
      <c r="N21" s="1"/>
      <c r="O21" s="4"/>
      <c r="P21" s="2"/>
      <c r="Q21" s="2"/>
      <c r="R21" s="2"/>
      <c r="S21" s="2"/>
      <c r="T21" s="2"/>
      <c r="U21" s="2"/>
      <c r="V21" s="14"/>
      <c r="W21" s="1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2:38" hidden="1" x14ac:dyDescent="0.45">
      <c r="B22" s="4" t="s">
        <v>38</v>
      </c>
      <c r="C22" s="4">
        <v>25</v>
      </c>
      <c r="D22" s="11">
        <v>116.3</v>
      </c>
      <c r="E22" s="11">
        <v>101.2</v>
      </c>
      <c r="F22" s="12">
        <f t="shared" si="7"/>
        <v>935.47162976920254</v>
      </c>
      <c r="G22" s="11">
        <v>1771.46</v>
      </c>
      <c r="H22" s="12">
        <f t="shared" si="8"/>
        <v>1.8936544344343726</v>
      </c>
      <c r="I22" s="13">
        <v>0.15281757402101256</v>
      </c>
      <c r="J22" s="12">
        <f t="shared" si="9"/>
        <v>1.6426314770942734</v>
      </c>
      <c r="K22" s="16">
        <v>2.5</v>
      </c>
      <c r="L22" s="11">
        <f t="shared" si="5"/>
        <v>0.52194818792975117</v>
      </c>
      <c r="M22" s="13">
        <f t="shared" si="6"/>
        <v>0.73195758484738827</v>
      </c>
      <c r="N22" s="1"/>
      <c r="O22" s="4"/>
      <c r="P22" s="2"/>
      <c r="Q22" s="2"/>
      <c r="R22" s="2"/>
      <c r="S22" s="2"/>
      <c r="T22" s="2"/>
      <c r="U22" s="2"/>
      <c r="V22" s="14"/>
      <c r="W22" s="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2:38" hidden="1" x14ac:dyDescent="0.45">
      <c r="B23" s="4" t="s">
        <v>39</v>
      </c>
      <c r="C23" s="4">
        <v>25</v>
      </c>
      <c r="D23" s="11">
        <v>119</v>
      </c>
      <c r="E23" s="11">
        <v>102</v>
      </c>
      <c r="F23" s="12">
        <f t="shared" si="7"/>
        <v>972.38261654645908</v>
      </c>
      <c r="G23" s="11">
        <v>1591.26</v>
      </c>
      <c r="H23" s="12">
        <f t="shared" si="8"/>
        <v>1.6364545940275679</v>
      </c>
      <c r="I23" s="13">
        <v>9.8525989138867301E-2</v>
      </c>
      <c r="J23" s="12">
        <f t="shared" si="9"/>
        <v>1.4896821834050389</v>
      </c>
      <c r="K23" s="16">
        <v>2.5</v>
      </c>
      <c r="L23" s="11">
        <f t="shared" si="5"/>
        <v>0.67821031079637972</v>
      </c>
      <c r="M23" s="13">
        <f t="shared" si="6"/>
        <v>0.36318376309840539</v>
      </c>
      <c r="N23" s="1"/>
      <c r="O23" s="4"/>
      <c r="P23" s="2"/>
      <c r="Q23" s="2"/>
      <c r="R23" s="2"/>
      <c r="S23" s="2"/>
      <c r="T23" s="2"/>
      <c r="U23" s="2"/>
      <c r="V23" s="14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2:38" hidden="1" x14ac:dyDescent="0.45">
      <c r="B24" s="4" t="s">
        <v>36</v>
      </c>
      <c r="C24" s="4">
        <v>56</v>
      </c>
      <c r="D24" s="11">
        <v>119.6</v>
      </c>
      <c r="E24" s="11">
        <v>101.8</v>
      </c>
      <c r="F24" s="12">
        <f t="shared" si="7"/>
        <v>973.45665167649759</v>
      </c>
      <c r="G24" s="11">
        <v>1936.8</v>
      </c>
      <c r="H24" s="12">
        <f t="shared" si="8"/>
        <v>1.9896109361052925</v>
      </c>
      <c r="I24" s="13">
        <v>0.17013766325450055</v>
      </c>
      <c r="J24" s="12">
        <f t="shared" si="9"/>
        <v>1.7003221061798772</v>
      </c>
      <c r="K24" s="16">
        <v>2.5</v>
      </c>
      <c r="L24" s="11">
        <f t="shared" si="5"/>
        <v>0.47030964951503407</v>
      </c>
      <c r="M24" s="13">
        <f t="shared" si="6"/>
        <v>0.90439173122399374</v>
      </c>
      <c r="N24" s="1"/>
      <c r="O24" s="4"/>
      <c r="P24" s="2"/>
      <c r="Q24" s="2"/>
      <c r="R24" s="2"/>
      <c r="S24" s="2"/>
      <c r="T24" s="2"/>
      <c r="U24" s="2"/>
      <c r="V24" s="14"/>
      <c r="W24" s="1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2:38" hidden="1" x14ac:dyDescent="0.45">
      <c r="B25" s="4" t="s">
        <v>37</v>
      </c>
      <c r="C25" s="4">
        <v>56</v>
      </c>
      <c r="D25" s="11">
        <v>118</v>
      </c>
      <c r="E25" s="11">
        <v>102.3</v>
      </c>
      <c r="F25" s="12">
        <f t="shared" si="7"/>
        <v>969.89150635975852</v>
      </c>
      <c r="G25" s="11">
        <v>1740.16</v>
      </c>
      <c r="H25" s="12">
        <f t="shared" si="8"/>
        <v>1.7941800588926164</v>
      </c>
      <c r="I25" s="13">
        <v>0.11027138440398492</v>
      </c>
      <c r="J25" s="12">
        <f t="shared" si="9"/>
        <v>1.6159833389345317</v>
      </c>
      <c r="K25" s="16">
        <v>2.5</v>
      </c>
      <c r="L25" s="11">
        <f t="shared" si="5"/>
        <v>0.54704565311194853</v>
      </c>
      <c r="M25" s="13">
        <f t="shared" si="6"/>
        <v>0.50394050193384299</v>
      </c>
      <c r="N25" s="1"/>
      <c r="O25" s="4"/>
      <c r="P25" s="2"/>
      <c r="Q25" s="2"/>
      <c r="R25" s="2"/>
      <c r="S25" s="2"/>
      <c r="T25" s="2"/>
      <c r="U25" s="2"/>
      <c r="V25" s="14"/>
      <c r="W25" s="1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2:38" hidden="1" x14ac:dyDescent="0.45">
      <c r="B26" s="4" t="s">
        <v>38</v>
      </c>
      <c r="C26" s="4">
        <v>56</v>
      </c>
      <c r="D26" s="11">
        <v>116.8</v>
      </c>
      <c r="E26" s="11">
        <v>101.9</v>
      </c>
      <c r="F26" s="12">
        <f t="shared" si="7"/>
        <v>952.53532849725241</v>
      </c>
      <c r="G26" s="11">
        <v>1903.78</v>
      </c>
      <c r="H26" s="12">
        <f>G26/F26</f>
        <v>1.9986450297895606</v>
      </c>
      <c r="I26" s="13">
        <v>0.18211382113821126</v>
      </c>
      <c r="J26" s="12">
        <f>H26/(1+I26)</f>
        <v>1.6907382301521046</v>
      </c>
      <c r="K26" s="16">
        <v>2.5</v>
      </c>
      <c r="L26" s="11">
        <f t="shared" si="5"/>
        <v>0.47864403573289493</v>
      </c>
      <c r="M26" s="13">
        <f t="shared" si="6"/>
        <v>0.95119654452269742</v>
      </c>
      <c r="N26" s="1"/>
      <c r="O26" s="4"/>
      <c r="P26" s="2"/>
      <c r="Q26" s="2"/>
      <c r="R26" s="2"/>
      <c r="S26" s="2"/>
      <c r="T26" s="2"/>
      <c r="U26" s="2"/>
      <c r="V26" s="14"/>
      <c r="W26" s="1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2:38" hidden="1" x14ac:dyDescent="0.45">
      <c r="B27" s="4" t="s">
        <v>39</v>
      </c>
      <c r="C27" s="4">
        <v>56</v>
      </c>
      <c r="D27" s="11">
        <v>118</v>
      </c>
      <c r="E27" s="11">
        <v>101.7</v>
      </c>
      <c r="F27" s="12">
        <f t="shared" ref="F27:F28" si="10">(D27/10)*(PI()/4)*((E27/10)^2)</f>
        <v>958.54784360617646</v>
      </c>
      <c r="G27" s="11">
        <v>1839.59</v>
      </c>
      <c r="H27" s="12">
        <f>G27/F27</f>
        <v>1.9191425991625344</v>
      </c>
      <c r="I27" s="13">
        <v>0.14310051107325358</v>
      </c>
      <c r="J27" s="12">
        <f>H27/(1+I27)</f>
        <v>1.6788922588798927</v>
      </c>
      <c r="K27" s="16">
        <v>2.5</v>
      </c>
      <c r="L27" s="11">
        <f t="shared" si="5"/>
        <v>0.48907709043100001</v>
      </c>
      <c r="M27" s="13">
        <f t="shared" si="6"/>
        <v>0.73148238730189763</v>
      </c>
      <c r="N27" s="1"/>
      <c r="O27" s="4"/>
      <c r="P27" s="2"/>
      <c r="Q27" s="2"/>
      <c r="R27" s="2"/>
      <c r="S27" s="2"/>
      <c r="T27" s="2"/>
      <c r="U27" s="2"/>
      <c r="V27" s="14"/>
      <c r="W27" s="1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2:38" hidden="1" x14ac:dyDescent="0.45">
      <c r="B28" s="4" t="s">
        <v>40</v>
      </c>
      <c r="C28" s="4">
        <v>56</v>
      </c>
      <c r="D28" s="11">
        <v>117.8</v>
      </c>
      <c r="E28" s="11">
        <v>102</v>
      </c>
      <c r="F28" s="12">
        <f t="shared" si="10"/>
        <v>962.57707755607464</v>
      </c>
      <c r="G28" s="11">
        <v>1878.62</v>
      </c>
      <c r="H28" s="12">
        <f>G28/F28</f>
        <v>1.9516566972171239</v>
      </c>
      <c r="I28" s="13">
        <v>0.21071012805587891</v>
      </c>
      <c r="J28" s="12">
        <f>H28/(1+I28)</f>
        <v>1.6119933681822205</v>
      </c>
      <c r="K28" s="16">
        <v>2.5</v>
      </c>
      <c r="L28" s="11">
        <f t="shared" si="5"/>
        <v>0.55087486669945074</v>
      </c>
      <c r="M28" s="13">
        <f t="shared" si="6"/>
        <v>0.95625223073954146</v>
      </c>
      <c r="N28" s="1"/>
      <c r="O28" s="4"/>
      <c r="P28" s="2"/>
      <c r="Q28" s="2"/>
      <c r="R28" s="2"/>
      <c r="S28" s="2"/>
      <c r="T28" s="2"/>
      <c r="U28" s="2"/>
      <c r="V28" s="14"/>
      <c r="W28" s="1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2:38" ht="14.65" hidden="1" thickBot="1" x14ac:dyDescent="0.5"/>
    <row r="30" spans="2:38" ht="14.65" thickBot="1" x14ac:dyDescent="0.5">
      <c r="B30" s="34" t="s">
        <v>74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6"/>
    </row>
    <row r="31" spans="2:38" ht="14.65" thickBot="1" x14ac:dyDescent="0.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0"/>
      <c r="P31" s="1"/>
      <c r="Q31" s="1"/>
      <c r="R31" s="1"/>
      <c r="S31" s="1"/>
      <c r="T31" s="1"/>
      <c r="U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2:38" ht="16.149999999999999" thickBot="1" x14ac:dyDescent="0.55000000000000004">
      <c r="B32" s="31" t="s">
        <v>45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3"/>
      <c r="N32" s="1"/>
      <c r="O32" s="31" t="s">
        <v>46</v>
      </c>
      <c r="P32" s="32"/>
      <c r="Q32" s="32"/>
      <c r="R32" s="32"/>
      <c r="S32" s="32"/>
      <c r="T32" s="32"/>
      <c r="U32" s="32"/>
      <c r="V32" s="33"/>
      <c r="W32" s="1"/>
      <c r="X32" s="31" t="s">
        <v>54</v>
      </c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3"/>
      <c r="AK32" s="31" t="s">
        <v>94</v>
      </c>
      <c r="AL32" s="32"/>
    </row>
    <row r="33" spans="2:38" ht="15.75" x14ac:dyDescent="0.5">
      <c r="B33" s="15" t="s">
        <v>33</v>
      </c>
      <c r="C33" s="15" t="s">
        <v>34</v>
      </c>
      <c r="D33" s="15" t="s">
        <v>23</v>
      </c>
      <c r="E33" s="15" t="s">
        <v>43</v>
      </c>
      <c r="F33" s="7" t="s">
        <v>24</v>
      </c>
      <c r="G33" s="15" t="s">
        <v>25</v>
      </c>
      <c r="H33" s="7" t="s">
        <v>26</v>
      </c>
      <c r="I33" s="15" t="s">
        <v>27</v>
      </c>
      <c r="J33" s="7" t="s">
        <v>61</v>
      </c>
      <c r="K33" s="15" t="s">
        <v>62</v>
      </c>
      <c r="L33" s="7" t="s">
        <v>63</v>
      </c>
      <c r="M33" s="7" t="s">
        <v>64</v>
      </c>
      <c r="N33" s="1"/>
      <c r="O33" s="15" t="s">
        <v>65</v>
      </c>
      <c r="P33" s="15" t="s">
        <v>47</v>
      </c>
      <c r="Q33" s="15" t="s">
        <v>48</v>
      </c>
      <c r="R33" s="15" t="s">
        <v>49</v>
      </c>
      <c r="S33" s="15" t="s">
        <v>83</v>
      </c>
      <c r="T33" s="15" t="s">
        <v>84</v>
      </c>
      <c r="U33" s="7" t="s">
        <v>50</v>
      </c>
      <c r="V33" s="28" t="s">
        <v>52</v>
      </c>
      <c r="W33" s="1"/>
      <c r="X33" s="15" t="s">
        <v>55</v>
      </c>
      <c r="Y33" s="15" t="s">
        <v>56</v>
      </c>
      <c r="Z33" s="15" t="s">
        <v>57</v>
      </c>
      <c r="AA33" s="15" t="s">
        <v>85</v>
      </c>
      <c r="AB33" s="15" t="s">
        <v>86</v>
      </c>
      <c r="AC33" s="7" t="s">
        <v>58</v>
      </c>
      <c r="AD33" s="15" t="s">
        <v>87</v>
      </c>
      <c r="AE33" s="15" t="s">
        <v>88</v>
      </c>
      <c r="AF33" s="15" t="s">
        <v>89</v>
      </c>
      <c r="AG33" s="15" t="s">
        <v>90</v>
      </c>
      <c r="AH33" s="15" t="s">
        <v>91</v>
      </c>
      <c r="AI33" s="30" t="s">
        <v>52</v>
      </c>
      <c r="AK33" s="7" t="s">
        <v>92</v>
      </c>
      <c r="AL33" s="7" t="s">
        <v>93</v>
      </c>
    </row>
    <row r="34" spans="2:38" ht="15.75" x14ac:dyDescent="0.5">
      <c r="B34" s="8" t="s">
        <v>32</v>
      </c>
      <c r="C34" s="8" t="s">
        <v>35</v>
      </c>
      <c r="D34" s="8" t="s">
        <v>44</v>
      </c>
      <c r="E34" s="8" t="s">
        <v>44</v>
      </c>
      <c r="F34" s="9" t="s">
        <v>30</v>
      </c>
      <c r="G34" s="8" t="s">
        <v>31</v>
      </c>
      <c r="H34" s="10" t="s">
        <v>28</v>
      </c>
      <c r="I34" s="9" t="s">
        <v>29</v>
      </c>
      <c r="J34" s="10" t="s">
        <v>28</v>
      </c>
      <c r="K34" s="9" t="s">
        <v>32</v>
      </c>
      <c r="L34" s="9" t="s">
        <v>32</v>
      </c>
      <c r="M34" s="9" t="s">
        <v>29</v>
      </c>
      <c r="N34" s="1"/>
      <c r="O34" s="8" t="s">
        <v>32</v>
      </c>
      <c r="P34" s="8" t="s">
        <v>51</v>
      </c>
      <c r="Q34" s="8" t="s">
        <v>51</v>
      </c>
      <c r="R34" s="8" t="s">
        <v>51</v>
      </c>
      <c r="S34" s="8" t="s">
        <v>51</v>
      </c>
      <c r="T34" s="8" t="s">
        <v>51</v>
      </c>
      <c r="U34" s="8" t="s">
        <v>51</v>
      </c>
      <c r="V34" s="29" t="s">
        <v>53</v>
      </c>
      <c r="W34" s="1"/>
      <c r="X34" s="8" t="s">
        <v>59</v>
      </c>
      <c r="Y34" s="8" t="s">
        <v>59</v>
      </c>
      <c r="Z34" s="8" t="s">
        <v>59</v>
      </c>
      <c r="AA34" s="8" t="s">
        <v>59</v>
      </c>
      <c r="AB34" s="8" t="s">
        <v>59</v>
      </c>
      <c r="AC34" s="8" t="s">
        <v>59</v>
      </c>
      <c r="AD34" s="10" t="s">
        <v>53</v>
      </c>
      <c r="AE34" s="10" t="s">
        <v>53</v>
      </c>
      <c r="AF34" s="10" t="s">
        <v>53</v>
      </c>
      <c r="AG34" s="10" t="s">
        <v>53</v>
      </c>
      <c r="AH34" s="10" t="s">
        <v>53</v>
      </c>
      <c r="AI34" s="29" t="s">
        <v>53</v>
      </c>
      <c r="AK34" s="10" t="s">
        <v>53</v>
      </c>
      <c r="AL34" s="26" t="s">
        <v>29</v>
      </c>
    </row>
    <row r="35" spans="2:38" x14ac:dyDescent="0.45">
      <c r="B35" s="4" t="s">
        <v>67</v>
      </c>
      <c r="C35" s="4">
        <v>25</v>
      </c>
      <c r="D35" s="18">
        <f>AVERAGE(116.3,117.4,117.4)</f>
        <v>117.03333333333335</v>
      </c>
      <c r="E35" s="11">
        <v>101</v>
      </c>
      <c r="F35" s="12">
        <f>(D35/10)*(PI()/4)*((E35/10)^2)</f>
        <v>937.65312133912619</v>
      </c>
      <c r="G35" s="11">
        <v>1739.1999999999998</v>
      </c>
      <c r="H35" s="12">
        <f>G35/F35</f>
        <v>1.8548437161027418</v>
      </c>
      <c r="I35" s="13">
        <v>0.11843409316154611</v>
      </c>
      <c r="J35" s="12">
        <f>H35/(1+I35)</f>
        <v>1.6584291622044007</v>
      </c>
      <c r="K35" s="16">
        <v>2.5</v>
      </c>
      <c r="L35" s="11">
        <f t="shared" ref="L35:L42" si="11">K35/J35-1</f>
        <v>0.50745057852032383</v>
      </c>
      <c r="M35" s="13">
        <f t="shared" ref="M35:M42" si="12">I35*(K35/L35)</f>
        <v>0.5834759983272082</v>
      </c>
      <c r="N35" s="1"/>
      <c r="O35" s="4">
        <v>0.2</v>
      </c>
      <c r="P35" s="2">
        <v>246.34</v>
      </c>
      <c r="Q35" s="2">
        <v>244.08</v>
      </c>
      <c r="R35" s="2">
        <v>254.25</v>
      </c>
      <c r="S35" s="2">
        <v>223.74</v>
      </c>
      <c r="T35" s="2">
        <v>256.51</v>
      </c>
      <c r="U35" s="2">
        <f>AVERAGE(T35)</f>
        <v>256.51</v>
      </c>
      <c r="V35" s="14">
        <f>((((D35/10)/U35)*10000)^2)*((H35*1000*(1+O35)*(1-2*(O35)))/(1-O35))/1000000</f>
        <v>347.50445822824116</v>
      </c>
      <c r="W35" s="1"/>
      <c r="X35" s="2">
        <v>1.35001350014363E-3</v>
      </c>
      <c r="Y35" s="2">
        <v>1.32001320014297E-3</v>
      </c>
      <c r="Z35" s="2">
        <v>1.37001370012513E-3</v>
      </c>
      <c r="AA35" s="2">
        <v>1.35001350014363E-3</v>
      </c>
      <c r="AB35" s="2">
        <v>1.37001370012513E-3</v>
      </c>
      <c r="AC35" s="2">
        <f>AVERAGE(X35:AB35)</f>
        <v>1.3520135201360978E-3</v>
      </c>
      <c r="AD35" s="2">
        <v>212.166058177118</v>
      </c>
      <c r="AE35" s="2">
        <v>239.88892469346499</v>
      </c>
      <c r="AF35" s="2">
        <v>196.521055220108</v>
      </c>
      <c r="AG35" s="2">
        <v>212.166058177118</v>
      </c>
      <c r="AH35" s="2">
        <v>196.521055220108</v>
      </c>
      <c r="AI35" s="14">
        <f>AVERAGE(AE35)</f>
        <v>239.88892469346499</v>
      </c>
      <c r="AK35" s="38">
        <f>V35-AI35</f>
        <v>107.61553353477618</v>
      </c>
      <c r="AL35" s="39">
        <f>ABS(AK35)/V35</f>
        <v>0.30968101555719962</v>
      </c>
    </row>
    <row r="36" spans="2:38" x14ac:dyDescent="0.45">
      <c r="B36" s="4" t="s">
        <v>67</v>
      </c>
      <c r="C36" s="4">
        <v>56</v>
      </c>
      <c r="D36" s="11">
        <f>AVERAGE(116.5,116.2,116.4,116.3)</f>
        <v>116.35000000000001</v>
      </c>
      <c r="E36" s="11">
        <v>101</v>
      </c>
      <c r="F36" s="12">
        <f t="shared" ref="F36:F42" si="13">(D36/10)*(PI()/4)*((E36/10)^2)</f>
        <v>932.17835945150102</v>
      </c>
      <c r="G36" s="11">
        <v>1838.2000000000003</v>
      </c>
      <c r="H36" s="12">
        <f t="shared" ref="H36:H40" si="14">G36/F36</f>
        <v>1.9719402208410066</v>
      </c>
      <c r="I36" s="13">
        <v>0.11805225653206648</v>
      </c>
      <c r="J36" s="12">
        <f t="shared" ref="J36:J40" si="15">H36/(1+I36)</f>
        <v>1.763728134637909</v>
      </c>
      <c r="K36" s="16">
        <v>2.5</v>
      </c>
      <c r="L36" s="11">
        <f t="shared" si="11"/>
        <v>0.41745201593285608</v>
      </c>
      <c r="M36" s="13">
        <f t="shared" si="12"/>
        <v>0.70698099438004791</v>
      </c>
      <c r="N36" s="1"/>
      <c r="O36" s="4">
        <v>0.34</v>
      </c>
      <c r="P36" s="2">
        <v>308.49</v>
      </c>
      <c r="Q36" s="2">
        <v>341.26</v>
      </c>
      <c r="R36" s="2">
        <v>341.26</v>
      </c>
      <c r="S36" s="2">
        <v>359.34</v>
      </c>
      <c r="T36" s="2">
        <v>368.38</v>
      </c>
      <c r="U36" s="2">
        <f t="shared" ref="U36:U42" si="16">AVERAGE(P36:T36)</f>
        <v>343.74599999999998</v>
      </c>
      <c r="V36" s="14">
        <f t="shared" ref="V35:V42" si="17">((((D36/10)/U36)*10000)^2)*((H36*1000*(1+O36)*(1-2*(O36)))/(1-O36))/1000000</f>
        <v>146.77836821836351</v>
      </c>
      <c r="W36" s="1"/>
      <c r="X36" s="2">
        <v>1.40001400014E-3</v>
      </c>
      <c r="Y36" s="2">
        <v>1.3400134001315699E-3</v>
      </c>
      <c r="Z36" s="2">
        <v>1.3900139001421499E-3</v>
      </c>
      <c r="AA36" s="2">
        <v>1.3100131001308999E-3</v>
      </c>
      <c r="AB36" s="2">
        <v>1.29001290012809E-3</v>
      </c>
      <c r="AC36" s="2">
        <f t="shared" ref="AC36:AC42" si="18">AVERAGE(X36:AB36)</f>
        <v>1.3460134601345421E-3</v>
      </c>
      <c r="AD36" s="2">
        <v>168.728738693476</v>
      </c>
      <c r="AE36" s="2">
        <v>173.90814103674501</v>
      </c>
      <c r="AF36" s="2">
        <v>199.805152764132</v>
      </c>
      <c r="AG36" s="2">
        <v>265.92706300229997</v>
      </c>
      <c r="AH36" s="2">
        <v>287.87505994147602</v>
      </c>
      <c r="AI36" s="14">
        <f t="shared" ref="AI36:AI42" si="19">AVERAGE(AD36:AH36)</f>
        <v>219.24883108762577</v>
      </c>
      <c r="AK36" s="38">
        <f>V36-AI36</f>
        <v>-72.470462869262263</v>
      </c>
      <c r="AL36" s="39">
        <f t="shared" ref="AL36:AL42" si="20">ABS(AK36)/V36</f>
        <v>0.49374075859357763</v>
      </c>
    </row>
    <row r="37" spans="2:38" x14ac:dyDescent="0.45">
      <c r="B37" s="4" t="s">
        <v>69</v>
      </c>
      <c r="C37" s="4">
        <v>56</v>
      </c>
      <c r="D37" s="11">
        <f>AVERAGE(116.3,116.7,116.5)</f>
        <v>116.5</v>
      </c>
      <c r="E37" s="11">
        <v>101</v>
      </c>
      <c r="F37" s="12">
        <f t="shared" si="13"/>
        <v>933.38013645122351</v>
      </c>
      <c r="G37" s="11">
        <v>1722.0000000000005</v>
      </c>
      <c r="H37" s="12">
        <f t="shared" si="14"/>
        <v>1.8449074849044513</v>
      </c>
      <c r="I37" s="13">
        <v>9.6678107984795758E-2</v>
      </c>
      <c r="J37" s="12">
        <f t="shared" si="15"/>
        <v>1.6822689096024417</v>
      </c>
      <c r="K37" s="16">
        <v>2.5</v>
      </c>
      <c r="L37" s="11">
        <f t="shared" si="11"/>
        <v>0.48608821439302874</v>
      </c>
      <c r="M37" s="13">
        <f t="shared" si="12"/>
        <v>0.49722511841557554</v>
      </c>
      <c r="N37" s="1"/>
      <c r="O37" s="4">
        <v>0.12</v>
      </c>
      <c r="P37" s="2">
        <v>243.97906606702199</v>
      </c>
      <c r="Q37" s="2">
        <v>227.13</v>
      </c>
      <c r="R37" s="2">
        <v>195.49</v>
      </c>
      <c r="S37" s="2">
        <v>202.27</v>
      </c>
      <c r="T37" s="2">
        <v>235.04</v>
      </c>
      <c r="U37" s="2">
        <f t="shared" si="16"/>
        <v>220.7818132134044</v>
      </c>
      <c r="V37" s="14">
        <f t="shared" si="17"/>
        <v>496.87688644763671</v>
      </c>
      <c r="W37" s="1"/>
      <c r="X37" s="2">
        <v>1.33001330013016E-3</v>
      </c>
      <c r="Y37" s="2">
        <v>1.2800128001231299E-3</v>
      </c>
      <c r="Z37" s="2">
        <v>1.2700127001323801E-3</v>
      </c>
      <c r="AA37" s="2">
        <v>1.2500125001295699E-3</v>
      </c>
      <c r="AB37" s="2">
        <v>1.26001260012742E-3</v>
      </c>
      <c r="AC37" s="2">
        <f t="shared" si="18"/>
        <v>1.2780127801285319E-3</v>
      </c>
      <c r="AD37" s="2">
        <v>243.97906606702199</v>
      </c>
      <c r="AE37" s="2">
        <v>298.849058414963</v>
      </c>
      <c r="AF37" s="2">
        <v>313.611453047483</v>
      </c>
      <c r="AG37" s="2">
        <v>344.02399505866299</v>
      </c>
      <c r="AH37" s="2">
        <v>328.81772405847499</v>
      </c>
      <c r="AI37" s="14">
        <f t="shared" si="19"/>
        <v>305.85625932932123</v>
      </c>
      <c r="AK37" s="38">
        <f t="shared" ref="AK36:AK42" si="21">V37-AI37</f>
        <v>191.02062711831547</v>
      </c>
      <c r="AL37" s="39">
        <f t="shared" si="20"/>
        <v>0.38444256983655478</v>
      </c>
    </row>
    <row r="38" spans="2:38" x14ac:dyDescent="0.45">
      <c r="B38" s="4" t="s">
        <v>68</v>
      </c>
      <c r="C38" s="4">
        <v>56</v>
      </c>
      <c r="D38" s="11">
        <f>AVERAGE(116.5,116.2,116.4,116.3)</f>
        <v>116.35000000000001</v>
      </c>
      <c r="E38" s="11">
        <v>101</v>
      </c>
      <c r="F38" s="12">
        <f t="shared" si="13"/>
        <v>932.17835945150102</v>
      </c>
      <c r="G38" s="11">
        <v>1660.6</v>
      </c>
      <c r="H38" s="12">
        <f t="shared" si="14"/>
        <v>1.7814187415561826</v>
      </c>
      <c r="I38" s="13">
        <v>8.0713111267325499E-2</v>
      </c>
      <c r="J38" s="12">
        <f t="shared" si="15"/>
        <v>1.6483733962172045</v>
      </c>
      <c r="K38" s="16">
        <v>2.5</v>
      </c>
      <c r="L38" s="11">
        <f t="shared" si="11"/>
        <v>0.51664665647793417</v>
      </c>
      <c r="M38" s="13">
        <f t="shared" si="12"/>
        <v>0.39056243883179337</v>
      </c>
      <c r="N38" s="1"/>
      <c r="O38" s="4">
        <v>0.1</v>
      </c>
      <c r="P38" s="2">
        <v>200.01</v>
      </c>
      <c r="Q38" s="2">
        <v>242.95</v>
      </c>
      <c r="R38" s="2">
        <v>201.14</v>
      </c>
      <c r="S38" s="2">
        <v>218.09</v>
      </c>
      <c r="T38" s="2">
        <v>215.83</v>
      </c>
      <c r="U38" s="2">
        <f t="shared" si="16"/>
        <v>215.60399999999998</v>
      </c>
      <c r="V38" s="14">
        <f t="shared" si="17"/>
        <v>507.25382117613321</v>
      </c>
      <c r="W38" s="1"/>
      <c r="X38" s="2">
        <v>1.25001250012602E-3</v>
      </c>
      <c r="Y38" s="2">
        <v>1.2200122001217999E-3</v>
      </c>
      <c r="Z38" s="2">
        <v>1.2400124001246101E-3</v>
      </c>
      <c r="AA38" s="2">
        <v>1.2400124001246101E-3</v>
      </c>
      <c r="AB38" s="2">
        <v>1.2400124001246101E-3</v>
      </c>
      <c r="AC38" s="2">
        <f t="shared" si="18"/>
        <v>1.2380123801243302E-3</v>
      </c>
      <c r="AD38" s="2">
        <v>351.57903261954402</v>
      </c>
      <c r="AE38" s="2">
        <v>395.85142316337698</v>
      </c>
      <c r="AF38" s="2">
        <v>366.33649613415503</v>
      </c>
      <c r="AG38" s="2">
        <v>366.33649613415503</v>
      </c>
      <c r="AH38" s="2">
        <v>366.33649613415503</v>
      </c>
      <c r="AI38" s="14">
        <f t="shared" si="19"/>
        <v>369.28798883707714</v>
      </c>
      <c r="AK38" s="38">
        <f t="shared" si="21"/>
        <v>137.96583233905608</v>
      </c>
      <c r="AL38" s="39">
        <f t="shared" si="20"/>
        <v>0.27198579208169305</v>
      </c>
    </row>
    <row r="39" spans="2:38" x14ac:dyDescent="0.45">
      <c r="B39" s="4" t="s">
        <v>70</v>
      </c>
      <c r="C39" s="4">
        <v>25</v>
      </c>
      <c r="D39" s="11">
        <f>AVERAGE(116.3,116.7,116.5)</f>
        <v>116.5</v>
      </c>
      <c r="E39" s="11">
        <v>101</v>
      </c>
      <c r="F39" s="12">
        <f t="shared" si="13"/>
        <v>933.38013645122351</v>
      </c>
      <c r="G39" s="11">
        <v>1542.2000000000003</v>
      </c>
      <c r="H39" s="12">
        <f t="shared" si="14"/>
        <v>1.6522742875839982</v>
      </c>
      <c r="I39" s="13">
        <v>0.11589041095890402</v>
      </c>
      <c r="J39" s="12">
        <f t="shared" si="15"/>
        <v>1.480677915463195</v>
      </c>
      <c r="K39" s="16">
        <v>2.5</v>
      </c>
      <c r="L39" s="11">
        <f t="shared" si="11"/>
        <v>0.6884158086587886</v>
      </c>
      <c r="M39" s="13">
        <f t="shared" si="12"/>
        <v>0.42085905604306362</v>
      </c>
      <c r="N39" s="1"/>
      <c r="O39" s="4">
        <v>0.11</v>
      </c>
      <c r="P39" s="2">
        <v>527.71</v>
      </c>
      <c r="Q39" s="2">
        <v>461.04</v>
      </c>
      <c r="R39" s="2">
        <v>482.51</v>
      </c>
      <c r="S39" s="2">
        <v>500.59</v>
      </c>
      <c r="T39" s="2">
        <v>498.33</v>
      </c>
      <c r="U39" s="2">
        <f t="shared" si="16"/>
        <v>494.03599999999994</v>
      </c>
      <c r="V39" s="14">
        <f t="shared" si="17"/>
        <v>89.380828617218</v>
      </c>
      <c r="X39" s="2">
        <v>1.9200192001918E-3</v>
      </c>
      <c r="Y39" s="2">
        <v>1.87001870018833E-3</v>
      </c>
      <c r="Z39" s="2">
        <v>1.86001860018337E-3</v>
      </c>
      <c r="AA39" s="2">
        <v>1.9000190001889901E-3</v>
      </c>
      <c r="AB39" s="2">
        <v>1.9300193001896601E-3</v>
      </c>
      <c r="AC39" s="2">
        <f t="shared" si="18"/>
        <v>1.8960189601884298E-3</v>
      </c>
      <c r="AD39" s="2">
        <v>33.7147248951227</v>
      </c>
      <c r="AE39" s="2">
        <v>39.5685973104857</v>
      </c>
      <c r="AF39" s="2">
        <v>40.739371794057398</v>
      </c>
      <c r="AG39" s="2">
        <v>36.056273861434299</v>
      </c>
      <c r="AH39" s="2">
        <v>32.543950412382898</v>
      </c>
      <c r="AI39" s="14">
        <f t="shared" si="19"/>
        <v>36.524583654696599</v>
      </c>
      <c r="AK39" s="38">
        <f t="shared" si="21"/>
        <v>52.856244962521401</v>
      </c>
      <c r="AL39" s="39">
        <f t="shared" si="20"/>
        <v>0.59135997931819761</v>
      </c>
    </row>
    <row r="40" spans="2:38" x14ac:dyDescent="0.45">
      <c r="B40" s="4" t="s">
        <v>71</v>
      </c>
      <c r="C40" s="4">
        <v>25</v>
      </c>
      <c r="D40" s="11">
        <f>AVERAGE(116.5,116.2,116.4,116.3)</f>
        <v>116.35000000000001</v>
      </c>
      <c r="E40" s="11">
        <v>101</v>
      </c>
      <c r="F40" s="12">
        <f t="shared" si="13"/>
        <v>932.17835945150102</v>
      </c>
      <c r="G40" s="11">
        <v>1576.4</v>
      </c>
      <c r="H40" s="12">
        <f t="shared" si="14"/>
        <v>1.6910926798682204</v>
      </c>
      <c r="I40" s="13">
        <v>0.13460442691211932</v>
      </c>
      <c r="J40" s="12">
        <f t="shared" si="15"/>
        <v>1.4904689597154233</v>
      </c>
      <c r="K40" s="16">
        <v>2.5</v>
      </c>
      <c r="L40" s="11">
        <f t="shared" si="11"/>
        <v>0.6773244311490576</v>
      </c>
      <c r="M40" s="13">
        <f t="shared" si="12"/>
        <v>0.49682405034381949</v>
      </c>
      <c r="N40" s="1"/>
      <c r="O40" s="4">
        <v>0.13</v>
      </c>
      <c r="P40" s="2">
        <v>597.77</v>
      </c>
      <c r="Q40" s="2">
        <v>474.6</v>
      </c>
      <c r="R40" s="2">
        <v>523.19000000000005</v>
      </c>
      <c r="S40" s="2">
        <v>461.04</v>
      </c>
      <c r="T40" s="2">
        <v>493.81</v>
      </c>
      <c r="U40" s="2">
        <f t="shared" si="16"/>
        <v>510.08199999999999</v>
      </c>
      <c r="V40" s="14">
        <f t="shared" si="17"/>
        <v>84.568981266252109</v>
      </c>
      <c r="W40" s="1"/>
      <c r="X40" s="2">
        <v>1.8500185001855099E-3</v>
      </c>
      <c r="Y40" s="2">
        <v>1.8500185001855099E-3</v>
      </c>
      <c r="Z40" s="2">
        <v>1.7400174001735999E-3</v>
      </c>
      <c r="AA40" s="2">
        <v>1.87001870020254E-3</v>
      </c>
      <c r="AB40" s="2">
        <v>1.87001870020254E-3</v>
      </c>
      <c r="AC40" s="2">
        <f t="shared" si="18"/>
        <v>1.83601836018994E-3</v>
      </c>
      <c r="AD40" s="2">
        <v>41.653470983734998</v>
      </c>
      <c r="AE40" s="2">
        <v>41.653470983734998</v>
      </c>
      <c r="AF40" s="2">
        <v>59.125669888547499</v>
      </c>
      <c r="AG40" s="2">
        <v>39.311022491668403</v>
      </c>
      <c r="AH40" s="2">
        <v>39.311022491668403</v>
      </c>
      <c r="AI40" s="14">
        <f t="shared" si="19"/>
        <v>44.210931367870863</v>
      </c>
      <c r="AK40" s="38">
        <f t="shared" si="21"/>
        <v>40.358049898381246</v>
      </c>
      <c r="AL40" s="39">
        <f t="shared" si="20"/>
        <v>0.47722048077320794</v>
      </c>
    </row>
    <row r="41" spans="2:38" x14ac:dyDescent="0.45">
      <c r="B41" s="4" t="s">
        <v>72</v>
      </c>
      <c r="C41" s="4">
        <v>25</v>
      </c>
      <c r="D41" s="11">
        <f>AVERAGE(116.3,116.7,116.5)</f>
        <v>116.5</v>
      </c>
      <c r="E41" s="11">
        <v>101</v>
      </c>
      <c r="F41" s="12">
        <f t="shared" si="13"/>
        <v>933.38013645122351</v>
      </c>
      <c r="G41" s="11">
        <v>1627.7999999999997</v>
      </c>
      <c r="H41" s="12">
        <f>G41/F41</f>
        <v>1.7439839744061931</v>
      </c>
      <c r="I41" s="13">
        <v>0.14028029887536533</v>
      </c>
      <c r="J41" s="12">
        <f>H41/(1+I41)</f>
        <v>1.5294344523239138</v>
      </c>
      <c r="K41" s="16">
        <v>2.5</v>
      </c>
      <c r="L41" s="11">
        <f t="shared" si="11"/>
        <v>0.63459113674427248</v>
      </c>
      <c r="M41" s="13">
        <f t="shared" si="12"/>
        <v>0.55264047491690493</v>
      </c>
      <c r="N41" s="1"/>
      <c r="O41" s="4">
        <v>0.16</v>
      </c>
      <c r="P41" s="2">
        <v>491.55</v>
      </c>
      <c r="Q41" s="2">
        <v>491.55</v>
      </c>
      <c r="R41" s="2">
        <v>517.54</v>
      </c>
      <c r="S41" s="2">
        <v>553.70000000000005</v>
      </c>
      <c r="T41" s="2">
        <v>586.47</v>
      </c>
      <c r="U41" s="2">
        <f>AVERAGE(P41)</f>
        <v>491.55</v>
      </c>
      <c r="V41" s="14">
        <f>((((D41/10)/U41)*10000)^2)*((H41*1000*(1+O41)*(1-2*(O41)))/(1-O41))/1000000</f>
        <v>91.991257492307923</v>
      </c>
      <c r="W41" s="1"/>
      <c r="X41" s="2">
        <v>1.41001410014496E-3</v>
      </c>
      <c r="Y41" s="2">
        <v>1.40001400012579E-3</v>
      </c>
      <c r="Z41" s="2">
        <v>1.3700137001535499E-3</v>
      </c>
      <c r="AA41" s="2">
        <v>1.4200142001357099E-3</v>
      </c>
      <c r="AB41" s="2">
        <v>1.52001520015688E-3</v>
      </c>
      <c r="AC41" s="2">
        <f t="shared" si="18"/>
        <v>1.4240142401433782E-3</v>
      </c>
      <c r="AD41" s="2">
        <v>177.97212022387299</v>
      </c>
      <c r="AE41" s="2">
        <v>183.05007107750299</v>
      </c>
      <c r="AF41" s="2">
        <v>198.283923595098</v>
      </c>
      <c r="AG41" s="2">
        <v>172.894169384675</v>
      </c>
      <c r="AH41" s="2">
        <v>122.114660934965</v>
      </c>
      <c r="AI41" s="14">
        <f>AVERAGE(AH41)</f>
        <v>122.114660934965</v>
      </c>
      <c r="AK41" s="38">
        <f>V41-AI41</f>
        <v>-30.123403442657079</v>
      </c>
      <c r="AL41" s="39">
        <f>ABS(AK41)/V41</f>
        <v>0.32745941585999</v>
      </c>
    </row>
    <row r="42" spans="2:38" x14ac:dyDescent="0.45">
      <c r="B42" s="4" t="s">
        <v>73</v>
      </c>
      <c r="C42" s="4">
        <v>25</v>
      </c>
      <c r="D42" s="11">
        <f>AVERAGE(116.5,116.2,116.4,116.3)</f>
        <v>116.35000000000001</v>
      </c>
      <c r="E42" s="11">
        <v>101</v>
      </c>
      <c r="F42" s="12">
        <f t="shared" si="13"/>
        <v>932.17835945150102</v>
      </c>
      <c r="G42" s="11">
        <v>1661.2000000000003</v>
      </c>
      <c r="H42" s="12">
        <f>G42/F42</f>
        <v>1.7820623952024157</v>
      </c>
      <c r="I42" s="13">
        <v>0.15156950672645753</v>
      </c>
      <c r="J42" s="12">
        <f>H42/(1+I42)</f>
        <v>1.5475074537777984</v>
      </c>
      <c r="K42" s="16">
        <v>2.5</v>
      </c>
      <c r="L42" s="11">
        <f t="shared" si="11"/>
        <v>0.61550110398302937</v>
      </c>
      <c r="M42" s="13">
        <f t="shared" si="12"/>
        <v>0.61563458516004788</v>
      </c>
      <c r="N42" s="1"/>
      <c r="O42" s="4">
        <v>0.22</v>
      </c>
      <c r="P42" s="2">
        <v>476.86</v>
      </c>
      <c r="Q42" s="2">
        <v>438.44</v>
      </c>
      <c r="R42" s="2">
        <v>414.71</v>
      </c>
      <c r="S42" s="2">
        <v>323.18</v>
      </c>
      <c r="T42" s="2">
        <v>392.11</v>
      </c>
      <c r="U42" s="2">
        <f t="shared" si="16"/>
        <v>409.06000000000006</v>
      </c>
      <c r="V42" s="14">
        <f t="shared" si="17"/>
        <v>126.28009736924638</v>
      </c>
      <c r="W42" s="1"/>
      <c r="X42" s="2">
        <v>1.7400174001735999E-3</v>
      </c>
      <c r="Y42" s="2">
        <v>1.64001640017375E-3</v>
      </c>
      <c r="Z42" s="2">
        <v>1.6200162001638299E-3</v>
      </c>
      <c r="AA42" s="2">
        <v>1.6200162001496199E-3</v>
      </c>
      <c r="AB42" s="2">
        <v>1.6400164001595401E-3</v>
      </c>
      <c r="AC42" s="2">
        <f t="shared" si="18"/>
        <v>1.6520165201640679E-3</v>
      </c>
      <c r="AD42" s="2">
        <v>56.490316050825697</v>
      </c>
      <c r="AE42" s="2">
        <v>80.166431918648399</v>
      </c>
      <c r="AF42" s="2">
        <v>84.901655094568099</v>
      </c>
      <c r="AG42" s="2">
        <v>84.901655097932704</v>
      </c>
      <c r="AH42" s="2">
        <v>80.166431922013004</v>
      </c>
      <c r="AI42" s="14">
        <f t="shared" si="19"/>
        <v>77.325298016797589</v>
      </c>
      <c r="AK42" s="38">
        <f t="shared" si="21"/>
        <v>48.954799352448788</v>
      </c>
      <c r="AL42" s="39">
        <f t="shared" si="20"/>
        <v>0.38766836874779759</v>
      </c>
    </row>
    <row r="43" spans="2:38" ht="14.65" thickBot="1" x14ac:dyDescent="0.5"/>
    <row r="44" spans="2:38" ht="14.65" thickBot="1" x14ac:dyDescent="0.5">
      <c r="B44" s="34" t="s">
        <v>75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6"/>
    </row>
    <row r="45" spans="2:38" ht="14.65" thickBot="1" x14ac:dyDescent="0.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0"/>
      <c r="P45" s="1"/>
      <c r="Q45" s="1"/>
      <c r="R45" s="1"/>
      <c r="S45" s="1"/>
      <c r="T45" s="1"/>
      <c r="U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2:38" ht="16.149999999999999" thickBot="1" x14ac:dyDescent="0.55000000000000004">
      <c r="B46" s="31" t="s">
        <v>45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3"/>
      <c r="N46" s="1"/>
      <c r="O46" s="31" t="s">
        <v>46</v>
      </c>
      <c r="P46" s="32"/>
      <c r="Q46" s="32"/>
      <c r="R46" s="32"/>
      <c r="S46" s="32"/>
      <c r="T46" s="32"/>
      <c r="U46" s="32"/>
      <c r="V46" s="33"/>
      <c r="W46" s="1"/>
      <c r="X46" s="31" t="s">
        <v>54</v>
      </c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3"/>
      <c r="AK46" s="31" t="s">
        <v>94</v>
      </c>
      <c r="AL46" s="32"/>
    </row>
    <row r="47" spans="2:38" ht="15.75" x14ac:dyDescent="0.5">
      <c r="B47" s="15" t="s">
        <v>33</v>
      </c>
      <c r="C47" s="15" t="s">
        <v>34</v>
      </c>
      <c r="D47" s="15" t="s">
        <v>23</v>
      </c>
      <c r="E47" s="15" t="s">
        <v>43</v>
      </c>
      <c r="F47" s="7" t="s">
        <v>24</v>
      </c>
      <c r="G47" s="15" t="s">
        <v>25</v>
      </c>
      <c r="H47" s="7" t="s">
        <v>26</v>
      </c>
      <c r="I47" s="15" t="s">
        <v>27</v>
      </c>
      <c r="J47" s="7" t="s">
        <v>61</v>
      </c>
      <c r="K47" s="15" t="s">
        <v>62</v>
      </c>
      <c r="L47" s="7" t="s">
        <v>63</v>
      </c>
      <c r="M47" s="7" t="s">
        <v>64</v>
      </c>
      <c r="N47" s="1"/>
      <c r="O47" s="15" t="s">
        <v>65</v>
      </c>
      <c r="P47" s="15" t="s">
        <v>47</v>
      </c>
      <c r="Q47" s="15" t="s">
        <v>48</v>
      </c>
      <c r="R47" s="15" t="s">
        <v>49</v>
      </c>
      <c r="S47" s="15" t="s">
        <v>83</v>
      </c>
      <c r="T47" s="15" t="s">
        <v>84</v>
      </c>
      <c r="U47" s="7" t="s">
        <v>50</v>
      </c>
      <c r="V47" s="28" t="s">
        <v>52</v>
      </c>
      <c r="W47" s="1"/>
      <c r="X47" s="15" t="s">
        <v>55</v>
      </c>
      <c r="Y47" s="15" t="s">
        <v>56</v>
      </c>
      <c r="Z47" s="15" t="s">
        <v>57</v>
      </c>
      <c r="AA47" s="15" t="s">
        <v>85</v>
      </c>
      <c r="AB47" s="15" t="s">
        <v>86</v>
      </c>
      <c r="AC47" s="7" t="s">
        <v>58</v>
      </c>
      <c r="AD47" s="15" t="s">
        <v>87</v>
      </c>
      <c r="AE47" s="15" t="s">
        <v>88</v>
      </c>
      <c r="AF47" s="15" t="s">
        <v>89</v>
      </c>
      <c r="AG47" s="15" t="s">
        <v>90</v>
      </c>
      <c r="AH47" s="15" t="s">
        <v>91</v>
      </c>
      <c r="AI47" s="30" t="s">
        <v>52</v>
      </c>
      <c r="AK47" s="7" t="s">
        <v>92</v>
      </c>
      <c r="AL47" s="7" t="s">
        <v>93</v>
      </c>
    </row>
    <row r="48" spans="2:38" ht="15.75" x14ac:dyDescent="0.5">
      <c r="B48" s="8" t="s">
        <v>32</v>
      </c>
      <c r="C48" s="8" t="s">
        <v>35</v>
      </c>
      <c r="D48" s="8" t="s">
        <v>44</v>
      </c>
      <c r="E48" s="8" t="s">
        <v>44</v>
      </c>
      <c r="F48" s="9" t="s">
        <v>30</v>
      </c>
      <c r="G48" s="8" t="s">
        <v>31</v>
      </c>
      <c r="H48" s="10" t="s">
        <v>28</v>
      </c>
      <c r="I48" s="9" t="s">
        <v>29</v>
      </c>
      <c r="J48" s="10" t="s">
        <v>28</v>
      </c>
      <c r="K48" s="9" t="s">
        <v>32</v>
      </c>
      <c r="L48" s="9" t="s">
        <v>32</v>
      </c>
      <c r="M48" s="9" t="s">
        <v>29</v>
      </c>
      <c r="N48" s="1"/>
      <c r="O48" s="8" t="s">
        <v>32</v>
      </c>
      <c r="P48" s="8" t="s">
        <v>51</v>
      </c>
      <c r="Q48" s="8" t="s">
        <v>51</v>
      </c>
      <c r="R48" s="8" t="s">
        <v>51</v>
      </c>
      <c r="S48" s="8" t="s">
        <v>51</v>
      </c>
      <c r="T48" s="8" t="s">
        <v>51</v>
      </c>
      <c r="U48" s="8" t="s">
        <v>51</v>
      </c>
      <c r="V48" s="29" t="s">
        <v>53</v>
      </c>
      <c r="W48" s="1"/>
      <c r="X48" s="8" t="s">
        <v>59</v>
      </c>
      <c r="Y48" s="8" t="s">
        <v>59</v>
      </c>
      <c r="Z48" s="8" t="s">
        <v>59</v>
      </c>
      <c r="AA48" s="8" t="s">
        <v>59</v>
      </c>
      <c r="AB48" s="8" t="s">
        <v>59</v>
      </c>
      <c r="AC48" s="8" t="s">
        <v>59</v>
      </c>
      <c r="AD48" s="10" t="s">
        <v>53</v>
      </c>
      <c r="AE48" s="10" t="s">
        <v>53</v>
      </c>
      <c r="AF48" s="10" t="s">
        <v>53</v>
      </c>
      <c r="AG48" s="10" t="s">
        <v>53</v>
      </c>
      <c r="AH48" s="10" t="s">
        <v>53</v>
      </c>
      <c r="AI48" s="29" t="s">
        <v>53</v>
      </c>
      <c r="AK48" s="10" t="s">
        <v>53</v>
      </c>
      <c r="AL48" s="26" t="s">
        <v>29</v>
      </c>
    </row>
    <row r="49" spans="2:38" x14ac:dyDescent="0.45">
      <c r="B49" s="4" t="s">
        <v>76</v>
      </c>
      <c r="C49" s="4">
        <v>56</v>
      </c>
      <c r="D49" s="11">
        <f>AVERAGE(116.3,116.7,116.5)</f>
        <v>116.5</v>
      </c>
      <c r="E49" s="11">
        <v>101</v>
      </c>
      <c r="F49" s="12">
        <f>(D49/10)*(PI()/4)*((E49/10)^2)</f>
        <v>933.38013645122351</v>
      </c>
      <c r="G49" s="11">
        <v>1896.2</v>
      </c>
      <c r="H49" s="12">
        <f>G49/F49</f>
        <v>2.0315409830870035</v>
      </c>
      <c r="I49" s="13">
        <v>0.1430861723446894</v>
      </c>
      <c r="J49" s="12">
        <f>H49/(1+I49)</f>
        <v>1.7772421994397172</v>
      </c>
      <c r="K49" s="16">
        <v>2.5</v>
      </c>
      <c r="L49" s="11">
        <f t="shared" ref="L49:L56" si="22">K49/J49-1</f>
        <v>0.40667377850252207</v>
      </c>
      <c r="M49" s="13">
        <f t="shared" ref="M49:M56" si="23">I49*(K49/L49)</f>
        <v>0.87961272590262429</v>
      </c>
      <c r="N49" s="1"/>
      <c r="O49" s="4">
        <v>0.46</v>
      </c>
      <c r="P49" s="2">
        <v>342.39</v>
      </c>
      <c r="Q49" s="2">
        <v>291.54000000000002</v>
      </c>
      <c r="R49" s="2">
        <v>249.73</v>
      </c>
      <c r="S49" s="2">
        <v>368.38</v>
      </c>
      <c r="T49" s="2">
        <v>240.69</v>
      </c>
      <c r="U49" s="2">
        <f>AVERAGE(P49:T49)</f>
        <v>298.54599999999999</v>
      </c>
      <c r="V49" s="14">
        <f>((((D49/10)/U49)*10000)^2)*((H49*1000*(1+O49)*(1-2*(O49)))/(1-O49))/1000000</f>
        <v>66.911999532050558</v>
      </c>
      <c r="W49" s="1"/>
      <c r="X49" s="2">
        <v>1.3700137001375599E-3</v>
      </c>
      <c r="Y49" s="2">
        <v>1.3300133001337101E-3</v>
      </c>
      <c r="Z49" s="2">
        <v>1.32001320013586E-3</v>
      </c>
      <c r="AA49" s="2">
        <v>1.3000130001330501E-3</v>
      </c>
      <c r="AB49" s="2">
        <v>1.3000130001330501E-3</v>
      </c>
      <c r="AC49" s="2">
        <f t="shared" ref="AC49:AC56" si="24">AVERAGE(X49:AB49)</f>
        <v>1.3240132401346459E-3</v>
      </c>
      <c r="AD49" s="2">
        <v>167.365155696248</v>
      </c>
      <c r="AE49" s="2">
        <v>188.57938224062701</v>
      </c>
      <c r="AF49" s="2">
        <v>193.88293887507299</v>
      </c>
      <c r="AG49" s="2">
        <v>208.52277404103501</v>
      </c>
      <c r="AH49" s="2">
        <v>208.52277404103501</v>
      </c>
      <c r="AI49" s="14">
        <f t="shared" ref="AI49:AI56" si="25">AVERAGE(AD49:AH49)</f>
        <v>193.3746049788036</v>
      </c>
      <c r="AK49" s="38">
        <f>V49-AI49</f>
        <v>-126.46260544675305</v>
      </c>
      <c r="AL49" s="39">
        <f>ABS(AK49)/V49</f>
        <v>1.889983954016768</v>
      </c>
    </row>
    <row r="50" spans="2:38" x14ac:dyDescent="0.45">
      <c r="B50" s="4" t="s">
        <v>77</v>
      </c>
      <c r="C50" s="4">
        <v>56</v>
      </c>
      <c r="D50" s="19">
        <f t="shared" ref="D50:D56" si="26">AVERAGE(116.5,116.2,116.4,116.3)</f>
        <v>116.35000000000001</v>
      </c>
      <c r="E50" s="11">
        <v>101</v>
      </c>
      <c r="F50" s="12">
        <f t="shared" ref="F50:F56" si="27">(D50/10)*(PI()/4)*((E50/10)^2)</f>
        <v>932.17835945150102</v>
      </c>
      <c r="G50" s="11">
        <v>1853.2</v>
      </c>
      <c r="H50" s="12">
        <f t="shared" ref="H50:H54" si="28">G50/F50</f>
        <v>1.9880315619968192</v>
      </c>
      <c r="I50" s="13">
        <v>0.17279256442754556</v>
      </c>
      <c r="J50" s="12">
        <f t="shared" ref="J50:J54" si="29">H50/(1+I50)</f>
        <v>1.6951263354634258</v>
      </c>
      <c r="K50" s="16">
        <v>2.5</v>
      </c>
      <c r="L50" s="11">
        <f t="shared" si="22"/>
        <v>0.47481632943690411</v>
      </c>
      <c r="M50" s="13">
        <f t="shared" si="23"/>
        <v>0.90978634113355128</v>
      </c>
      <c r="N50" s="1"/>
      <c r="O50" s="4">
        <v>0.47</v>
      </c>
      <c r="P50" s="2">
        <v>415.84</v>
      </c>
      <c r="Q50" s="2">
        <v>463.3</v>
      </c>
      <c r="R50" s="2">
        <v>423.75</v>
      </c>
      <c r="S50" s="2">
        <v>420.36</v>
      </c>
      <c r="T50" s="2">
        <v>413.58</v>
      </c>
      <c r="U50" s="2">
        <f t="shared" ref="U50:U56" si="30">AVERAGE(P50:T50)</f>
        <v>427.36599999999999</v>
      </c>
      <c r="V50" s="14">
        <f t="shared" ref="V50:V56" si="31">((((D50/10)/U50)*10000)^2)*((H50*1000*(1+O50)*(1-2*(O50)))/(1-O50))/1000000</f>
        <v>24.521601461940019</v>
      </c>
      <c r="W50" s="1"/>
      <c r="X50" s="2">
        <v>1.59001590015961E-3</v>
      </c>
      <c r="Y50" s="2">
        <v>1.49001490014911E-3</v>
      </c>
      <c r="Z50" s="2">
        <v>1.46001460014844E-3</v>
      </c>
      <c r="AA50" s="2">
        <v>1.46001460014134E-3</v>
      </c>
      <c r="AB50" s="2">
        <v>1.4200142001428199E-3</v>
      </c>
      <c r="AC50" s="2">
        <f t="shared" si="24"/>
        <v>1.484014840148264E-3</v>
      </c>
      <c r="AD50" s="2">
        <v>76.374633715270704</v>
      </c>
      <c r="AE50" s="2">
        <v>101.894188601746</v>
      </c>
      <c r="AF50" s="2">
        <v>117.84227703017601</v>
      </c>
      <c r="AG50" s="2">
        <v>117.84227703395401</v>
      </c>
      <c r="AH50" s="2">
        <v>139.10639493726799</v>
      </c>
      <c r="AI50" s="14">
        <f t="shared" si="25"/>
        <v>110.61195426368295</v>
      </c>
      <c r="AK50" s="38">
        <f>V50-AI50</f>
        <v>-86.090352801742924</v>
      </c>
      <c r="AL50" s="39">
        <f t="shared" ref="AL50:AL54" si="32">ABS(AK50)/V50</f>
        <v>3.5107965087583604</v>
      </c>
    </row>
    <row r="51" spans="2:38" x14ac:dyDescent="0.45">
      <c r="B51" s="4" t="s">
        <v>78</v>
      </c>
      <c r="C51" s="4">
        <v>56</v>
      </c>
      <c r="D51" s="19">
        <f t="shared" si="26"/>
        <v>116.35000000000001</v>
      </c>
      <c r="E51" s="11">
        <v>101</v>
      </c>
      <c r="F51" s="12">
        <f t="shared" si="27"/>
        <v>932.17835945150102</v>
      </c>
      <c r="G51" s="11">
        <v>1805</v>
      </c>
      <c r="H51" s="12">
        <f t="shared" si="28"/>
        <v>1.9363247190828075</v>
      </c>
      <c r="I51" s="13">
        <v>0.1863437537080784</v>
      </c>
      <c r="J51" s="12">
        <f t="shared" si="29"/>
        <v>1.6321784584194605</v>
      </c>
      <c r="K51" s="16">
        <v>2.5</v>
      </c>
      <c r="L51" s="11">
        <f t="shared" si="22"/>
        <v>0.53169525495447645</v>
      </c>
      <c r="M51" s="13">
        <f t="shared" si="23"/>
        <v>0.87617743421479799</v>
      </c>
      <c r="N51" s="1"/>
      <c r="O51" s="4">
        <v>0.46</v>
      </c>
      <c r="P51" s="2">
        <v>574.04</v>
      </c>
      <c r="Q51" s="2">
        <v>996.66</v>
      </c>
      <c r="R51" s="2">
        <v>1033.95</v>
      </c>
      <c r="S51" s="2">
        <v>923.21</v>
      </c>
      <c r="T51" s="2">
        <v>1048.6400000000001</v>
      </c>
      <c r="U51" s="2">
        <f t="shared" si="30"/>
        <v>915.3</v>
      </c>
      <c r="V51" s="14">
        <f t="shared" si="31"/>
        <v>6.7675757126117384</v>
      </c>
      <c r="W51" s="1"/>
      <c r="X51" s="2">
        <v>1.60001600015391E-3</v>
      </c>
      <c r="Y51" s="2">
        <v>1.60001600015391E-3</v>
      </c>
      <c r="Z51" s="2">
        <v>1.5300153001476201E-3</v>
      </c>
      <c r="AA51" s="2">
        <v>1.5300153001476201E-3</v>
      </c>
      <c r="AB51" s="2">
        <v>1.6200162001496199E-3</v>
      </c>
      <c r="AC51" s="2">
        <f t="shared" si="24"/>
        <v>1.5760157601505359E-3</v>
      </c>
      <c r="AD51" s="2">
        <v>74.822332257454505</v>
      </c>
      <c r="AE51" s="2">
        <v>74.822332257454505</v>
      </c>
      <c r="AF51" s="2">
        <v>91.936497267231402</v>
      </c>
      <c r="AG51" s="2">
        <v>91.936497267231402</v>
      </c>
      <c r="AH51" s="2">
        <v>69.932570827578701</v>
      </c>
      <c r="AI51" s="14">
        <f t="shared" si="25"/>
        <v>80.690045975390106</v>
      </c>
      <c r="AK51" s="38">
        <f t="shared" ref="AK51:AK56" si="33">V51-AI51</f>
        <v>-73.922470262778361</v>
      </c>
      <c r="AL51" s="39">
        <f t="shared" si="32"/>
        <v>10.923035574617938</v>
      </c>
    </row>
    <row r="52" spans="2:38" x14ac:dyDescent="0.45">
      <c r="B52" s="4" t="s">
        <v>79</v>
      </c>
      <c r="C52" s="4">
        <v>25</v>
      </c>
      <c r="D52" s="11">
        <f t="shared" si="26"/>
        <v>116.35000000000001</v>
      </c>
      <c r="E52" s="11">
        <v>101</v>
      </c>
      <c r="F52" s="12">
        <f t="shared" si="27"/>
        <v>932.17835945150102</v>
      </c>
      <c r="G52" s="11">
        <v>1748.1999999999998</v>
      </c>
      <c r="H52" s="12">
        <f t="shared" si="28"/>
        <v>1.8753921739061294</v>
      </c>
      <c r="I52" s="13">
        <v>0.16556028504471754</v>
      </c>
      <c r="J52" s="12">
        <f t="shared" si="29"/>
        <v>1.6090048691339709</v>
      </c>
      <c r="K52" s="16">
        <v>2.5</v>
      </c>
      <c r="L52" s="11">
        <f t="shared" si="22"/>
        <v>0.55375539748714209</v>
      </c>
      <c r="M52" s="13">
        <f t="shared" si="23"/>
        <v>0.74744321137096337</v>
      </c>
      <c r="N52" s="1"/>
      <c r="O52" s="4">
        <v>0.4</v>
      </c>
      <c r="P52" s="2">
        <v>397.76</v>
      </c>
      <c r="Q52" s="2">
        <v>418.1</v>
      </c>
      <c r="R52" s="2">
        <v>400.02</v>
      </c>
      <c r="S52" s="2">
        <v>389.85</v>
      </c>
      <c r="T52" s="2">
        <v>402.28</v>
      </c>
      <c r="U52" s="2">
        <f t="shared" si="30"/>
        <v>401.60199999999998</v>
      </c>
      <c r="V52" s="14">
        <f t="shared" si="31"/>
        <v>73.45813899666885</v>
      </c>
      <c r="W52" s="1"/>
      <c r="X52" s="2">
        <v>1.68001680016694E-3</v>
      </c>
      <c r="Y52" s="2">
        <v>1.7000170001679701E-3</v>
      </c>
      <c r="Z52" s="2">
        <v>1.6800168001722699E-3</v>
      </c>
      <c r="AA52" s="2">
        <v>1.66001660016946E-3</v>
      </c>
      <c r="AB52" s="2">
        <v>1.7100171001658299E-3</v>
      </c>
      <c r="AC52" s="2">
        <f t="shared" si="24"/>
        <v>1.686016860168494E-3</v>
      </c>
      <c r="AD52" s="2">
        <v>60.8073858594082</v>
      </c>
      <c r="AE52" s="2">
        <v>55.976162943930603</v>
      </c>
      <c r="AF52" s="2">
        <v>60.807385858120902</v>
      </c>
      <c r="AG52" s="2">
        <v>65.638608774027603</v>
      </c>
      <c r="AH52" s="2">
        <v>53.5605514868355</v>
      </c>
      <c r="AI52" s="14">
        <f t="shared" si="25"/>
        <v>59.358018984464557</v>
      </c>
      <c r="AK52" s="38">
        <f t="shared" si="33"/>
        <v>14.100120012204293</v>
      </c>
      <c r="AL52" s="39">
        <f t="shared" si="32"/>
        <v>0.19194768891223477</v>
      </c>
    </row>
    <row r="53" spans="2:38" x14ac:dyDescent="0.45">
      <c r="B53" s="4" t="s">
        <v>80</v>
      </c>
      <c r="C53" s="4">
        <v>25</v>
      </c>
      <c r="D53" s="11">
        <f t="shared" si="26"/>
        <v>116.35000000000001</v>
      </c>
      <c r="E53" s="11">
        <v>101</v>
      </c>
      <c r="F53" s="12">
        <f t="shared" si="27"/>
        <v>932.17835945150102</v>
      </c>
      <c r="G53" s="11">
        <v>1788.6</v>
      </c>
      <c r="H53" s="12">
        <f t="shared" si="28"/>
        <v>1.9187315194191186</v>
      </c>
      <c r="I53" s="13">
        <v>0.19470446643487566</v>
      </c>
      <c r="J53" s="12">
        <f t="shared" si="29"/>
        <v>1.6060302554528956</v>
      </c>
      <c r="K53" s="16">
        <v>2.5</v>
      </c>
      <c r="L53" s="11">
        <f t="shared" si="22"/>
        <v>0.55663319013564139</v>
      </c>
      <c r="M53" s="13">
        <f t="shared" si="23"/>
        <v>0.87447384509819537</v>
      </c>
      <c r="N53" s="1"/>
      <c r="O53" s="4">
        <v>0.46</v>
      </c>
      <c r="P53" s="2">
        <v>870.1</v>
      </c>
      <c r="Q53" s="2">
        <v>706.25</v>
      </c>
      <c r="R53" s="2">
        <v>197.75</v>
      </c>
      <c r="S53" s="2">
        <v>72.320000000000107</v>
      </c>
      <c r="T53" s="2"/>
      <c r="U53" s="2">
        <f>AVERAGE(P53:T53)</f>
        <v>461.60500000000002</v>
      </c>
      <c r="V53" s="14">
        <f t="shared" si="31"/>
        <v>26.366656380882276</v>
      </c>
      <c r="W53" s="1"/>
      <c r="X53" s="2">
        <v>2.2200222002215502E-3</v>
      </c>
      <c r="Y53" s="2">
        <v>1.72001720017079E-3</v>
      </c>
      <c r="Z53" s="2">
        <v>1.7000170001679701E-3</v>
      </c>
      <c r="AA53" s="2">
        <v>1.7900179001770801E-3</v>
      </c>
      <c r="AB53" s="2">
        <v>2.4200242002336801E-3</v>
      </c>
      <c r="AC53" s="2">
        <f t="shared" si="24"/>
        <v>1.9700197001942142E-3</v>
      </c>
      <c r="AD53" s="2">
        <v>8.3882847928731703</v>
      </c>
      <c r="AE53" s="2">
        <v>47.798818860397802</v>
      </c>
      <c r="AF53" s="2">
        <v>50.373525099389603</v>
      </c>
      <c r="AG53" s="2">
        <v>39.457497798261599</v>
      </c>
      <c r="AH53" s="2"/>
      <c r="AI53" s="14">
        <f t="shared" si="25"/>
        <v>36.504531637730544</v>
      </c>
      <c r="AK53" s="38">
        <f t="shared" si="33"/>
        <v>-10.137875256848268</v>
      </c>
      <c r="AL53" s="39">
        <f t="shared" si="32"/>
        <v>0.38449605101232925</v>
      </c>
    </row>
    <row r="54" spans="2:38" x14ac:dyDescent="0.45">
      <c r="B54" s="4" t="s">
        <v>69</v>
      </c>
      <c r="C54" s="4">
        <v>25</v>
      </c>
      <c r="D54" s="11">
        <f t="shared" si="26"/>
        <v>116.35000000000001</v>
      </c>
      <c r="E54" s="11">
        <v>101</v>
      </c>
      <c r="F54" s="12">
        <f t="shared" si="27"/>
        <v>932.17835945150102</v>
      </c>
      <c r="G54" s="11">
        <v>1781.4</v>
      </c>
      <c r="H54" s="12">
        <f t="shared" si="28"/>
        <v>1.9110076756643286</v>
      </c>
      <c r="I54" s="13">
        <v>0.13297332509443671</v>
      </c>
      <c r="J54" s="12">
        <f t="shared" si="29"/>
        <v>1.6867190368361413</v>
      </c>
      <c r="K54" s="16">
        <v>2.5</v>
      </c>
      <c r="L54" s="11">
        <f t="shared" si="22"/>
        <v>0.48216741816667241</v>
      </c>
      <c r="M54" s="13">
        <f t="shared" si="23"/>
        <v>0.68945619345266185</v>
      </c>
      <c r="N54" s="1"/>
      <c r="O54" s="4">
        <v>0.32</v>
      </c>
      <c r="P54" s="2">
        <v>364.99</v>
      </c>
      <c r="Q54" s="2">
        <v>287.02</v>
      </c>
      <c r="R54" s="2">
        <v>303.97000000000003</v>
      </c>
      <c r="S54" s="2">
        <v>238.43</v>
      </c>
      <c r="T54" s="2">
        <v>250.86</v>
      </c>
      <c r="U54" s="2">
        <f t="shared" si="30"/>
        <v>289.05399999999997</v>
      </c>
      <c r="V54" s="14">
        <f t="shared" si="31"/>
        <v>216.37384303347091</v>
      </c>
      <c r="W54" s="1"/>
      <c r="X54" s="2">
        <v>1.4200142001410401E-3</v>
      </c>
      <c r="Y54" s="2">
        <v>1.42001420013926E-3</v>
      </c>
      <c r="Z54" s="2">
        <v>1.40001400014E-3</v>
      </c>
      <c r="AA54" s="2">
        <v>1.3900139001350501E-3</v>
      </c>
      <c r="AB54" s="2">
        <v>1.40001400014E-3</v>
      </c>
      <c r="AC54" s="2">
        <f t="shared" si="24"/>
        <v>1.4060140601390699E-3</v>
      </c>
      <c r="AD54" s="2">
        <v>160.75421193547399</v>
      </c>
      <c r="AE54" s="2">
        <v>160.75421193639099</v>
      </c>
      <c r="AF54" s="2">
        <v>171.079762979344</v>
      </c>
      <c r="AG54" s="2">
        <v>176.24253850357101</v>
      </c>
      <c r="AH54" s="2">
        <v>171.079762979344</v>
      </c>
      <c r="AI54" s="14">
        <f t="shared" si="25"/>
        <v>167.98209766682481</v>
      </c>
      <c r="AK54" s="38">
        <f t="shared" si="33"/>
        <v>48.391745366646091</v>
      </c>
      <c r="AL54" s="39">
        <f t="shared" si="32"/>
        <v>0.22364877698807784</v>
      </c>
    </row>
    <row r="55" spans="2:38" x14ac:dyDescent="0.45">
      <c r="B55" s="4" t="s">
        <v>68</v>
      </c>
      <c r="C55" s="4">
        <v>25</v>
      </c>
      <c r="D55" s="11">
        <f t="shared" si="26"/>
        <v>116.35000000000001</v>
      </c>
      <c r="E55" s="11">
        <v>101</v>
      </c>
      <c r="F55" s="12">
        <f t="shared" si="27"/>
        <v>932.17835945150102</v>
      </c>
      <c r="G55" s="11">
        <v>1808.4</v>
      </c>
      <c r="H55" s="12">
        <f>G55/F55</f>
        <v>1.9399720897447918</v>
      </c>
      <c r="I55" s="13">
        <v>0.15578764142732804</v>
      </c>
      <c r="J55" s="12">
        <f>H55/(1+I55)</f>
        <v>1.678484887889131</v>
      </c>
      <c r="K55" s="16">
        <v>2.5</v>
      </c>
      <c r="L55" s="11">
        <f t="shared" si="22"/>
        <v>0.48943849184368271</v>
      </c>
      <c r="M55" s="13">
        <f t="shared" si="23"/>
        <v>0.79574677933730853</v>
      </c>
      <c r="N55" s="1"/>
      <c r="O55" s="4">
        <v>0.44</v>
      </c>
      <c r="P55" s="2">
        <v>283.63</v>
      </c>
      <c r="Q55" s="2">
        <v>277.98</v>
      </c>
      <c r="R55" s="2">
        <v>296.06</v>
      </c>
      <c r="S55" s="2">
        <v>363.86</v>
      </c>
      <c r="T55" s="2">
        <v>279.11</v>
      </c>
      <c r="U55" s="2">
        <f t="shared" si="30"/>
        <v>300.12800000000004</v>
      </c>
      <c r="V55" s="14">
        <f t="shared" si="31"/>
        <v>89.964452196165865</v>
      </c>
      <c r="W55" s="1"/>
      <c r="X55" s="2">
        <v>1.4800148001477E-3</v>
      </c>
      <c r="Y55" s="2">
        <v>1.52001520014977E-3</v>
      </c>
      <c r="Z55" s="2">
        <v>1.5000150001611701E-3</v>
      </c>
      <c r="AA55" s="2">
        <v>1.5100151001519199E-3</v>
      </c>
      <c r="AB55" s="2">
        <v>1.57001570015325E-3</v>
      </c>
      <c r="AC55" s="2">
        <f t="shared" si="24"/>
        <v>1.516015160152762E-3</v>
      </c>
      <c r="AD55" s="2">
        <v>112.632218985227</v>
      </c>
      <c r="AE55" s="2">
        <v>96.086920489300198</v>
      </c>
      <c r="AF55" s="2">
        <v>102.074647533106</v>
      </c>
      <c r="AG55" s="2">
        <v>98.521966291531001</v>
      </c>
      <c r="AH55" s="2">
        <v>83.911691474685796</v>
      </c>
      <c r="AI55" s="14">
        <f t="shared" si="25"/>
        <v>98.645488954770002</v>
      </c>
      <c r="AK55" s="38">
        <f>V55-AI55</f>
        <v>-8.6810367586041366</v>
      </c>
      <c r="AL55" s="39">
        <f>ABS(AK55)/V55</f>
        <v>9.6494076790189218E-2</v>
      </c>
    </row>
    <row r="56" spans="2:38" x14ac:dyDescent="0.45">
      <c r="B56" s="4" t="s">
        <v>76</v>
      </c>
      <c r="C56" s="4">
        <v>25</v>
      </c>
      <c r="D56" s="19">
        <f t="shared" si="26"/>
        <v>116.35000000000001</v>
      </c>
      <c r="E56" s="11">
        <v>101</v>
      </c>
      <c r="F56" s="12">
        <f t="shared" si="27"/>
        <v>932.17835945150102</v>
      </c>
      <c r="G56" s="11">
        <v>1746.2</v>
      </c>
      <c r="H56" s="12">
        <f>G56/F56</f>
        <v>1.8732466617520214</v>
      </c>
      <c r="I56" s="13">
        <v>0.16935064935064942</v>
      </c>
      <c r="J56" s="12">
        <f>H56/(1+I56)</f>
        <v>1.601954608561813</v>
      </c>
      <c r="K56" s="16">
        <v>2.5</v>
      </c>
      <c r="L56" s="11">
        <f t="shared" si="22"/>
        <v>0.56059353157604463</v>
      </c>
      <c r="M56" s="13">
        <f t="shared" si="23"/>
        <v>0.75522923389135188</v>
      </c>
      <c r="N56" s="1"/>
      <c r="O56" s="4">
        <v>0.4</v>
      </c>
      <c r="P56" s="2">
        <v>448.61</v>
      </c>
      <c r="Q56" s="2">
        <v>480.25</v>
      </c>
      <c r="R56" s="2">
        <v>359.34</v>
      </c>
      <c r="S56" s="2">
        <v>479.12</v>
      </c>
      <c r="T56" s="2">
        <v>418.1</v>
      </c>
      <c r="U56" s="2">
        <f t="shared" si="30"/>
        <v>437.084</v>
      </c>
      <c r="V56" s="14">
        <f t="shared" si="31"/>
        <v>61.944778699149637</v>
      </c>
      <c r="W56" s="1"/>
      <c r="X56" s="2">
        <v>1.4800148001477E-3</v>
      </c>
      <c r="Y56" s="2">
        <v>1.4200142001428199E-3</v>
      </c>
      <c r="Z56" s="2">
        <v>1.46001460014844E-3</v>
      </c>
      <c r="AA56" s="2">
        <v>1.46001460014134E-3</v>
      </c>
      <c r="AB56" s="2"/>
      <c r="AC56" s="2">
        <f t="shared" si="24"/>
        <v>1.455014550145075E-3</v>
      </c>
      <c r="AD56" s="2">
        <v>119.744468017876</v>
      </c>
      <c r="AE56" s="2">
        <v>151.12405789329199</v>
      </c>
      <c r="AF56" s="2">
        <v>130.20433130844199</v>
      </c>
      <c r="AG56" s="2">
        <v>130.20433131215799</v>
      </c>
      <c r="AH56" s="2"/>
      <c r="AI56" s="14">
        <f t="shared" si="25"/>
        <v>132.81929713294198</v>
      </c>
      <c r="AK56" s="38">
        <f t="shared" ref="AK56" si="34">V56-AI56</f>
        <v>-70.874518433792346</v>
      </c>
      <c r="AL56" s="39">
        <f t="shared" ref="AL56" si="35">ABS(AK56)/V56</f>
        <v>1.1441564555103543</v>
      </c>
    </row>
  </sheetData>
  <mergeCells count="18">
    <mergeCell ref="AK32:AL32"/>
    <mergeCell ref="AK46:AL46"/>
    <mergeCell ref="B46:M46"/>
    <mergeCell ref="O46:V46"/>
    <mergeCell ref="X46:AI46"/>
    <mergeCell ref="B2:AI2"/>
    <mergeCell ref="B4:M4"/>
    <mergeCell ref="O4:V4"/>
    <mergeCell ref="X4:AI4"/>
    <mergeCell ref="B15:AI15"/>
    <mergeCell ref="B17:M17"/>
    <mergeCell ref="O17:V17"/>
    <mergeCell ref="X17:AI17"/>
    <mergeCell ref="B30:AI30"/>
    <mergeCell ref="B32:M32"/>
    <mergeCell ref="O32:V32"/>
    <mergeCell ref="X32:AI32"/>
    <mergeCell ref="B44:AI44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2C49-3A49-4E47-87EB-B170A5E1BA59}">
  <dimension ref="B4:C20"/>
  <sheetViews>
    <sheetView workbookViewId="0">
      <selection activeCell="I24" sqref="I24"/>
    </sheetView>
  </sheetViews>
  <sheetFormatPr defaultRowHeight="14.25" x14ac:dyDescent="0.45"/>
  <cols>
    <col min="1" max="16384" width="9.06640625" style="1"/>
  </cols>
  <sheetData>
    <row r="4" spans="2:3" x14ac:dyDescent="0.45">
      <c r="B4" s="37" t="s">
        <v>81</v>
      </c>
      <c r="C4" s="37"/>
    </row>
    <row r="5" spans="2:3" ht="15.75" x14ac:dyDescent="0.5">
      <c r="B5" s="21" t="s">
        <v>27</v>
      </c>
      <c r="C5" s="22" t="s">
        <v>61</v>
      </c>
    </row>
    <row r="6" spans="2:3" x14ac:dyDescent="0.45">
      <c r="B6" s="23">
        <f>Mediciones!I36</f>
        <v>0.11805225653206648</v>
      </c>
      <c r="C6" s="12">
        <f>Mediciones!J36</f>
        <v>1.763728134637909</v>
      </c>
    </row>
    <row r="7" spans="2:3" x14ac:dyDescent="0.45">
      <c r="B7" s="23">
        <f>Mediciones!I37</f>
        <v>9.6678107984795758E-2</v>
      </c>
      <c r="C7" s="12">
        <f>Mediciones!J37</f>
        <v>1.6822689096024417</v>
      </c>
    </row>
    <row r="8" spans="2:3" x14ac:dyDescent="0.45">
      <c r="B8" s="23">
        <f>Mediciones!I38</f>
        <v>8.0713111267325499E-2</v>
      </c>
      <c r="C8" s="12">
        <f>Mediciones!J38</f>
        <v>1.6483733962172045</v>
      </c>
    </row>
    <row r="9" spans="2:3" x14ac:dyDescent="0.45">
      <c r="B9" s="23">
        <f>Mediciones!I49</f>
        <v>0.1430861723446894</v>
      </c>
      <c r="C9" s="12">
        <f>Mediciones!J49</f>
        <v>1.7772421994397172</v>
      </c>
    </row>
    <row r="10" spans="2:3" x14ac:dyDescent="0.45">
      <c r="B10" s="23">
        <f>Mediciones!I50</f>
        <v>0.17279256442754556</v>
      </c>
      <c r="C10" s="12">
        <f>Mediciones!J50</f>
        <v>1.6951263354634258</v>
      </c>
    </row>
    <row r="11" spans="2:3" x14ac:dyDescent="0.45">
      <c r="B11" s="23">
        <f>Mediciones!I51</f>
        <v>0.1863437537080784</v>
      </c>
      <c r="C11" s="12">
        <f>Mediciones!J51</f>
        <v>1.6321784584194605</v>
      </c>
    </row>
    <row r="13" spans="2:3" x14ac:dyDescent="0.45">
      <c r="B13" s="37" t="s">
        <v>82</v>
      </c>
      <c r="C13" s="37"/>
    </row>
    <row r="14" spans="2:3" ht="15.75" x14ac:dyDescent="0.5">
      <c r="B14" s="21" t="s">
        <v>27</v>
      </c>
      <c r="C14" s="22" t="s">
        <v>61</v>
      </c>
    </row>
    <row r="15" spans="2:3" x14ac:dyDescent="0.45">
      <c r="B15" s="23">
        <f>Mediciones!I35</f>
        <v>0.11843409316154611</v>
      </c>
      <c r="C15" s="12">
        <f>Mediciones!J35</f>
        <v>1.6584291622044007</v>
      </c>
    </row>
    <row r="16" spans="2:3" x14ac:dyDescent="0.45">
      <c r="B16" s="23">
        <f>Mediciones!I54</f>
        <v>0.13297332509443671</v>
      </c>
      <c r="C16" s="12">
        <f>Mediciones!J54</f>
        <v>1.6867190368361413</v>
      </c>
    </row>
    <row r="17" spans="2:3" x14ac:dyDescent="0.45">
      <c r="B17" s="23">
        <f>Mediciones!I55</f>
        <v>0.15578764142732804</v>
      </c>
      <c r="C17" s="12">
        <f>Mediciones!J55</f>
        <v>1.678484887889131</v>
      </c>
    </row>
    <row r="18" spans="2:3" x14ac:dyDescent="0.45">
      <c r="B18" s="23">
        <f>Mediciones!I56</f>
        <v>0.16935064935064942</v>
      </c>
      <c r="C18" s="12">
        <f>Mediciones!J56</f>
        <v>1.601954608561813</v>
      </c>
    </row>
    <row r="19" spans="2:3" x14ac:dyDescent="0.45">
      <c r="B19" s="24"/>
      <c r="C19" s="25"/>
    </row>
    <row r="20" spans="2:3" x14ac:dyDescent="0.45">
      <c r="B20" s="24"/>
      <c r="C20" s="25"/>
    </row>
  </sheetData>
  <mergeCells count="2">
    <mergeCell ref="B4:C4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DetalleMediciones</vt:lpstr>
      <vt:lpstr>Mediciones</vt:lpstr>
      <vt:lpstr>CurvasCompactación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2024-01-08T16:07:13Z</dcterms:created>
  <dcterms:modified xsi:type="dcterms:W3CDTF">2024-01-09T23:15:15Z</dcterms:modified>
</cp:coreProperties>
</file>