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InvestigacionUSFQ\SSWCompleteAnalysis\"/>
    </mc:Choice>
  </mc:AlternateContent>
  <xr:revisionPtr revIDLastSave="0" documentId="13_ncr:1_{2389882F-1981-495F-AA20-63C2FF197902}" xr6:coauthVersionLast="47" xr6:coauthVersionMax="47" xr10:uidLastSave="{00000000-0000-0000-0000-000000000000}"/>
  <bookViews>
    <workbookView xWindow="-98" yWindow="-98" windowWidth="21795" windowHeight="12975" activeTab="2" xr2:uid="{F555FD4A-A0AD-4E05-91AA-F39F4B103AE1}"/>
  </bookViews>
  <sheets>
    <sheet name="ObtenciónProbetas" sheetId="1" r:id="rId1"/>
    <sheet name="CurvaCompactaciónProbetas" sheetId="3" r:id="rId2"/>
    <sheet name="ProcesamientoDatos" sheetId="2" r:id="rId3"/>
    <sheet name="SSW_CalibrationCurv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5" l="1"/>
  <c r="G13" i="5"/>
  <c r="F9" i="1"/>
  <c r="L8" i="3" s="1"/>
  <c r="L5" i="3" l="1"/>
  <c r="D7" i="2"/>
  <c r="D8" i="2"/>
  <c r="D9" i="2"/>
  <c r="D10" i="2"/>
  <c r="D11" i="2"/>
  <c r="D12" i="2"/>
  <c r="D13" i="2"/>
  <c r="D14" i="2"/>
  <c r="D15" i="2"/>
  <c r="D16" i="2"/>
  <c r="D17" i="2"/>
  <c r="D6" i="2"/>
  <c r="I7" i="1"/>
  <c r="L6" i="3" s="1"/>
  <c r="I8" i="1"/>
  <c r="I9" i="1"/>
  <c r="I10" i="1"/>
  <c r="I11" i="1"/>
  <c r="I12" i="1"/>
  <c r="I6" i="1"/>
  <c r="N12" i="1" s="1"/>
  <c r="O12" i="1" s="1"/>
  <c r="B12" i="3"/>
  <c r="I12" i="3"/>
  <c r="I8" i="3"/>
  <c r="I11" i="3"/>
  <c r="J11" i="3"/>
  <c r="G16" i="5" l="1"/>
  <c r="F16" i="5"/>
  <c r="E16" i="5"/>
  <c r="D16" i="5"/>
  <c r="C16" i="5"/>
  <c r="B16" i="5"/>
  <c r="X7" i="2" l="1"/>
  <c r="X17" i="2"/>
  <c r="X16" i="2"/>
  <c r="X15" i="2"/>
  <c r="X14" i="2"/>
  <c r="X13" i="2"/>
  <c r="X12" i="2"/>
  <c r="X11" i="2"/>
  <c r="X10" i="2"/>
  <c r="X9" i="2"/>
  <c r="X8" i="2"/>
  <c r="X6" i="2"/>
  <c r="B17" i="2"/>
  <c r="C17" i="2"/>
  <c r="M17" i="2"/>
  <c r="P17" i="2" s="1"/>
  <c r="R17" i="2" s="1"/>
  <c r="N17" i="2"/>
  <c r="B14" i="2"/>
  <c r="C14" i="2"/>
  <c r="M14" i="2"/>
  <c r="P14" i="2" s="1"/>
  <c r="R14" i="2" s="1"/>
  <c r="N14" i="2"/>
  <c r="B15" i="2"/>
  <c r="C15" i="2"/>
  <c r="M15" i="2"/>
  <c r="N15" i="2"/>
  <c r="P15" i="2"/>
  <c r="R15" i="2" s="1"/>
  <c r="B16" i="2"/>
  <c r="C16" i="2"/>
  <c r="M16" i="2"/>
  <c r="N16" i="2"/>
  <c r="P16" i="2"/>
  <c r="R16" i="2" s="1"/>
  <c r="B7" i="2"/>
  <c r="C7" i="2"/>
  <c r="M7" i="2"/>
  <c r="N7" i="2"/>
  <c r="B8" i="2"/>
  <c r="C8" i="2"/>
  <c r="M8" i="2"/>
  <c r="P8" i="2" s="1"/>
  <c r="R8" i="2" s="1"/>
  <c r="N8" i="2"/>
  <c r="B9" i="2"/>
  <c r="C9" i="2"/>
  <c r="M9" i="2"/>
  <c r="N9" i="2"/>
  <c r="P9" i="2"/>
  <c r="R9" i="2" s="1"/>
  <c r="B10" i="2"/>
  <c r="C10" i="2"/>
  <c r="M10" i="2"/>
  <c r="N10" i="2"/>
  <c r="P10" i="2"/>
  <c r="R10" i="2" s="1"/>
  <c r="B11" i="2"/>
  <c r="C11" i="2"/>
  <c r="M11" i="2"/>
  <c r="P11" i="2" s="1"/>
  <c r="R11" i="2" s="1"/>
  <c r="N11" i="2"/>
  <c r="B12" i="2"/>
  <c r="C12" i="2"/>
  <c r="M12" i="2"/>
  <c r="N12" i="2"/>
  <c r="P12" i="2"/>
  <c r="R12" i="2" s="1"/>
  <c r="B13" i="2"/>
  <c r="C13" i="2"/>
  <c r="M13" i="2"/>
  <c r="N13" i="2"/>
  <c r="P13" i="2"/>
  <c r="R13" i="2" s="1"/>
  <c r="B6" i="2"/>
  <c r="C6" i="2"/>
  <c r="N6" i="2"/>
  <c r="M6" i="2"/>
  <c r="O9" i="2"/>
  <c r="Q9" i="2" s="1"/>
  <c r="L9" i="3"/>
  <c r="O10" i="2" s="1"/>
  <c r="Q10" i="2" s="1"/>
  <c r="L10" i="3"/>
  <c r="O11" i="2" s="1"/>
  <c r="Q11" i="2" s="1"/>
  <c r="L11" i="3"/>
  <c r="O15" i="2"/>
  <c r="Q15" i="2" s="1"/>
  <c r="L7" i="3"/>
  <c r="B16" i="3"/>
  <c r="B7" i="3"/>
  <c r="I7" i="3"/>
  <c r="J7" i="3"/>
  <c r="K7" i="3"/>
  <c r="B8" i="3"/>
  <c r="J8" i="3"/>
  <c r="K8" i="3"/>
  <c r="B9" i="3"/>
  <c r="I9" i="3"/>
  <c r="J9" i="3"/>
  <c r="K9" i="3"/>
  <c r="B10" i="3"/>
  <c r="I10" i="3"/>
  <c r="J10" i="3"/>
  <c r="B11" i="3"/>
  <c r="K11" i="3"/>
  <c r="B13" i="3"/>
  <c r="B14" i="3"/>
  <c r="B15" i="3"/>
  <c r="B6" i="3"/>
  <c r="B5" i="3"/>
  <c r="O7" i="2"/>
  <c r="Q7" i="2" s="1"/>
  <c r="O6" i="2"/>
  <c r="Q6" i="2" s="1"/>
  <c r="J6" i="3"/>
  <c r="I6" i="3"/>
  <c r="J5" i="3"/>
  <c r="I5" i="3"/>
  <c r="K5" i="3" s="1"/>
  <c r="M5" i="3" s="1"/>
  <c r="K10" i="3" l="1"/>
  <c r="M10" i="3" s="1"/>
  <c r="K6" i="3"/>
  <c r="M6" i="3" s="1"/>
  <c r="M7" i="3"/>
  <c r="M11" i="3"/>
  <c r="P6" i="2"/>
  <c r="R6" i="2" s="1"/>
  <c r="S6" i="2" s="1"/>
  <c r="T6" i="2" s="1"/>
  <c r="Z6" i="2" s="1"/>
  <c r="M8" i="3"/>
  <c r="P7" i="2"/>
  <c r="R7" i="2" s="1"/>
  <c r="S7" i="2" s="1"/>
  <c r="T7" i="2" s="1"/>
  <c r="Z7" i="2" s="1"/>
  <c r="M9" i="3"/>
  <c r="O14" i="2"/>
  <c r="Q14" i="2" s="1"/>
  <c r="S14" i="2" s="1"/>
  <c r="T14" i="2" s="1"/>
  <c r="S10" i="2"/>
  <c r="T10" i="2" s="1"/>
  <c r="S11" i="2"/>
  <c r="T11" i="2" s="1"/>
  <c r="S9" i="2"/>
  <c r="T9" i="2" s="1"/>
  <c r="O12" i="2"/>
  <c r="Q12" i="2" s="1"/>
  <c r="S12" i="2" s="1"/>
  <c r="T12" i="2" s="1"/>
  <c r="S15" i="2"/>
  <c r="T15" i="2" s="1"/>
  <c r="O17" i="2"/>
  <c r="Q17" i="2" s="1"/>
  <c r="S17" i="2" s="1"/>
  <c r="T17" i="2" s="1"/>
  <c r="O13" i="2"/>
  <c r="Q13" i="2" s="1"/>
  <c r="S13" i="2" s="1"/>
  <c r="T13" i="2" s="1"/>
  <c r="O16" i="2"/>
  <c r="Q16" i="2" s="1"/>
  <c r="S16" i="2" s="1"/>
  <c r="T16" i="2" s="1"/>
  <c r="O8" i="2"/>
  <c r="Q8" i="2" s="1"/>
  <c r="S8" i="2" s="1"/>
  <c r="T8" i="2" s="1"/>
</calcChain>
</file>

<file path=xl/sharedStrings.xml><?xml version="1.0" encoding="utf-8"?>
<sst xmlns="http://schemas.openxmlformats.org/spreadsheetml/2006/main" count="100" uniqueCount="82">
  <si>
    <t>Cronograma Probetas</t>
  </si>
  <si>
    <t>[%]</t>
  </si>
  <si>
    <t>[gr]</t>
  </si>
  <si>
    <t>#Probeta</t>
  </si>
  <si>
    <t>Fecha</t>
  </si>
  <si>
    <t>Altura Final Probeta</t>
  </si>
  <si>
    <t xml:space="preserve">Altura </t>
  </si>
  <si>
    <t>Diametro</t>
  </si>
  <si>
    <t>Humedad Final</t>
  </si>
  <si>
    <t>Masa 1</t>
  </si>
  <si>
    <t>Masa 2</t>
  </si>
  <si>
    <t>Masa3</t>
  </si>
  <si>
    <t>Masa4</t>
  </si>
  <si>
    <t>Masa5</t>
  </si>
  <si>
    <t>Masa6</t>
  </si>
  <si>
    <t>Masa7</t>
  </si>
  <si>
    <t>Masa8</t>
  </si>
  <si>
    <t>Humedad Objetivo</t>
  </si>
  <si>
    <t>Densidad Humeda Final</t>
  </si>
  <si>
    <t>Densidad Seca Final</t>
  </si>
  <si>
    <t>g/cm3</t>
  </si>
  <si>
    <t>#</t>
  </si>
  <si>
    <t>TV1</t>
  </si>
  <si>
    <t>TV2</t>
  </si>
  <si>
    <t>TV3</t>
  </si>
  <si>
    <t>TV prom</t>
  </si>
  <si>
    <t>nu</t>
  </si>
  <si>
    <t>densidad</t>
  </si>
  <si>
    <t>Vp</t>
  </si>
  <si>
    <t>E</t>
  </si>
  <si>
    <t>(us)</t>
  </si>
  <si>
    <t>(cm)</t>
  </si>
  <si>
    <t>(cm/us)</t>
  </si>
  <si>
    <t>(kg/m3)</t>
  </si>
  <si>
    <t>(m/s)</t>
  </si>
  <si>
    <t>Pa</t>
  </si>
  <si>
    <t>Nombre</t>
  </si>
  <si>
    <t>Datos Probeta Final</t>
  </si>
  <si>
    <t>Masa Probeta</t>
  </si>
  <si>
    <t>Humedad #1</t>
  </si>
  <si>
    <t>Humedad #2</t>
  </si>
  <si>
    <t>Lata + Humedo #1</t>
  </si>
  <si>
    <t>Lata + Humedo #2</t>
  </si>
  <si>
    <t>Lata + Seco #1</t>
  </si>
  <si>
    <t>Lata + Seco #2</t>
  </si>
  <si>
    <t>Masa Lata #1</t>
  </si>
  <si>
    <t>Masa Lata #2</t>
  </si>
  <si>
    <t>Análisis Humedad Final de Muestras</t>
  </si>
  <si>
    <t>% Error</t>
  </si>
  <si>
    <t>Resultados Compactación</t>
  </si>
  <si>
    <t>Masa9</t>
  </si>
  <si>
    <t>Masa10</t>
  </si>
  <si>
    <t>Masa11</t>
  </si>
  <si>
    <t>Masa12</t>
  </si>
  <si>
    <t>Mpa</t>
  </si>
  <si>
    <t>Saturación</t>
  </si>
  <si>
    <t>E Vp</t>
  </si>
  <si>
    <t>TOF1</t>
  </si>
  <si>
    <t>TOF2</t>
  </si>
  <si>
    <t>TOF3</t>
  </si>
  <si>
    <t>Probeta</t>
  </si>
  <si>
    <t>Módulo de Young por Velocidad de Onpa p</t>
  </si>
  <si>
    <t>Obtención Poisson</t>
  </si>
  <si>
    <t>Mod. E Pelotazo</t>
  </si>
  <si>
    <t>TOF Prom</t>
  </si>
  <si>
    <t>MPA</t>
  </si>
  <si>
    <t xml:space="preserve">% Error </t>
  </si>
  <si>
    <t>Vw</t>
  </si>
  <si>
    <t>Vv</t>
  </si>
  <si>
    <t>Vs</t>
  </si>
  <si>
    <t>Datos Curva Calibración</t>
  </si>
  <si>
    <t>Mod. Poisson</t>
  </si>
  <si>
    <t>TOF</t>
  </si>
  <si>
    <t>Interpolación para Poisson Dado</t>
  </si>
  <si>
    <t>Interpolación para Módulo de Elasticidad</t>
  </si>
  <si>
    <t>Mod. Elasticidad</t>
  </si>
  <si>
    <t>Masa Cilindro</t>
  </si>
  <si>
    <t>Masa Cilindro + Suelo</t>
  </si>
  <si>
    <t>Masa</t>
  </si>
  <si>
    <t>Vt</t>
  </si>
  <si>
    <t>Masa Alternativa</t>
  </si>
  <si>
    <t>Optimo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</si>
</sst>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/>
    <xf numFmtId="0" fontId="0" fillId="2" borderId="5" xfId="0" applyFill="1" applyBorder="1" applyAlignment="1">
      <alignment horizontal="center"/>
    </xf>
    <xf numFmtId="10" fontId="0" fillId="2" borderId="5" xfId="0" applyNumberFormat="1" applyFill="1" applyBorder="1"/>
    <xf numFmtId="0" fontId="7" fillId="2" borderId="6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0" fillId="0" borderId="13" xfId="0" applyBorder="1"/>
    <xf numFmtId="0" fontId="3" fillId="2" borderId="5" xfId="0" applyFont="1" applyFill="1" applyBorder="1" applyAlignment="1">
      <alignment horizontal="center" vertical="center"/>
    </xf>
    <xf numFmtId="16" fontId="3" fillId="2" borderId="5" xfId="0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64" fontId="0" fillId="2" borderId="5" xfId="0" applyNumberFormat="1" applyFill="1" applyBorder="1"/>
    <xf numFmtId="0" fontId="6" fillId="3" borderId="1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1" fillId="2" borderId="0" xfId="2" applyFill="1"/>
    <xf numFmtId="0" fontId="1" fillId="2" borderId="19" xfId="2" applyFill="1" applyBorder="1"/>
    <xf numFmtId="0" fontId="1" fillId="2" borderId="21" xfId="2" applyFill="1" applyBorder="1"/>
    <xf numFmtId="0" fontId="1" fillId="2" borderId="5" xfId="2" applyFill="1" applyBorder="1"/>
    <xf numFmtId="0" fontId="1" fillId="2" borderId="22" xfId="2" applyFill="1" applyBorder="1"/>
    <xf numFmtId="0" fontId="1" fillId="2" borderId="7" xfId="2" applyFill="1" applyBorder="1"/>
    <xf numFmtId="0" fontId="1" fillId="2" borderId="8" xfId="2" applyFill="1" applyBorder="1"/>
    <xf numFmtId="0" fontId="1" fillId="2" borderId="9" xfId="2" applyFill="1" applyBorder="1"/>
    <xf numFmtId="0" fontId="1" fillId="2" borderId="14" xfId="2" applyFill="1" applyBorder="1"/>
    <xf numFmtId="0" fontId="10" fillId="2" borderId="0" xfId="2" applyFont="1" applyFill="1" applyAlignment="1">
      <alignment horizontal="center"/>
    </xf>
    <xf numFmtId="0" fontId="1" fillId="2" borderId="4" xfId="2" applyFill="1" applyBorder="1"/>
    <xf numFmtId="0" fontId="1" fillId="2" borderId="12" xfId="2" applyFill="1" applyBorder="1"/>
    <xf numFmtId="2" fontId="1" fillId="2" borderId="6" xfId="2" applyNumberFormat="1" applyFill="1" applyBorder="1"/>
    <xf numFmtId="0" fontId="1" fillId="2" borderId="25" xfId="2" applyFill="1" applyBorder="1"/>
    <xf numFmtId="2" fontId="1" fillId="2" borderId="4" xfId="2" applyNumberFormat="1" applyFill="1" applyBorder="1"/>
    <xf numFmtId="2" fontId="1" fillId="2" borderId="20" xfId="2" applyNumberFormat="1" applyFill="1" applyBorder="1"/>
    <xf numFmtId="165" fontId="0" fillId="2" borderId="5" xfId="1" applyNumberFormat="1" applyFont="1" applyFill="1" applyBorder="1"/>
    <xf numFmtId="0" fontId="6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9" fontId="0" fillId="2" borderId="0" xfId="1" applyFont="1" applyFill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10" fillId="2" borderId="6" xfId="2" applyFont="1" applyFill="1" applyBorder="1" applyAlignment="1">
      <alignment horizontal="center"/>
    </xf>
    <xf numFmtId="0" fontId="10" fillId="2" borderId="25" xfId="2" applyFont="1" applyFill="1" applyBorder="1" applyAlignment="1">
      <alignment horizontal="center"/>
    </xf>
    <xf numFmtId="0" fontId="10" fillId="2" borderId="16" xfId="2" applyFont="1" applyFill="1" applyBorder="1" applyAlignment="1">
      <alignment horizontal="center"/>
    </xf>
    <xf numFmtId="0" fontId="10" fillId="2" borderId="17" xfId="2" applyFont="1" applyFill="1" applyBorder="1" applyAlignment="1">
      <alignment horizontal="center"/>
    </xf>
    <xf numFmtId="0" fontId="10" fillId="2" borderId="18" xfId="2" applyFont="1" applyFill="1" applyBorder="1" applyAlignment="1">
      <alignment horizontal="center"/>
    </xf>
    <xf numFmtId="0" fontId="10" fillId="2" borderId="1" xfId="2" applyFont="1" applyFill="1" applyBorder="1" applyAlignment="1">
      <alignment horizontal="center"/>
    </xf>
    <xf numFmtId="0" fontId="10" fillId="2" borderId="3" xfId="2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/>
    </xf>
    <xf numFmtId="0" fontId="10" fillId="2" borderId="10" xfId="2" applyFont="1" applyFill="1" applyBorder="1" applyAlignment="1">
      <alignment horizontal="center"/>
    </xf>
    <xf numFmtId="0" fontId="10" fillId="2" borderId="23" xfId="2" applyFont="1" applyFill="1" applyBorder="1" applyAlignment="1">
      <alignment horizontal="center"/>
    </xf>
    <xf numFmtId="0" fontId="10" fillId="2" borderId="24" xfId="2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A395C95D-9011-4F69-A9A8-DB6498E678B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</a:t>
            </a:r>
            <a:r>
              <a:rPr lang="en-US" baseline="0"/>
              <a:t> de compactación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11927360169323442"/>
                  <c:y val="-0.1311176983814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CurvaCompactaciónProbetas!$K$19:$K$25</c:f>
              <c:numCache>
                <c:formatCode>0%</c:formatCode>
                <c:ptCount val="7"/>
                <c:pt idx="0">
                  <c:v>0.13873393160320133</c:v>
                </c:pt>
                <c:pt idx="1">
                  <c:v>0.16541570438799089</c:v>
                </c:pt>
                <c:pt idx="2">
                  <c:v>0.18396770472895047</c:v>
                </c:pt>
                <c:pt idx="3">
                  <c:v>0.10371452420701166</c:v>
                </c:pt>
                <c:pt idx="4">
                  <c:v>0.15280665280665287</c:v>
                </c:pt>
                <c:pt idx="5">
                  <c:v>0.17336268574573463</c:v>
                </c:pt>
              </c:numCache>
            </c:numRef>
          </c:xVal>
          <c:yVal>
            <c:numRef>
              <c:f>CurvaCompactaciónProbetas!$M$19:$M$25</c:f>
              <c:numCache>
                <c:formatCode>General</c:formatCode>
                <c:ptCount val="7"/>
                <c:pt idx="0">
                  <c:v>1.7815123636927728</c:v>
                </c:pt>
                <c:pt idx="1">
                  <c:v>1.7242012974801848</c:v>
                </c:pt>
                <c:pt idx="2">
                  <c:v>1.6533416119077065</c:v>
                </c:pt>
                <c:pt idx="3">
                  <c:v>1.6994302286922485</c:v>
                </c:pt>
                <c:pt idx="4">
                  <c:v>1.7612514366195688</c:v>
                </c:pt>
                <c:pt idx="5">
                  <c:v>1.697649057880251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3-4895-87EB-AE4E72B567A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CurvaCompactaciónProbetas!$U$14</c:f>
              <c:numCache>
                <c:formatCode>0.00%</c:formatCode>
                <c:ptCount val="1"/>
                <c:pt idx="0">
                  <c:v>0.138372093</c:v>
                </c:pt>
              </c:numCache>
            </c:numRef>
          </c:xVal>
          <c:yVal>
            <c:numRef>
              <c:f>CurvaCompactaciónProbetas!$U$15</c:f>
              <c:numCache>
                <c:formatCode>General</c:formatCode>
                <c:ptCount val="1"/>
                <c:pt idx="0">
                  <c:v>1.7739058139999999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5-46EB-BD62-0CE64272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492992"/>
        <c:axId val="990064960"/>
      </c:scatterChart>
      <c:valAx>
        <c:axId val="1649492992"/>
        <c:scaling>
          <c:orientation val="minMax"/>
          <c:max val="0.22000000000000003"/>
          <c:min val="6.0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4960"/>
        <c:crosses val="autoZero"/>
        <c:crossBetween val="midCat"/>
      </c:valAx>
      <c:valAx>
        <c:axId val="9900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Curva</a:t>
            </a:r>
            <a:r>
              <a:rPr lang="es-EC" baseline="0"/>
              <a:t> de Calibración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9914775300621"/>
          <c:y val="0.1496131693307661"/>
          <c:w val="0.77828049197223137"/>
          <c:h val="0.62337163631374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SSW_CalibrationCurve!$B$6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SSW_CalibrationCurve!$C$6:$G$6</c:f>
              <c:numCache>
                <c:formatCode>General</c:formatCode>
                <c:ptCount val="5"/>
                <c:pt idx="0">
                  <c:v>2.3478348100633198E-3</c:v>
                </c:pt>
                <c:pt idx="1">
                  <c:v>1.9955787603624102E-3</c:v>
                </c:pt>
                <c:pt idx="2">
                  <c:v>1.7820024121730301E-3</c:v>
                </c:pt>
                <c:pt idx="3">
                  <c:v>1.5694576530822599E-3</c:v>
                </c:pt>
                <c:pt idx="4">
                  <c:v>1.3718172767980101E-3</c:v>
                </c:pt>
              </c:numCache>
            </c:numRef>
          </c:xVal>
          <c:yVal>
            <c:numRef>
              <c:f>SSW_CalibrationCurve!$C$5:$G$5</c:f>
              <c:numCache>
                <c:formatCode>0.00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3-4CDA-9616-CD3A05AFA704}"/>
            </c:ext>
          </c:extLst>
        </c:ser>
        <c:ser>
          <c:idx val="1"/>
          <c:order val="1"/>
          <c:tx>
            <c:strRef>
              <c:f>SSW_CalibrationCurve!$B$7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SSW_CalibrationCurve!$C$7:$G$7</c:f>
              <c:numCache>
                <c:formatCode>General</c:formatCode>
                <c:ptCount val="5"/>
                <c:pt idx="0">
                  <c:v>2.3394404849428098E-3</c:v>
                </c:pt>
                <c:pt idx="1">
                  <c:v>1.98434376581171E-3</c:v>
                </c:pt>
                <c:pt idx="2">
                  <c:v>1.7711769880264601E-3</c:v>
                </c:pt>
                <c:pt idx="3">
                  <c:v>1.5596375331642599E-3</c:v>
                </c:pt>
                <c:pt idx="4">
                  <c:v>1.3631794859288E-3</c:v>
                </c:pt>
              </c:numCache>
            </c:numRef>
          </c:xVal>
          <c:yVal>
            <c:numRef>
              <c:f>SSW_CalibrationCurve!$C$5:$G$5</c:f>
              <c:numCache>
                <c:formatCode>0.00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3-4CDA-9616-CD3A05AFA704}"/>
            </c:ext>
          </c:extLst>
        </c:ser>
        <c:ser>
          <c:idx val="2"/>
          <c:order val="2"/>
          <c:tx>
            <c:strRef>
              <c:f>SSW_CalibrationCurve!$B$8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SSW_CalibrationCurve!$C$8:$G$8</c:f>
              <c:numCache>
                <c:formatCode>General</c:formatCode>
                <c:ptCount val="5"/>
                <c:pt idx="0">
                  <c:v>2.32464610063569E-3</c:v>
                </c:pt>
                <c:pt idx="1">
                  <c:v>1.9648933392996401E-3</c:v>
                </c:pt>
                <c:pt idx="2">
                  <c:v>1.7524451909427701E-3</c:v>
                </c:pt>
                <c:pt idx="3">
                  <c:v>1.5426744704321301E-3</c:v>
                </c:pt>
                <c:pt idx="4">
                  <c:v>1.3483557321667301E-3</c:v>
                </c:pt>
              </c:numCache>
            </c:numRef>
          </c:xVal>
          <c:yVal>
            <c:numRef>
              <c:f>SSW_CalibrationCurve!$C$5:$G$5</c:f>
              <c:numCache>
                <c:formatCode>0.00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3-4CDA-9616-CD3A05AFA704}"/>
            </c:ext>
          </c:extLst>
        </c:ser>
        <c:ser>
          <c:idx val="3"/>
          <c:order val="3"/>
          <c:tx>
            <c:strRef>
              <c:f>SSW_CalibrationCurve!$B$9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SSW_CalibrationCurve!$C$9:$G$9</c:f>
              <c:numCache>
                <c:formatCode>General</c:formatCode>
                <c:ptCount val="5"/>
                <c:pt idx="0">
                  <c:v>2.3023397656270999E-3</c:v>
                </c:pt>
                <c:pt idx="1">
                  <c:v>1.9358334976590601E-3</c:v>
                </c:pt>
                <c:pt idx="2">
                  <c:v>1.7247572871193599E-3</c:v>
                </c:pt>
                <c:pt idx="3">
                  <c:v>1.51776845222711E-3</c:v>
                </c:pt>
                <c:pt idx="4">
                  <c:v>1.3265591896317601E-3</c:v>
                </c:pt>
              </c:numCache>
            </c:numRef>
          </c:xVal>
          <c:yVal>
            <c:numRef>
              <c:f>SSW_CalibrationCurve!$C$5:$G$5</c:f>
              <c:numCache>
                <c:formatCode>0.00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3-4CDA-9616-CD3A05AFA704}"/>
            </c:ext>
          </c:extLst>
        </c:ser>
        <c:ser>
          <c:idx val="4"/>
          <c:order val="4"/>
          <c:tx>
            <c:strRef>
              <c:f>SSW_CalibrationCurve!$B$10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SSW_CalibrationCurve!$C$10:$G$10</c:f>
              <c:numCache>
                <c:formatCode>General</c:formatCode>
                <c:ptCount val="5"/>
                <c:pt idx="0">
                  <c:v>2.27007750668263E-3</c:v>
                </c:pt>
                <c:pt idx="1">
                  <c:v>1.89502062975498E-3</c:v>
                </c:pt>
                <c:pt idx="2">
                  <c:v>1.68607013178486E-3</c:v>
                </c:pt>
                <c:pt idx="3">
                  <c:v>1.48321064757378E-3</c:v>
                </c:pt>
                <c:pt idx="4">
                  <c:v>1.2964257444793301E-3</c:v>
                </c:pt>
              </c:numCache>
            </c:numRef>
          </c:xVal>
          <c:yVal>
            <c:numRef>
              <c:f>SSW_CalibrationCurve!$C$5:$G$5</c:f>
              <c:numCache>
                <c:formatCode>0.00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63-4CDA-9616-CD3A05AFA704}"/>
            </c:ext>
          </c:extLst>
        </c:ser>
        <c:ser>
          <c:idx val="5"/>
          <c:order val="5"/>
          <c:tx>
            <c:v>Data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SSW_CalibrationCurve!$G$13</c:f>
              <c:numCache>
                <c:formatCode>General</c:formatCode>
                <c:ptCount val="1"/>
                <c:pt idx="0">
                  <c:v>1.9733333333333334E-3</c:v>
                </c:pt>
              </c:numCache>
            </c:numRef>
          </c:xVal>
          <c:yVal>
            <c:numRef>
              <c:f>SSW_CalibrationCurve!$D$19</c:f>
              <c:numCache>
                <c:formatCode>0.00</c:formatCode>
                <c:ptCount val="1"/>
                <c:pt idx="0">
                  <c:v>21.242092423059376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63-4CDA-9616-CD3A05AF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8847"/>
        <c:axId val="1847155231"/>
      </c:scatterChart>
      <c:valAx>
        <c:axId val="86478847"/>
        <c:scaling>
          <c:orientation val="minMax"/>
          <c:min val="1.25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TOF</a:t>
                </a:r>
                <a:r>
                  <a:rPr lang="es-EC" baseline="0"/>
                  <a:t> (s)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55231"/>
        <c:crosses val="autoZero"/>
        <c:crossBetween val="midCat"/>
        <c:majorUnit val="1.0000000000000003E-4"/>
        <c:minorUnit val="2.0000000000000008E-5"/>
      </c:valAx>
      <c:valAx>
        <c:axId val="1847155231"/>
        <c:scaling>
          <c:logBase val="10"/>
          <c:orientation val="minMax"/>
          <c:max val="2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Mod</a:t>
                </a:r>
                <a:r>
                  <a:rPr lang="es-EC" baseline="0"/>
                  <a:t>. E [MPa]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884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206102</xdr:colOff>
      <xdr:row>2</xdr:row>
      <xdr:rowOff>169660</xdr:rowOff>
    </xdr:from>
    <xdr:to>
      <xdr:col>19</xdr:col>
      <xdr:colOff>417014</xdr:colOff>
      <xdr:row>12</xdr:row>
      <xdr:rowOff>231672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44C26-A894-70F7-2E1A-E51267236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63658</xdr:colOff>
      <xdr:row>18</xdr:row>
      <xdr:rowOff>195353</xdr:rowOff>
    </xdr:from>
    <xdr:ext cx="180382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7">
              <a:extLst>
                <a:ext uri="{FF2B5EF4-FFF2-40B4-BE49-F238E27FC236}">
                  <a16:creationId xmlns:a16="http://schemas.microsoft.com/office/drawing/2014/main" id="{9F55FD0F-DB82-41DE-A9A9-64609FBCD5BE}"/>
                </a:ext>
              </a:extLst>
            </xdr:cNvPr>
            <xdr:cNvSpPr txBox="1"/>
          </xdr:nvSpPr>
          <xdr:spPr>
            <a:xfrm>
              <a:off x="10906077" y="3757950"/>
              <a:ext cx="180382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∙(1+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)(1−2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7">
              <a:extLst>
                <a:ext uri="{FF2B5EF4-FFF2-40B4-BE49-F238E27FC236}">
                  <a16:creationId xmlns:a16="http://schemas.microsoft.com/office/drawing/2014/main" id="{9F55FD0F-DB82-41DE-A9A9-64609FBCD5BE}"/>
                </a:ext>
              </a:extLst>
            </xdr:cNvPr>
            <xdr:cNvSpPr txBox="1"/>
          </xdr:nvSpPr>
          <xdr:spPr>
            <a:xfrm>
              <a:off x="10906077" y="3757950"/>
              <a:ext cx="180382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𝐸=〖𝑉𝑝〗^2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∙(𝑝∙(1+𝑢)(1−2𝑢))/((1−𝑢))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4</xdr:col>
      <xdr:colOff>255983</xdr:colOff>
      <xdr:row>19</xdr:row>
      <xdr:rowOff>167462</xdr:rowOff>
    </xdr:from>
    <xdr:to>
      <xdr:col>10</xdr:col>
      <xdr:colOff>317896</xdr:colOff>
      <xdr:row>37</xdr:row>
      <xdr:rowOff>1192</xdr:rowOff>
    </xdr:to>
    <xdr:pic>
      <xdr:nvPicPr>
        <xdr:cNvPr id="4" name="Picture 3" descr="Solved 2.0 60% 80% 100% Degree of saturation: Zero air voids | Chegg.com">
          <a:extLst>
            <a:ext uri="{FF2B5EF4-FFF2-40B4-BE49-F238E27FC236}">
              <a16:creationId xmlns:a16="http://schemas.microsoft.com/office/drawing/2014/main" id="{9F86A4EB-FEE4-679C-E64E-044CBED6E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4921" y="4013181"/>
          <a:ext cx="4645819" cy="3477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247599</xdr:colOff>
      <xdr:row>2</xdr:row>
      <xdr:rowOff>23677</xdr:rowOff>
    </xdr:from>
    <xdr:to>
      <xdr:col>19</xdr:col>
      <xdr:colOff>575928</xdr:colOff>
      <xdr:row>24</xdr:row>
      <xdr:rowOff>44302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B4A24-E754-4C86-BAC3-836267B92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B41B-D01D-4B26-8279-B2BAAF4E622E}">
  <dimension ref="B2:O17"/>
  <sheetViews>
    <sheetView topLeftCell="A2" zoomScale="86" workbookViewId="0">
      <selection activeCell="K13" sqref="K13"/>
    </sheetView>
  </sheetViews>
  <sheetFormatPr defaultColWidth="11" defaultRowHeight="15.75" x14ac:dyDescent="0.5"/>
  <cols>
    <col min="1" max="2" width="11.5" style="1" customWidth="1"/>
    <col min="3" max="3" width="13.0625" style="1" bestFit="1" customWidth="1"/>
    <col min="4" max="4" width="11.5" style="1" customWidth="1"/>
    <col min="5" max="5" width="17.125" style="1" customWidth="1"/>
    <col min="6" max="7" width="11.5" style="1" customWidth="1"/>
    <col min="8" max="8" width="12.3125" style="1" bestFit="1" customWidth="1"/>
    <col min="9" max="9" width="16.125" style="51" bestFit="1" customWidth="1"/>
    <col min="10" max="10" width="11.5" style="51" customWidth="1"/>
    <col min="11" max="16384" width="11" style="1"/>
  </cols>
  <sheetData>
    <row r="2" spans="2:15" ht="16.149999999999999" thickBot="1" x14ac:dyDescent="0.55000000000000004"/>
    <row r="3" spans="2:15" ht="16.149999999999999" thickBot="1" x14ac:dyDescent="0.55000000000000004">
      <c r="B3" s="53" t="s">
        <v>0</v>
      </c>
      <c r="C3" s="54"/>
      <c r="D3" s="55"/>
      <c r="E3" s="50"/>
      <c r="F3" s="53" t="s">
        <v>37</v>
      </c>
      <c r="G3" s="54"/>
      <c r="H3" s="54"/>
      <c r="I3" s="54"/>
      <c r="J3" s="55"/>
    </row>
    <row r="4" spans="2:15" s="2" customFormat="1" x14ac:dyDescent="0.5">
      <c r="E4" s="2" t="s">
        <v>1</v>
      </c>
      <c r="I4" s="51"/>
      <c r="J4" s="51"/>
    </row>
    <row r="5" spans="2:15" s="17" customFormat="1" ht="40.049999999999997" customHeight="1" x14ac:dyDescent="0.5">
      <c r="B5" s="18" t="s">
        <v>3</v>
      </c>
      <c r="C5" s="19" t="s">
        <v>36</v>
      </c>
      <c r="D5" s="18" t="s">
        <v>4</v>
      </c>
      <c r="E5" s="20" t="s">
        <v>17</v>
      </c>
      <c r="F5" s="21" t="s">
        <v>5</v>
      </c>
      <c r="G5" s="21" t="s">
        <v>76</v>
      </c>
      <c r="H5" s="21" t="s">
        <v>77</v>
      </c>
      <c r="I5" s="18" t="s">
        <v>38</v>
      </c>
      <c r="J5" s="18" t="s">
        <v>7</v>
      </c>
    </row>
    <row r="6" spans="2:15" ht="40.049999999999997" customHeight="1" x14ac:dyDescent="0.5">
      <c r="B6" s="13">
        <v>1</v>
      </c>
      <c r="C6" s="4" t="s">
        <v>9</v>
      </c>
      <c r="D6" s="14">
        <v>45215</v>
      </c>
      <c r="E6" s="15">
        <v>0.17</v>
      </c>
      <c r="F6" s="4">
        <v>116.5</v>
      </c>
      <c r="G6" s="4">
        <v>3577.8</v>
      </c>
      <c r="H6" s="4">
        <v>5509</v>
      </c>
      <c r="I6" s="4">
        <f>H6-G6</f>
        <v>1931.1999999999998</v>
      </c>
      <c r="J6" s="4">
        <v>102</v>
      </c>
    </row>
    <row r="7" spans="2:15" ht="40.049999999999997" customHeight="1" x14ac:dyDescent="0.5">
      <c r="B7" s="13">
        <v>2</v>
      </c>
      <c r="C7" s="4" t="s">
        <v>10</v>
      </c>
      <c r="D7" s="14">
        <v>45215</v>
      </c>
      <c r="E7" s="15">
        <v>0.19</v>
      </c>
      <c r="F7" s="4">
        <v>117.7</v>
      </c>
      <c r="G7" s="4">
        <v>3590.5</v>
      </c>
      <c r="H7" s="4">
        <v>5515.5</v>
      </c>
      <c r="I7" s="4">
        <f t="shared" ref="I7:I12" si="0">H7-G7</f>
        <v>1925</v>
      </c>
      <c r="J7" s="4">
        <v>101.8</v>
      </c>
    </row>
    <row r="8" spans="2:15" ht="40.049999999999997" customHeight="1" x14ac:dyDescent="0.5">
      <c r="B8" s="13">
        <v>3</v>
      </c>
      <c r="C8" s="4" t="s">
        <v>11</v>
      </c>
      <c r="D8" s="14">
        <v>45215</v>
      </c>
      <c r="E8" s="15">
        <v>0.21</v>
      </c>
      <c r="F8" s="4">
        <v>116.9</v>
      </c>
      <c r="G8" s="4">
        <v>3573</v>
      </c>
      <c r="H8" s="4">
        <v>5410</v>
      </c>
      <c r="I8" s="4">
        <f t="shared" si="0"/>
        <v>1837</v>
      </c>
      <c r="J8" s="4">
        <v>101.1</v>
      </c>
      <c r="K8" s="1" t="s">
        <v>80</v>
      </c>
    </row>
    <row r="9" spans="2:15" ht="40.049999999999997" customHeight="1" x14ac:dyDescent="0.5">
      <c r="B9" s="13">
        <v>4</v>
      </c>
      <c r="C9" s="4" t="s">
        <v>12</v>
      </c>
      <c r="D9" s="14">
        <v>45215</v>
      </c>
      <c r="E9" s="15">
        <v>0.15</v>
      </c>
      <c r="F9" s="4">
        <f>AVERAGE(F8,F11)</f>
        <v>116.69</v>
      </c>
      <c r="G9" s="4">
        <v>3582</v>
      </c>
      <c r="H9" s="4">
        <v>5377.5</v>
      </c>
      <c r="I9" s="4">
        <f t="shared" si="0"/>
        <v>1795.5</v>
      </c>
      <c r="J9" s="4">
        <v>102.2</v>
      </c>
      <c r="K9" s="4">
        <v>75.8</v>
      </c>
    </row>
    <row r="10" spans="2:15" ht="40.049999999999997" customHeight="1" x14ac:dyDescent="0.5">
      <c r="B10" s="13">
        <v>5</v>
      </c>
      <c r="C10" s="4" t="s">
        <v>13</v>
      </c>
      <c r="D10" s="14">
        <v>45215</v>
      </c>
      <c r="E10" s="15">
        <v>0.17</v>
      </c>
      <c r="F10" s="4">
        <v>118.3</v>
      </c>
      <c r="G10" s="4">
        <v>3582.5</v>
      </c>
      <c r="H10" s="4">
        <v>5526</v>
      </c>
      <c r="I10" s="4">
        <f t="shared" si="0"/>
        <v>1943.5</v>
      </c>
      <c r="J10" s="4">
        <v>101.5</v>
      </c>
    </row>
    <row r="11" spans="2:15" ht="40.049999999999997" customHeight="1" x14ac:dyDescent="0.5">
      <c r="B11" s="13">
        <v>6</v>
      </c>
      <c r="C11" s="4" t="s">
        <v>14</v>
      </c>
      <c r="D11" s="14">
        <v>45215</v>
      </c>
      <c r="E11" s="15">
        <v>0.19</v>
      </c>
      <c r="F11" s="4">
        <v>116.48</v>
      </c>
      <c r="G11" s="4">
        <v>3576</v>
      </c>
      <c r="H11" s="4">
        <v>5464.5</v>
      </c>
      <c r="I11" s="4">
        <f t="shared" si="0"/>
        <v>1888.5</v>
      </c>
      <c r="J11" s="4">
        <v>101.8</v>
      </c>
      <c r="M11" s="1" t="s">
        <v>78</v>
      </c>
      <c r="N11" s="1">
        <v>1912.05</v>
      </c>
    </row>
    <row r="12" spans="2:15" ht="40.049999999999997" customHeight="1" x14ac:dyDescent="0.5">
      <c r="B12" s="13">
        <v>7</v>
      </c>
      <c r="C12" s="4" t="s">
        <v>15</v>
      </c>
      <c r="D12" s="14">
        <v>45215</v>
      </c>
      <c r="E12" s="15">
        <v>0.21</v>
      </c>
      <c r="F12" s="4">
        <v>115.88</v>
      </c>
      <c r="G12" s="4">
        <v>3504.5</v>
      </c>
      <c r="H12" s="4">
        <v>5423</v>
      </c>
      <c r="I12" s="4">
        <f t="shared" si="0"/>
        <v>1918.5</v>
      </c>
      <c r="J12" s="4">
        <v>101.5</v>
      </c>
      <c r="M12" s="1" t="s">
        <v>48</v>
      </c>
      <c r="N12" s="1">
        <f>(I6-N11)/I6</f>
        <v>9.916114333057096E-3</v>
      </c>
      <c r="O12" s="1">
        <f>N12*100</f>
        <v>0.99161143330570956</v>
      </c>
    </row>
    <row r="13" spans="2:15" ht="40.049999999999997" customHeight="1" x14ac:dyDescent="0.5">
      <c r="B13" s="13">
        <v>8</v>
      </c>
      <c r="C13" s="4" t="s">
        <v>16</v>
      </c>
      <c r="D13" s="16"/>
      <c r="E13" s="15"/>
      <c r="F13" s="4"/>
      <c r="G13" s="4"/>
      <c r="H13" s="4"/>
      <c r="I13" s="4"/>
      <c r="J13" s="4"/>
    </row>
    <row r="14" spans="2:15" ht="40.049999999999997" customHeight="1" x14ac:dyDescent="0.5">
      <c r="B14" s="13">
        <v>9</v>
      </c>
      <c r="C14" s="4" t="s">
        <v>50</v>
      </c>
      <c r="D14" s="16"/>
      <c r="E14" s="15"/>
      <c r="F14" s="4"/>
      <c r="G14" s="4"/>
      <c r="H14" s="4"/>
      <c r="I14" s="4"/>
      <c r="J14" s="4"/>
    </row>
    <row r="15" spans="2:15" ht="40.049999999999997" customHeight="1" x14ac:dyDescent="0.5">
      <c r="B15" s="13">
        <v>10</v>
      </c>
      <c r="C15" s="4" t="s">
        <v>51</v>
      </c>
      <c r="D15" s="16"/>
      <c r="E15" s="15"/>
      <c r="F15" s="4"/>
      <c r="G15" s="4"/>
      <c r="H15" s="4"/>
      <c r="I15" s="4"/>
      <c r="J15" s="4"/>
    </row>
    <row r="16" spans="2:15" ht="40.049999999999997" customHeight="1" x14ac:dyDescent="0.5">
      <c r="B16" s="13">
        <v>11</v>
      </c>
      <c r="C16" s="4" t="s">
        <v>52</v>
      </c>
      <c r="D16" s="16"/>
      <c r="E16" s="15"/>
      <c r="F16" s="4"/>
      <c r="G16" s="4"/>
      <c r="H16" s="4"/>
      <c r="I16" s="4"/>
      <c r="J16" s="4"/>
    </row>
    <row r="17" spans="2:10" ht="40.049999999999997" customHeight="1" x14ac:dyDescent="0.5">
      <c r="B17" s="13">
        <v>12</v>
      </c>
      <c r="C17" s="4" t="s">
        <v>53</v>
      </c>
      <c r="D17" s="16"/>
      <c r="E17" s="15"/>
      <c r="F17" s="4"/>
      <c r="G17" s="4"/>
      <c r="H17" s="4"/>
      <c r="I17" s="4"/>
      <c r="J17" s="4"/>
    </row>
  </sheetData>
  <mergeCells count="2">
    <mergeCell ref="F3:J3"/>
    <mergeCell ref="B3:D3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2AA3-11F5-450E-BC0A-EF547132C734}">
  <dimension ref="B1:U25"/>
  <sheetViews>
    <sheetView topLeftCell="H2" zoomScale="116" zoomScaleNormal="138" workbookViewId="0">
      <selection activeCell="R15" sqref="R15"/>
    </sheetView>
  </sheetViews>
  <sheetFormatPr defaultRowHeight="15.75" x14ac:dyDescent="0.5"/>
  <cols>
    <col min="1" max="2" width="9" style="1"/>
    <col min="3" max="4" width="10.6875" style="1" bestFit="1" customWidth="1"/>
    <col min="5" max="6" width="10.375" style="1" bestFit="1" customWidth="1"/>
    <col min="7" max="8" width="9" style="1"/>
    <col min="9" max="9" width="8.75" style="1" bestFit="1" customWidth="1"/>
    <col min="10" max="11" width="9" style="1"/>
    <col min="12" max="12" width="13.3125" style="1" customWidth="1"/>
    <col min="13" max="13" width="11.1875" style="1" customWidth="1"/>
    <col min="14" max="16384" width="9" style="1"/>
  </cols>
  <sheetData>
    <row r="1" spans="2:21" ht="16.149999999999999" thickBot="1" x14ac:dyDescent="0.55000000000000004"/>
    <row r="2" spans="2:21" ht="16.149999999999999" thickBot="1" x14ac:dyDescent="0.55000000000000004">
      <c r="B2" s="23" t="s">
        <v>36</v>
      </c>
      <c r="C2" s="53" t="s">
        <v>47</v>
      </c>
      <c r="D2" s="54"/>
      <c r="E2" s="54"/>
      <c r="F2" s="54"/>
      <c r="G2" s="54"/>
      <c r="H2" s="54"/>
      <c r="I2" s="54"/>
      <c r="J2" s="54"/>
      <c r="K2" s="54"/>
      <c r="L2" s="56" t="s">
        <v>49</v>
      </c>
      <c r="M2" s="56"/>
    </row>
    <row r="3" spans="2:21" x14ac:dyDescent="0.5"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1</v>
      </c>
      <c r="J3" s="2" t="s">
        <v>1</v>
      </c>
      <c r="K3" s="2" t="s">
        <v>1</v>
      </c>
      <c r="L3" s="2" t="s">
        <v>20</v>
      </c>
      <c r="M3" s="2"/>
    </row>
    <row r="4" spans="2:21" ht="34.15" customHeight="1" x14ac:dyDescent="0.5">
      <c r="B4" s="24" t="s">
        <v>36</v>
      </c>
      <c r="C4" s="25" t="s">
        <v>45</v>
      </c>
      <c r="D4" s="25" t="s">
        <v>46</v>
      </c>
      <c r="E4" s="25" t="s">
        <v>41</v>
      </c>
      <c r="F4" s="25" t="s">
        <v>42</v>
      </c>
      <c r="G4" s="25" t="s">
        <v>43</v>
      </c>
      <c r="H4" s="25" t="s">
        <v>44</v>
      </c>
      <c r="I4" s="25" t="s">
        <v>39</v>
      </c>
      <c r="J4" s="25" t="s">
        <v>40</v>
      </c>
      <c r="K4" s="25" t="s">
        <v>8</v>
      </c>
      <c r="L4" s="25" t="s">
        <v>18</v>
      </c>
      <c r="M4" s="25" t="s">
        <v>19</v>
      </c>
    </row>
    <row r="5" spans="2:21" ht="18.399999999999999" customHeight="1" x14ac:dyDescent="0.5">
      <c r="B5" s="7" t="str">
        <f>ObtenciónProbetas!C6</f>
        <v>Masa 1</v>
      </c>
      <c r="C5" s="3">
        <v>17.37</v>
      </c>
      <c r="D5" s="3">
        <v>17.37</v>
      </c>
      <c r="E5" s="3">
        <v>64.319999999999993</v>
      </c>
      <c r="F5" s="3">
        <v>64.319999999999993</v>
      </c>
      <c r="G5" s="3">
        <v>58.6</v>
      </c>
      <c r="H5" s="3">
        <v>58.6</v>
      </c>
      <c r="I5" s="6">
        <f>(E5-G5)/(G5-C5)</f>
        <v>0.13873393160320133</v>
      </c>
      <c r="J5" s="6">
        <f>(F5-H5)/(H5-D5)</f>
        <v>0.13873393160320133</v>
      </c>
      <c r="K5" s="8">
        <f>AVERAGE(I5,J5)</f>
        <v>0.13873393160320133</v>
      </c>
      <c r="L5" s="22">
        <f>ObtenciónProbetas!I6/(ObtenciónProbetas!F6/10*(PI()/4)*(ObtenciónProbetas!J6/10)^2)</f>
        <v>2.0286685781075833</v>
      </c>
      <c r="M5" s="22">
        <f>L5/(1+K5)</f>
        <v>1.7815123636927728</v>
      </c>
    </row>
    <row r="6" spans="2:21" ht="18.399999999999999" customHeight="1" x14ac:dyDescent="0.5">
      <c r="B6" s="7" t="str">
        <f>ObtenciónProbetas!C7</f>
        <v>Masa 2</v>
      </c>
      <c r="C6" s="3">
        <v>18.8</v>
      </c>
      <c r="D6" s="3">
        <v>18.8</v>
      </c>
      <c r="E6" s="3">
        <v>59.17</v>
      </c>
      <c r="F6" s="3">
        <v>59.17</v>
      </c>
      <c r="G6" s="3">
        <v>53.44</v>
      </c>
      <c r="H6" s="3">
        <v>53.44</v>
      </c>
      <c r="I6" s="6">
        <f>(E6-G6)/(G6-C6)</f>
        <v>0.16541570438799089</v>
      </c>
      <c r="J6" s="6">
        <f>(F6-H6)/(H6-D6)</f>
        <v>0.16541570438799089</v>
      </c>
      <c r="K6" s="8">
        <f>AVERAGE(I6,J6)</f>
        <v>0.16541570438799089</v>
      </c>
      <c r="L6" s="22">
        <f>ObtenciónProbetas!I7/(ObtenciónProbetas!F7/10*(PI()/4)*(ObtenciónProbetas!J7/10)^2)</f>
        <v>2.0094112696095574</v>
      </c>
      <c r="M6" s="22">
        <f>L6/(1+K6)</f>
        <v>1.7242012974801848</v>
      </c>
    </row>
    <row r="7" spans="2:21" ht="18.399999999999999" customHeight="1" x14ac:dyDescent="0.5">
      <c r="B7" s="7" t="str">
        <f>ObtenciónProbetas!C8</f>
        <v>Masa3</v>
      </c>
      <c r="C7" s="3">
        <v>17.72</v>
      </c>
      <c r="D7" s="3">
        <v>17.72</v>
      </c>
      <c r="E7" s="3">
        <v>58.78</v>
      </c>
      <c r="F7" s="3">
        <v>58.78</v>
      </c>
      <c r="G7" s="3">
        <v>52.4</v>
      </c>
      <c r="H7" s="3">
        <v>52.4</v>
      </c>
      <c r="I7" s="6">
        <f t="shared" ref="I7:I10" si="0">(E7-G7)/(G7-C7)</f>
        <v>0.18396770472895047</v>
      </c>
      <c r="J7" s="6">
        <f t="shared" ref="J7:J10" si="1">(F7-H7)/(H7-D7)</f>
        <v>0.18396770472895047</v>
      </c>
      <c r="K7" s="8">
        <f t="shared" ref="K7:K11" si="2">AVERAGE(I7,J7)</f>
        <v>0.18396770472895047</v>
      </c>
      <c r="L7" s="22">
        <f>IF(ObtenciónProbetas!I8&gt;0,ObtenciónProbetas!I8/(ObtenciónProbetas!F8/10*(PI()/4)*(ObtenciónProbetas!J8/10)^2),0)</f>
        <v>1.9575030733832306</v>
      </c>
      <c r="M7" s="22">
        <f t="shared" ref="M7:M11" si="3">L7/(1+K7)</f>
        <v>1.6533416119077065</v>
      </c>
    </row>
    <row r="8" spans="2:21" ht="18.399999999999999" customHeight="1" x14ac:dyDescent="0.5">
      <c r="B8" s="7" t="str">
        <f>ObtenciónProbetas!C9</f>
        <v>Masa4</v>
      </c>
      <c r="C8" s="3">
        <v>18.66</v>
      </c>
      <c r="D8" s="3">
        <v>18.66</v>
      </c>
      <c r="E8" s="3">
        <v>71.55</v>
      </c>
      <c r="F8" s="3">
        <v>71.55</v>
      </c>
      <c r="G8" s="3">
        <v>66.58</v>
      </c>
      <c r="H8" s="3">
        <v>66.58</v>
      </c>
      <c r="I8" s="6">
        <f>(E8-G8)/(G8-C8)</f>
        <v>0.10371452420701166</v>
      </c>
      <c r="J8" s="6">
        <f t="shared" si="1"/>
        <v>0.10371452420701166</v>
      </c>
      <c r="K8" s="8">
        <f t="shared" si="2"/>
        <v>0.10371452420701166</v>
      </c>
      <c r="L8" s="22">
        <f>IF(ObtenciónProbetas!I9&gt;0,ObtenciónProbetas!I9/(ObtenciónProbetas!F9/10*(PI()/4)*(ObtenciónProbetas!J9/10)^2),0)</f>
        <v>1.8756858262840781</v>
      </c>
      <c r="M8" s="22">
        <f t="shared" si="3"/>
        <v>1.6994302286922485</v>
      </c>
    </row>
    <row r="9" spans="2:21" ht="18.399999999999999" customHeight="1" x14ac:dyDescent="0.5">
      <c r="B9" s="7" t="str">
        <f>ObtenciónProbetas!C10</f>
        <v>Masa5</v>
      </c>
      <c r="C9" s="3">
        <v>17.91</v>
      </c>
      <c r="D9" s="3">
        <v>17.91</v>
      </c>
      <c r="E9" s="3">
        <v>62.27</v>
      </c>
      <c r="F9" s="3">
        <v>62.27</v>
      </c>
      <c r="G9" s="3">
        <v>56.39</v>
      </c>
      <c r="H9" s="3">
        <v>56.39</v>
      </c>
      <c r="I9" s="6">
        <f t="shared" si="0"/>
        <v>0.15280665280665287</v>
      </c>
      <c r="J9" s="6">
        <f t="shared" si="1"/>
        <v>0.15280665280665287</v>
      </c>
      <c r="K9" s="8">
        <f t="shared" si="2"/>
        <v>0.15280665280665287</v>
      </c>
      <c r="L9" s="22">
        <f>IF(ObtenciónProbetas!I10&gt;0,ObtenciónProbetas!I10/(ObtenciónProbetas!F10/10*(PI()/4)*(ObtenciónProbetas!J10/10)^2),0)</f>
        <v>2.0303823734003141</v>
      </c>
      <c r="M9" s="22">
        <f t="shared" si="3"/>
        <v>1.7612514366195688</v>
      </c>
    </row>
    <row r="10" spans="2:21" ht="18.399999999999999" customHeight="1" x14ac:dyDescent="0.5">
      <c r="B10" s="7" t="str">
        <f>ObtenciónProbetas!C11</f>
        <v>Masa6</v>
      </c>
      <c r="C10" s="3">
        <v>17.79</v>
      </c>
      <c r="D10" s="3">
        <v>17.79</v>
      </c>
      <c r="E10" s="3">
        <v>39.11</v>
      </c>
      <c r="F10" s="3">
        <v>39.11</v>
      </c>
      <c r="G10" s="3">
        <v>35.96</v>
      </c>
      <c r="H10" s="3">
        <v>35.96</v>
      </c>
      <c r="I10" s="6">
        <f t="shared" si="0"/>
        <v>0.17336268574573463</v>
      </c>
      <c r="J10" s="6">
        <f t="shared" si="1"/>
        <v>0.17336268574573463</v>
      </c>
      <c r="K10" s="8">
        <f t="shared" si="2"/>
        <v>0.17336268574573463</v>
      </c>
      <c r="L10" s="22">
        <f>IF(ObtenciónProbetas!I11&gt;0,ObtenciónProbetas!I11/(ObtenciónProbetas!F11/10*(PI()/4)*(ObtenciónProbetas!J11/10)^2),0)</f>
        <v>1.9919580580080873</v>
      </c>
      <c r="M10" s="22">
        <f t="shared" si="3"/>
        <v>1.697649057880251</v>
      </c>
    </row>
    <row r="11" spans="2:21" ht="18.399999999999999" customHeight="1" x14ac:dyDescent="0.5">
      <c r="B11" s="7" t="str">
        <f>ObtenciónProbetas!C12</f>
        <v>Masa7</v>
      </c>
      <c r="C11" s="3">
        <v>19.04</v>
      </c>
      <c r="D11" s="3">
        <v>19.04</v>
      </c>
      <c r="E11" s="3">
        <v>51.82</v>
      </c>
      <c r="F11" s="3">
        <v>51.82</v>
      </c>
      <c r="G11" s="3">
        <v>46.46</v>
      </c>
      <c r="H11" s="3">
        <v>46.46</v>
      </c>
      <c r="I11" s="6">
        <f>(E11-G11)/(G11-C11)</f>
        <v>0.19547775346462432</v>
      </c>
      <c r="J11" s="6">
        <f>(F11-H11)/(H11-D11)</f>
        <v>0.19547775346462432</v>
      </c>
      <c r="K11" s="8">
        <f t="shared" si="2"/>
        <v>0.19547775346462432</v>
      </c>
      <c r="L11" s="22">
        <f>IF(ObtenciónProbetas!I12&gt;0,ObtenciónProbetas!I12/(ObtenciónProbetas!F12/10*(PI()/4)*(ObtenciónProbetas!J12/10)^2),0)</f>
        <v>2.0461211811003528</v>
      </c>
      <c r="M11" s="22">
        <f t="shared" si="3"/>
        <v>1.7115510306824793</v>
      </c>
    </row>
    <row r="12" spans="2:21" ht="18.399999999999999" customHeight="1" x14ac:dyDescent="0.5">
      <c r="B12" s="7" t="str">
        <f>ObtenciónProbetas!C13</f>
        <v>Masa8</v>
      </c>
      <c r="C12" s="3">
        <v>18.91</v>
      </c>
      <c r="D12" s="3"/>
      <c r="E12" s="3">
        <v>63.44</v>
      </c>
      <c r="F12" s="3"/>
      <c r="G12" s="3">
        <v>57.49</v>
      </c>
      <c r="H12" s="3"/>
      <c r="I12" s="6">
        <f>(E12-G12)/(G12-C12)</f>
        <v>0.15422498703991694</v>
      </c>
      <c r="J12" s="6"/>
      <c r="K12" s="8"/>
      <c r="L12" s="22"/>
      <c r="M12" s="22"/>
    </row>
    <row r="13" spans="2:21" ht="18.399999999999999" customHeight="1" x14ac:dyDescent="0.5">
      <c r="B13" s="7" t="str">
        <f>ObtenciónProbetas!C14</f>
        <v>Masa9</v>
      </c>
      <c r="C13" s="3"/>
      <c r="D13" s="3"/>
      <c r="E13" s="3"/>
      <c r="F13" s="3"/>
      <c r="G13" s="3"/>
      <c r="H13" s="3"/>
      <c r="I13" s="6"/>
      <c r="J13" s="6"/>
      <c r="K13" s="8"/>
      <c r="L13" s="22"/>
      <c r="M13" s="22"/>
      <c r="U13" s="3" t="s">
        <v>81</v>
      </c>
    </row>
    <row r="14" spans="2:21" ht="18.399999999999999" customHeight="1" x14ac:dyDescent="0.5">
      <c r="B14" s="7" t="str">
        <f>ObtenciónProbetas!C15</f>
        <v>Masa10</v>
      </c>
      <c r="C14" s="3"/>
      <c r="D14" s="3"/>
      <c r="E14" s="3"/>
      <c r="F14" s="3"/>
      <c r="G14" s="3"/>
      <c r="H14" s="3"/>
      <c r="I14" s="6"/>
      <c r="J14" s="6"/>
      <c r="K14" s="8"/>
      <c r="L14" s="22"/>
      <c r="M14" s="22"/>
      <c r="U14" s="6">
        <v>0.138372093</v>
      </c>
    </row>
    <row r="15" spans="2:21" ht="18.399999999999999" customHeight="1" x14ac:dyDescent="0.5">
      <c r="B15" s="7" t="str">
        <f>ObtenciónProbetas!C16</f>
        <v>Masa11</v>
      </c>
      <c r="C15" s="3"/>
      <c r="D15" s="3"/>
      <c r="E15" s="3"/>
      <c r="F15" s="3"/>
      <c r="G15" s="3"/>
      <c r="H15" s="3"/>
      <c r="I15" s="6"/>
      <c r="J15" s="6"/>
      <c r="K15" s="8"/>
      <c r="L15" s="22"/>
      <c r="M15" s="22"/>
      <c r="U15" s="3">
        <v>1.7739058139999999</v>
      </c>
    </row>
    <row r="16" spans="2:21" ht="18.399999999999999" customHeight="1" x14ac:dyDescent="0.5">
      <c r="B16" s="7" t="str">
        <f>ObtenciónProbetas!C17</f>
        <v>Masa12</v>
      </c>
      <c r="C16" s="3"/>
      <c r="D16" s="3"/>
      <c r="E16" s="3"/>
      <c r="F16" s="3"/>
      <c r="G16" s="3"/>
      <c r="H16" s="3"/>
      <c r="I16" s="6"/>
      <c r="J16" s="6"/>
      <c r="K16" s="8"/>
      <c r="L16" s="22"/>
      <c r="M16" s="22"/>
    </row>
    <row r="19" spans="11:13" x14ac:dyDescent="0.5">
      <c r="K19" s="52">
        <v>0.13873393160320133</v>
      </c>
      <c r="M19" s="1">
        <v>1.7815123636927728</v>
      </c>
    </row>
    <row r="20" spans="11:13" x14ac:dyDescent="0.5">
      <c r="K20" s="52">
        <v>0.16541570438799089</v>
      </c>
      <c r="M20" s="1">
        <v>1.7242012974801848</v>
      </c>
    </row>
    <row r="21" spans="11:13" x14ac:dyDescent="0.5">
      <c r="K21" s="52">
        <v>0.18396770472895047</v>
      </c>
      <c r="M21" s="1">
        <v>1.6533416119077065</v>
      </c>
    </row>
    <row r="22" spans="11:13" x14ac:dyDescent="0.5">
      <c r="K22" s="52">
        <v>0.10371452420701166</v>
      </c>
      <c r="M22" s="1">
        <v>1.6994302286922485</v>
      </c>
    </row>
    <row r="23" spans="11:13" x14ac:dyDescent="0.5">
      <c r="K23" s="52">
        <v>0.15280665280665287</v>
      </c>
      <c r="M23" s="1">
        <v>1.7612514366195688</v>
      </c>
    </row>
    <row r="24" spans="11:13" x14ac:dyDescent="0.5">
      <c r="K24" s="52">
        <v>0.17336268574573463</v>
      </c>
      <c r="M24" s="1">
        <v>1.697649057880251</v>
      </c>
    </row>
    <row r="25" spans="11:13" x14ac:dyDescent="0.5">
      <c r="K25" s="52"/>
    </row>
  </sheetData>
  <mergeCells count="2">
    <mergeCell ref="C2:K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8340-9291-4088-AB40-C36370AC0EB7}">
  <dimension ref="B2:Z17"/>
  <sheetViews>
    <sheetView tabSelected="1" zoomScale="80" workbookViewId="0">
      <selection activeCell="H6" sqref="H6"/>
    </sheetView>
  </sheetViews>
  <sheetFormatPr defaultRowHeight="15.75" x14ac:dyDescent="0.5"/>
  <cols>
    <col min="1" max="2" width="9" style="1"/>
    <col min="3" max="3" width="10.25" style="1" bestFit="1" customWidth="1"/>
    <col min="4" max="9" width="10.25" style="1" customWidth="1"/>
    <col min="10" max="14" width="9" style="1"/>
    <col min="15" max="16" width="9.0625" style="1" bestFit="1" customWidth="1"/>
    <col min="17" max="17" width="10.875" style="1" bestFit="1" customWidth="1"/>
    <col min="18" max="18" width="9.25" style="1" bestFit="1" customWidth="1"/>
    <col min="19" max="19" width="15.3125" style="1" bestFit="1" customWidth="1"/>
    <col min="20" max="20" width="9.25" style="1" bestFit="1" customWidth="1"/>
    <col min="21" max="25" width="9" style="1"/>
    <col min="26" max="26" width="22.375" style="1" customWidth="1"/>
    <col min="27" max="16384" width="9" style="1"/>
  </cols>
  <sheetData>
    <row r="2" spans="2:26" ht="16.149999999999999" thickBot="1" x14ac:dyDescent="0.55000000000000004"/>
    <row r="3" spans="2:26" ht="16.149999999999999" thickBot="1" x14ac:dyDescent="0.55000000000000004">
      <c r="B3" s="53" t="s">
        <v>60</v>
      </c>
      <c r="C3" s="55"/>
      <c r="D3" s="53" t="s">
        <v>62</v>
      </c>
      <c r="E3" s="54"/>
      <c r="F3" s="54"/>
      <c r="G3" s="54"/>
      <c r="H3" s="54"/>
      <c r="I3" s="55"/>
      <c r="J3" s="53" t="s">
        <v>61</v>
      </c>
      <c r="K3" s="54"/>
      <c r="L3" s="54"/>
      <c r="M3" s="54"/>
      <c r="N3" s="54"/>
      <c r="O3" s="54"/>
      <c r="P3" s="54"/>
      <c r="Q3" s="54"/>
      <c r="R3" s="54"/>
      <c r="S3" s="54"/>
      <c r="T3" s="55"/>
      <c r="U3" s="53" t="s">
        <v>63</v>
      </c>
      <c r="V3" s="54"/>
      <c r="W3" s="54"/>
      <c r="X3" s="54"/>
      <c r="Y3" s="55"/>
      <c r="Z3" s="23" t="s">
        <v>66</v>
      </c>
    </row>
    <row r="4" spans="2:26" ht="16.149999999999999" thickBot="1" x14ac:dyDescent="0.55000000000000004">
      <c r="B4" s="30" t="s">
        <v>21</v>
      </c>
      <c r="C4" s="30" t="s">
        <v>36</v>
      </c>
      <c r="D4" s="30" t="s">
        <v>79</v>
      </c>
      <c r="E4" s="30" t="s">
        <v>69</v>
      </c>
      <c r="F4" s="30" t="s">
        <v>68</v>
      </c>
      <c r="G4" s="30" t="s">
        <v>67</v>
      </c>
      <c r="H4" s="30" t="s">
        <v>55</v>
      </c>
      <c r="I4" s="31" t="s">
        <v>26</v>
      </c>
      <c r="J4" s="30" t="s">
        <v>22</v>
      </c>
      <c r="K4" s="30" t="s">
        <v>23</v>
      </c>
      <c r="L4" s="30" t="s">
        <v>24</v>
      </c>
      <c r="M4" s="30" t="s">
        <v>25</v>
      </c>
      <c r="N4" s="30" t="s">
        <v>6</v>
      </c>
      <c r="O4" s="31" t="s">
        <v>27</v>
      </c>
      <c r="P4" s="31" t="s">
        <v>28</v>
      </c>
      <c r="Q4" s="31" t="s">
        <v>27</v>
      </c>
      <c r="R4" s="31" t="s">
        <v>28</v>
      </c>
      <c r="S4" s="29" t="s">
        <v>56</v>
      </c>
      <c r="T4" s="30" t="s">
        <v>56</v>
      </c>
      <c r="U4" s="30" t="s">
        <v>57</v>
      </c>
      <c r="V4" s="30" t="s">
        <v>58</v>
      </c>
      <c r="W4" s="30" t="s">
        <v>59</v>
      </c>
      <c r="X4" s="30" t="s">
        <v>64</v>
      </c>
      <c r="Y4" s="30" t="s">
        <v>29</v>
      </c>
      <c r="Z4" s="32" t="s">
        <v>66</v>
      </c>
    </row>
    <row r="5" spans="2:26" x14ac:dyDescent="0.5">
      <c r="B5" s="9"/>
      <c r="C5" s="10"/>
      <c r="D5" s="10"/>
      <c r="E5" s="10"/>
      <c r="F5" s="10"/>
      <c r="G5" s="10"/>
      <c r="H5" s="10"/>
      <c r="I5" s="12"/>
      <c r="J5" s="10"/>
      <c r="K5" s="10"/>
      <c r="L5" s="10"/>
      <c r="M5" s="10" t="s">
        <v>30</v>
      </c>
      <c r="N5" s="10" t="s">
        <v>31</v>
      </c>
      <c r="O5" s="11" t="s">
        <v>20</v>
      </c>
      <c r="P5" s="11" t="s">
        <v>32</v>
      </c>
      <c r="Q5" s="11" t="s">
        <v>33</v>
      </c>
      <c r="R5" s="11" t="s">
        <v>34</v>
      </c>
      <c r="S5" s="11" t="s">
        <v>35</v>
      </c>
      <c r="T5" s="26" t="s">
        <v>54</v>
      </c>
      <c r="U5" s="10"/>
      <c r="V5" s="10"/>
      <c r="W5" s="10"/>
      <c r="X5" s="10"/>
      <c r="Y5" s="10" t="s">
        <v>65</v>
      </c>
    </row>
    <row r="6" spans="2:26" x14ac:dyDescent="0.5">
      <c r="B6" s="4">
        <f>ObtenciónProbetas!B6</f>
        <v>1</v>
      </c>
      <c r="C6" s="4" t="str">
        <f>ObtenciónProbetas!C6</f>
        <v>Masa 1</v>
      </c>
      <c r="D6" s="4">
        <f>ObtenciónProbetas!F6/10*(PI()/4*(ObtenciónProbetas!J6/10)^2)</f>
        <v>951.95441031649148</v>
      </c>
      <c r="E6" s="4"/>
      <c r="F6" s="4"/>
      <c r="G6" s="4"/>
      <c r="H6"/>
      <c r="I6" s="4">
        <v>0.48</v>
      </c>
      <c r="J6" s="4">
        <v>144.47999999999999</v>
      </c>
      <c r="K6" s="4">
        <v>163.52000000000001</v>
      </c>
      <c r="L6" s="4">
        <v>144.47999999999999</v>
      </c>
      <c r="M6" s="4">
        <f>AVERAGE(J6:L6)</f>
        <v>150.82666666666668</v>
      </c>
      <c r="N6" s="4">
        <f>ObtenciónProbetas!F6/10</f>
        <v>11.65</v>
      </c>
      <c r="O6" s="27">
        <f>CurvaCompactaciónProbetas!L5</f>
        <v>2.0286685781075833</v>
      </c>
      <c r="P6" s="27">
        <f>IF(M6&gt;0,N6/M6,0)</f>
        <v>7.7240983026874113E-2</v>
      </c>
      <c r="Q6" s="27">
        <f>O6*1000</f>
        <v>2028.6685781075832</v>
      </c>
      <c r="R6" s="27">
        <f>P6*10000</f>
        <v>772.40983026874119</v>
      </c>
      <c r="S6" s="28">
        <f>(R6^2)*((Q6*(1+I6)*(1-2*(I6)))/(1-I6))</f>
        <v>137792331.99475646</v>
      </c>
      <c r="T6" s="5">
        <f>S6/1000000</f>
        <v>137.79233199475647</v>
      </c>
      <c r="U6" s="4">
        <v>1.4400000000000001E-3</v>
      </c>
      <c r="V6" s="4">
        <v>1.4599999999999999E-3</v>
      </c>
      <c r="W6" s="4">
        <v>1.4599999999999999E-3</v>
      </c>
      <c r="X6" s="68">
        <f>AVERAGE(U6:W6)</f>
        <v>1.4533333333333332E-3</v>
      </c>
      <c r="Y6" s="4">
        <v>50</v>
      </c>
      <c r="Z6" s="49">
        <f>(ABS(T6-Y6)/T6)</f>
        <v>0.63713510558843944</v>
      </c>
    </row>
    <row r="7" spans="2:26" x14ac:dyDescent="0.5">
      <c r="B7" s="4">
        <f>ObtenciónProbetas!B7</f>
        <v>2</v>
      </c>
      <c r="C7" s="4" t="str">
        <f>ObtenciónProbetas!C7</f>
        <v>Masa 2</v>
      </c>
      <c r="D7" s="4">
        <f>ObtenciónProbetas!F7/10*(PI()/4*(ObtenciónProbetas!J7/10)^2)</f>
        <v>957.99203931708837</v>
      </c>
      <c r="E7" s="4"/>
      <c r="F7" s="4"/>
      <c r="G7" s="4"/>
      <c r="H7" s="4"/>
      <c r="I7" s="4">
        <v>0.48</v>
      </c>
      <c r="J7" s="4">
        <v>160</v>
      </c>
      <c r="K7" s="4">
        <v>140</v>
      </c>
      <c r="L7" s="4">
        <v>150</v>
      </c>
      <c r="M7" s="4">
        <f t="shared" ref="M7:M13" si="0">AVERAGE(J7:L7)</f>
        <v>150</v>
      </c>
      <c r="N7" s="4">
        <f>ObtenciónProbetas!F7/10</f>
        <v>11.77</v>
      </c>
      <c r="O7" s="27">
        <f>CurvaCompactaciónProbetas!L6</f>
        <v>2.0094112696095574</v>
      </c>
      <c r="P7" s="27">
        <f t="shared" ref="P7:P13" si="1">IF(M7&gt;0,N7/M7,0)</f>
        <v>7.8466666666666671E-2</v>
      </c>
      <c r="Q7" s="27">
        <f t="shared" ref="Q7:Q13" si="2">O7*1000</f>
        <v>2009.4112696095574</v>
      </c>
      <c r="R7" s="27">
        <f t="shared" ref="R7:R13" si="3">P7*10000</f>
        <v>784.66666666666674</v>
      </c>
      <c r="S7" s="28">
        <f t="shared" ref="S7:S13" si="4">(R7^2)*((Q7*(1+I7)*(1-2*(I7)))/(1-I7))</f>
        <v>140850244.20448112</v>
      </c>
      <c r="T7" s="5">
        <f t="shared" ref="T7:T16" si="5">S7/1000000</f>
        <v>140.85024420448113</v>
      </c>
      <c r="U7" s="4">
        <v>1.9599999999999999E-3</v>
      </c>
      <c r="V7" s="4">
        <v>1.9499999999999999E-3</v>
      </c>
      <c r="W7" s="4">
        <v>2.0100000000000001E-3</v>
      </c>
      <c r="X7" s="68">
        <f>AVERAGE(U7:W7)</f>
        <v>1.9733333333333334E-3</v>
      </c>
      <c r="Y7" s="4">
        <v>74</v>
      </c>
      <c r="Z7" s="49">
        <f t="shared" ref="Z7" si="6">(ABS(T7-Y7)/T7)</f>
        <v>0.47461929925680807</v>
      </c>
    </row>
    <row r="8" spans="2:26" x14ac:dyDescent="0.5">
      <c r="B8" s="4">
        <f>ObtenciónProbetas!B8</f>
        <v>3</v>
      </c>
      <c r="C8" s="4" t="str">
        <f>ObtenciónProbetas!C8</f>
        <v>Masa3</v>
      </c>
      <c r="D8" s="4">
        <f>ObtenciónProbetas!F8/10*(PI()/4*(ObtenciónProbetas!J8/10)^2)</f>
        <v>938.44041676268716</v>
      </c>
      <c r="E8" s="4"/>
      <c r="F8" s="4"/>
      <c r="G8" s="4"/>
      <c r="H8" s="4"/>
      <c r="I8" s="4">
        <v>0.48</v>
      </c>
      <c r="J8" s="4">
        <v>0</v>
      </c>
      <c r="K8" s="4">
        <v>0</v>
      </c>
      <c r="L8" s="4">
        <v>0</v>
      </c>
      <c r="M8" s="4">
        <f t="shared" si="0"/>
        <v>0</v>
      </c>
      <c r="N8" s="4">
        <f>ObtenciónProbetas!F8/10</f>
        <v>11.690000000000001</v>
      </c>
      <c r="O8" s="27">
        <f>CurvaCompactaciónProbetas!L7</f>
        <v>1.9575030733832306</v>
      </c>
      <c r="P8" s="27">
        <f t="shared" si="1"/>
        <v>0</v>
      </c>
      <c r="Q8" s="27">
        <f t="shared" si="2"/>
        <v>1957.5030733832307</v>
      </c>
      <c r="R8" s="27">
        <f t="shared" si="3"/>
        <v>0</v>
      </c>
      <c r="S8" s="28">
        <f t="shared" si="4"/>
        <v>0</v>
      </c>
      <c r="T8" s="5">
        <f t="shared" si="5"/>
        <v>0</v>
      </c>
      <c r="U8" s="4">
        <v>2.2899999999999999E-3</v>
      </c>
      <c r="V8" s="4">
        <v>2.31E-3</v>
      </c>
      <c r="W8" s="4">
        <v>2.2699999999999999E-3</v>
      </c>
      <c r="X8" s="68">
        <f t="shared" ref="X8:X13" si="7">AVERAGE(U8:W8)</f>
        <v>2.2899999999999999E-3</v>
      </c>
      <c r="Y8" s="4"/>
      <c r="Z8" s="49"/>
    </row>
    <row r="9" spans="2:26" x14ac:dyDescent="0.5">
      <c r="B9" s="4">
        <f>ObtenciónProbetas!B9</f>
        <v>4</v>
      </c>
      <c r="C9" s="4" t="str">
        <f>ObtenciónProbetas!C9</f>
        <v>Masa4</v>
      </c>
      <c r="D9" s="4">
        <f>ObtenciónProbetas!F9/10*(PI()/4*(ObtenciónProbetas!J9/10)^2)</f>
        <v>957.24986287126001</v>
      </c>
      <c r="E9" s="4"/>
      <c r="F9" s="4"/>
      <c r="G9" s="4"/>
      <c r="H9" s="4"/>
      <c r="I9" s="4">
        <v>0.48</v>
      </c>
      <c r="J9" s="4">
        <v>0</v>
      </c>
      <c r="K9" s="4">
        <v>0</v>
      </c>
      <c r="L9" s="4">
        <v>0</v>
      </c>
      <c r="M9" s="4">
        <f t="shared" si="0"/>
        <v>0</v>
      </c>
      <c r="N9" s="4">
        <f>ObtenciónProbetas!F9/10</f>
        <v>11.669</v>
      </c>
      <c r="O9" s="27">
        <f>CurvaCompactaciónProbetas!L8</f>
        <v>1.8756858262840781</v>
      </c>
      <c r="P9" s="27">
        <f t="shared" si="1"/>
        <v>0</v>
      </c>
      <c r="Q9" s="27">
        <f t="shared" si="2"/>
        <v>1875.6858262840781</v>
      </c>
      <c r="R9" s="27">
        <f t="shared" si="3"/>
        <v>0</v>
      </c>
      <c r="S9" s="28">
        <f t="shared" si="4"/>
        <v>0</v>
      </c>
      <c r="T9" s="5">
        <f t="shared" si="5"/>
        <v>0</v>
      </c>
      <c r="U9" s="4">
        <v>1.3500000000000001E-3</v>
      </c>
      <c r="V9" s="4">
        <v>1.25E-3</v>
      </c>
      <c r="W9" s="4">
        <v>1.2700000000000001E-3</v>
      </c>
      <c r="X9" s="68">
        <f t="shared" si="7"/>
        <v>1.2900000000000001E-3</v>
      </c>
      <c r="Y9" s="4"/>
      <c r="Z9" s="49"/>
    </row>
    <row r="10" spans="2:26" x14ac:dyDescent="0.5">
      <c r="B10" s="4">
        <f>ObtenciónProbetas!B10</f>
        <v>5</v>
      </c>
      <c r="C10" s="4" t="str">
        <f>ObtenciónProbetas!C10</f>
        <v>Masa5</v>
      </c>
      <c r="D10" s="4">
        <f>ObtenciónProbetas!F10/10*(PI()/4*(ObtenciónProbetas!J10/10)^2)</f>
        <v>957.20886147429928</v>
      </c>
      <c r="E10" s="4"/>
      <c r="F10" s="4"/>
      <c r="G10" s="4"/>
      <c r="H10" s="4"/>
      <c r="I10" s="4">
        <v>0.48</v>
      </c>
      <c r="J10" s="4">
        <v>0</v>
      </c>
      <c r="K10" s="4">
        <v>0</v>
      </c>
      <c r="L10" s="4">
        <v>0</v>
      </c>
      <c r="M10" s="4">
        <f t="shared" si="0"/>
        <v>0</v>
      </c>
      <c r="N10" s="4">
        <f>ObtenciónProbetas!F10/10</f>
        <v>11.83</v>
      </c>
      <c r="O10" s="27">
        <f>CurvaCompactaciónProbetas!L9</f>
        <v>2.0303823734003141</v>
      </c>
      <c r="P10" s="27">
        <f t="shared" si="1"/>
        <v>0</v>
      </c>
      <c r="Q10" s="27">
        <f t="shared" si="2"/>
        <v>2030.3823734003142</v>
      </c>
      <c r="R10" s="27">
        <f t="shared" si="3"/>
        <v>0</v>
      </c>
      <c r="S10" s="28">
        <f t="shared" si="4"/>
        <v>0</v>
      </c>
      <c r="T10" s="5">
        <f t="shared" si="5"/>
        <v>0</v>
      </c>
      <c r="U10" s="4">
        <v>1.9599999999999999E-3</v>
      </c>
      <c r="V10" s="4">
        <v>1.73E-3</v>
      </c>
      <c r="W10" s="4">
        <v>1.73E-3</v>
      </c>
      <c r="X10" s="68">
        <f t="shared" si="7"/>
        <v>1.8066666666666665E-3</v>
      </c>
      <c r="Y10" s="4"/>
      <c r="Z10" s="49"/>
    </row>
    <row r="11" spans="2:26" x14ac:dyDescent="0.5">
      <c r="B11" s="4">
        <f>ObtenciónProbetas!B11</f>
        <v>6</v>
      </c>
      <c r="C11" s="4" t="str">
        <f>ObtenciónProbetas!C11</f>
        <v>Masa6</v>
      </c>
      <c r="D11" s="4">
        <f>ObtenciónProbetas!F11/10*(PI()/4*(ObtenciónProbetas!J11/10)^2)</f>
        <v>948.06213032841515</v>
      </c>
      <c r="E11" s="4"/>
      <c r="F11" s="4"/>
      <c r="G11" s="4"/>
      <c r="H11" s="4"/>
      <c r="I11" s="4">
        <v>0.48</v>
      </c>
      <c r="J11" s="4">
        <v>0</v>
      </c>
      <c r="K11" s="4">
        <v>0</v>
      </c>
      <c r="L11" s="4">
        <v>0</v>
      </c>
      <c r="M11" s="4">
        <f t="shared" si="0"/>
        <v>0</v>
      </c>
      <c r="N11" s="4">
        <f>ObtenciónProbetas!F11/10</f>
        <v>11.648</v>
      </c>
      <c r="O11" s="27">
        <f>CurvaCompactaciónProbetas!L10</f>
        <v>1.9919580580080873</v>
      </c>
      <c r="P11" s="27">
        <f t="shared" si="1"/>
        <v>0</v>
      </c>
      <c r="Q11" s="27">
        <f t="shared" si="2"/>
        <v>1991.9580580080874</v>
      </c>
      <c r="R11" s="27">
        <f t="shared" si="3"/>
        <v>0</v>
      </c>
      <c r="S11" s="28">
        <f t="shared" si="4"/>
        <v>0</v>
      </c>
      <c r="T11" s="5">
        <f t="shared" si="5"/>
        <v>0</v>
      </c>
      <c r="U11" s="4">
        <v>2.16E-3</v>
      </c>
      <c r="V11" s="4">
        <v>2.14E-3</v>
      </c>
      <c r="W11" s="4">
        <v>2.14E-3</v>
      </c>
      <c r="X11" s="68">
        <f t="shared" si="7"/>
        <v>2.1466666666666665E-3</v>
      </c>
      <c r="Y11" s="4"/>
      <c r="Z11" s="49"/>
    </row>
    <row r="12" spans="2:26" x14ac:dyDescent="0.5">
      <c r="B12" s="4">
        <f>ObtenciónProbetas!B12</f>
        <v>7</v>
      </c>
      <c r="C12" s="4" t="str">
        <f>ObtenciónProbetas!C12</f>
        <v>Masa7</v>
      </c>
      <c r="D12" s="4">
        <f>ObtenciónProbetas!F12/10*(PI()/4*(ObtenciónProbetas!J12/10)^2)</f>
        <v>937.62775036045468</v>
      </c>
      <c r="E12" s="4"/>
      <c r="F12" s="4"/>
      <c r="G12" s="4"/>
      <c r="H12" s="4"/>
      <c r="I12" s="4">
        <v>0.48</v>
      </c>
      <c r="J12" s="4">
        <v>0</v>
      </c>
      <c r="K12" s="4">
        <v>0</v>
      </c>
      <c r="L12" s="4">
        <v>0</v>
      </c>
      <c r="M12" s="4">
        <f t="shared" si="0"/>
        <v>0</v>
      </c>
      <c r="N12" s="4">
        <f>ObtenciónProbetas!F12/10</f>
        <v>11.587999999999999</v>
      </c>
      <c r="O12" s="27">
        <f>CurvaCompactaciónProbetas!L11</f>
        <v>2.0461211811003528</v>
      </c>
      <c r="P12" s="27">
        <f t="shared" si="1"/>
        <v>0</v>
      </c>
      <c r="Q12" s="27">
        <f t="shared" si="2"/>
        <v>2046.1211811003527</v>
      </c>
      <c r="R12" s="27">
        <f t="shared" si="3"/>
        <v>0</v>
      </c>
      <c r="S12" s="28">
        <f t="shared" si="4"/>
        <v>0</v>
      </c>
      <c r="T12" s="5">
        <f t="shared" si="5"/>
        <v>0</v>
      </c>
      <c r="U12" s="4">
        <v>2.47E-3</v>
      </c>
      <c r="V12" s="4">
        <v>2.47E-3</v>
      </c>
      <c r="W12" s="4">
        <v>2.49E-3</v>
      </c>
      <c r="X12" s="68">
        <f t="shared" si="7"/>
        <v>2.4766666666666665E-3</v>
      </c>
      <c r="Y12" s="4"/>
      <c r="Z12" s="49"/>
    </row>
    <row r="13" spans="2:26" x14ac:dyDescent="0.5">
      <c r="B13" s="4">
        <f>ObtenciónProbetas!B13</f>
        <v>8</v>
      </c>
      <c r="C13" s="4" t="str">
        <f>ObtenciónProbetas!C13</f>
        <v>Masa8</v>
      </c>
      <c r="D13" s="4">
        <f>ObtenciónProbetas!F13/10*(PI()/4*(ObtenciónProbetas!J13/10)^2)</f>
        <v>0</v>
      </c>
      <c r="E13" s="4"/>
      <c r="F13" s="4"/>
      <c r="G13" s="4"/>
      <c r="H13" s="4"/>
      <c r="I13" s="4">
        <v>0.48</v>
      </c>
      <c r="J13" s="4">
        <v>0</v>
      </c>
      <c r="K13" s="4">
        <v>0</v>
      </c>
      <c r="L13" s="4">
        <v>0</v>
      </c>
      <c r="M13" s="4">
        <f t="shared" si="0"/>
        <v>0</v>
      </c>
      <c r="N13" s="4">
        <f>ObtenciónProbetas!F13/10</f>
        <v>0</v>
      </c>
      <c r="O13" s="27">
        <f>CurvaCompactaciónProbetas!L12</f>
        <v>0</v>
      </c>
      <c r="P13" s="27">
        <f t="shared" si="1"/>
        <v>0</v>
      </c>
      <c r="Q13" s="27">
        <f t="shared" si="2"/>
        <v>0</v>
      </c>
      <c r="R13" s="27">
        <f t="shared" si="3"/>
        <v>0</v>
      </c>
      <c r="S13" s="28">
        <f t="shared" si="4"/>
        <v>0</v>
      </c>
      <c r="T13" s="5">
        <f t="shared" si="5"/>
        <v>0</v>
      </c>
      <c r="U13" s="4">
        <v>0</v>
      </c>
      <c r="V13" s="4">
        <v>0</v>
      </c>
      <c r="W13" s="4">
        <v>0</v>
      </c>
      <c r="X13" s="68">
        <f t="shared" si="7"/>
        <v>0</v>
      </c>
      <c r="Y13" s="4"/>
      <c r="Z13" s="49"/>
    </row>
    <row r="14" spans="2:26" x14ac:dyDescent="0.5">
      <c r="B14" s="4">
        <f>ObtenciónProbetas!B14</f>
        <v>9</v>
      </c>
      <c r="C14" s="4" t="str">
        <f>ObtenciónProbetas!C14</f>
        <v>Masa9</v>
      </c>
      <c r="D14" s="4">
        <f>ObtenciónProbetas!F14/10*(PI()/4*(ObtenciónProbetas!J14/10)^2)</f>
        <v>0</v>
      </c>
      <c r="E14" s="4"/>
      <c r="F14" s="4"/>
      <c r="G14" s="4"/>
      <c r="H14" s="4"/>
      <c r="I14" s="4">
        <v>0.48</v>
      </c>
      <c r="J14" s="4">
        <v>0</v>
      </c>
      <c r="K14" s="4">
        <v>0</v>
      </c>
      <c r="L14" s="4">
        <v>0</v>
      </c>
      <c r="M14" s="4">
        <f>AVERAGE(J14:L14)</f>
        <v>0</v>
      </c>
      <c r="N14" s="4">
        <f>ObtenciónProbetas!F14/10</f>
        <v>0</v>
      </c>
      <c r="O14" s="27">
        <f>CurvaCompactaciónProbetas!L13</f>
        <v>0</v>
      </c>
      <c r="P14" s="27">
        <f>IF(M14&gt;0,N14/M14,0)</f>
        <v>0</v>
      </c>
      <c r="Q14" s="27">
        <f>O14*1000</f>
        <v>0</v>
      </c>
      <c r="R14" s="27">
        <f>P14*10000</f>
        <v>0</v>
      </c>
      <c r="S14" s="28">
        <f>(R14^2)*((Q14*(1+I14)*(1-2*(I14)))/(1-I14))</f>
        <v>0</v>
      </c>
      <c r="T14" s="5">
        <f>S14/1000000</f>
        <v>0</v>
      </c>
      <c r="U14" s="4">
        <v>0</v>
      </c>
      <c r="V14" s="4">
        <v>0</v>
      </c>
      <c r="W14" s="4">
        <v>0</v>
      </c>
      <c r="X14" s="4">
        <f>AVERAGE(U14:W14)</f>
        <v>0</v>
      </c>
      <c r="Y14" s="4"/>
      <c r="Z14" s="49"/>
    </row>
    <row r="15" spans="2:26" x14ac:dyDescent="0.5">
      <c r="B15" s="4">
        <f>ObtenciónProbetas!B15</f>
        <v>10</v>
      </c>
      <c r="C15" s="4" t="str">
        <f>ObtenciónProbetas!C15</f>
        <v>Masa10</v>
      </c>
      <c r="D15" s="4">
        <f>ObtenciónProbetas!F15/10*(PI()/4*(ObtenciónProbetas!J15/10)^2)</f>
        <v>0</v>
      </c>
      <c r="E15" s="4"/>
      <c r="F15" s="4"/>
      <c r="G15" s="4"/>
      <c r="H15" s="4"/>
      <c r="I15" s="4">
        <v>0.48</v>
      </c>
      <c r="J15" s="4">
        <v>0</v>
      </c>
      <c r="K15" s="4">
        <v>0</v>
      </c>
      <c r="L15" s="4">
        <v>0</v>
      </c>
      <c r="M15" s="4">
        <f t="shared" ref="M15:M16" si="8">AVERAGE(J15:L15)</f>
        <v>0</v>
      </c>
      <c r="N15" s="4">
        <f>ObtenciónProbetas!F15/10</f>
        <v>0</v>
      </c>
      <c r="O15" s="27">
        <f>CurvaCompactaciónProbetas!L14</f>
        <v>0</v>
      </c>
      <c r="P15" s="27">
        <f t="shared" ref="P15:P16" si="9">IF(M15&gt;0,N15/M15,0)</f>
        <v>0</v>
      </c>
      <c r="Q15" s="27">
        <f t="shared" ref="Q15:Q16" si="10">O15*1000</f>
        <v>0</v>
      </c>
      <c r="R15" s="27">
        <f t="shared" ref="R15:R16" si="11">P15*10000</f>
        <v>0</v>
      </c>
      <c r="S15" s="28">
        <f t="shared" ref="S15:S16" si="12">(R15^2)*((Q15*(1+I15)*(1-2*(I15)))/(1-I15))</f>
        <v>0</v>
      </c>
      <c r="T15" s="5">
        <f t="shared" si="5"/>
        <v>0</v>
      </c>
      <c r="U15" s="4">
        <v>0</v>
      </c>
      <c r="V15" s="4">
        <v>0</v>
      </c>
      <c r="W15" s="4">
        <v>0</v>
      </c>
      <c r="X15" s="4">
        <f t="shared" ref="X15:X16" si="13">AVERAGE(U15:W15)</f>
        <v>0</v>
      </c>
      <c r="Y15" s="4"/>
      <c r="Z15" s="49"/>
    </row>
    <row r="16" spans="2:26" x14ac:dyDescent="0.5">
      <c r="B16" s="4">
        <f>ObtenciónProbetas!B16</f>
        <v>11</v>
      </c>
      <c r="C16" s="4" t="str">
        <f>ObtenciónProbetas!C16</f>
        <v>Masa11</v>
      </c>
      <c r="D16" s="4">
        <f>ObtenciónProbetas!F16/10*(PI()/4*(ObtenciónProbetas!J16/10)^2)</f>
        <v>0</v>
      </c>
      <c r="E16" s="4"/>
      <c r="F16" s="4"/>
      <c r="G16" s="4"/>
      <c r="H16" s="4"/>
      <c r="I16" s="4">
        <v>0.48</v>
      </c>
      <c r="J16" s="4">
        <v>0</v>
      </c>
      <c r="K16" s="4">
        <v>0</v>
      </c>
      <c r="L16" s="4">
        <v>0</v>
      </c>
      <c r="M16" s="4">
        <f t="shared" si="8"/>
        <v>0</v>
      </c>
      <c r="N16" s="4">
        <f>ObtenciónProbetas!F16/10</f>
        <v>0</v>
      </c>
      <c r="O16" s="27">
        <f>CurvaCompactaciónProbetas!L15</f>
        <v>0</v>
      </c>
      <c r="P16" s="27">
        <f t="shared" si="9"/>
        <v>0</v>
      </c>
      <c r="Q16" s="27">
        <f t="shared" si="10"/>
        <v>0</v>
      </c>
      <c r="R16" s="27">
        <f t="shared" si="11"/>
        <v>0</v>
      </c>
      <c r="S16" s="28">
        <f t="shared" si="12"/>
        <v>0</v>
      </c>
      <c r="T16" s="5">
        <f t="shared" si="5"/>
        <v>0</v>
      </c>
      <c r="U16" s="4">
        <v>0</v>
      </c>
      <c r="V16" s="4">
        <v>0</v>
      </c>
      <c r="W16" s="4">
        <v>0</v>
      </c>
      <c r="X16" s="4">
        <f t="shared" si="13"/>
        <v>0</v>
      </c>
      <c r="Y16" s="4"/>
      <c r="Z16" s="49"/>
    </row>
    <row r="17" spans="2:26" x14ac:dyDescent="0.5">
      <c r="B17" s="4">
        <f>ObtenciónProbetas!B17</f>
        <v>12</v>
      </c>
      <c r="C17" s="4" t="str">
        <f>ObtenciónProbetas!C17</f>
        <v>Masa12</v>
      </c>
      <c r="D17" s="4">
        <f>ObtenciónProbetas!F17/10*(PI()/4*(ObtenciónProbetas!J17/10)^2)</f>
        <v>0</v>
      </c>
      <c r="E17" s="4"/>
      <c r="F17" s="4"/>
      <c r="G17" s="4"/>
      <c r="H17" s="4"/>
      <c r="I17" s="4">
        <v>0.48</v>
      </c>
      <c r="J17" s="4">
        <v>0</v>
      </c>
      <c r="K17" s="4">
        <v>0</v>
      </c>
      <c r="L17" s="4">
        <v>0</v>
      </c>
      <c r="M17" s="4">
        <f>AVERAGE(J17:L17)</f>
        <v>0</v>
      </c>
      <c r="N17" s="4">
        <f>ObtenciónProbetas!F17/10</f>
        <v>0</v>
      </c>
      <c r="O17" s="27">
        <f>CurvaCompactaciónProbetas!L16</f>
        <v>0</v>
      </c>
      <c r="P17" s="27">
        <f>IF(M17&gt;0,N17/M17,0)</f>
        <v>0</v>
      </c>
      <c r="Q17" s="27">
        <f>O17*1000</f>
        <v>0</v>
      </c>
      <c r="R17" s="27">
        <f>P17*10000</f>
        <v>0</v>
      </c>
      <c r="S17" s="28">
        <f>(R17^2)*((Q17*(1+I17)*(1-2*(I17)))/(1-I17))</f>
        <v>0</v>
      </c>
      <c r="T17" s="5">
        <f>S17/1000000</f>
        <v>0</v>
      </c>
      <c r="U17" s="4">
        <v>0</v>
      </c>
      <c r="V17" s="4">
        <v>0</v>
      </c>
      <c r="W17" s="4">
        <v>0</v>
      </c>
      <c r="X17" s="4">
        <f>AVERAGE(U17:W17)</f>
        <v>0</v>
      </c>
      <c r="Y17" s="4"/>
      <c r="Z17" s="49"/>
    </row>
  </sheetData>
  <mergeCells count="4">
    <mergeCell ref="B3:C3"/>
    <mergeCell ref="D3:I3"/>
    <mergeCell ref="J3:T3"/>
    <mergeCell ref="U3:Y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80F7-DA37-4C2C-9166-82F6588CCFAC}">
  <dimension ref="B3:G30"/>
  <sheetViews>
    <sheetView zoomScale="96" workbookViewId="0">
      <selection activeCell="D19" sqref="D19"/>
    </sheetView>
  </sheetViews>
  <sheetFormatPr defaultColWidth="8.3125" defaultRowHeight="14.25" x14ac:dyDescent="0.45"/>
  <cols>
    <col min="1" max="3" width="8.3125" style="33"/>
    <col min="4" max="4" width="8.5" style="33" bestFit="1" customWidth="1"/>
    <col min="5" max="16384" width="8.3125" style="33"/>
  </cols>
  <sheetData>
    <row r="3" spans="2:7" ht="14.65" thickBot="1" x14ac:dyDescent="0.5"/>
    <row r="4" spans="2:7" ht="14.65" thickBot="1" x14ac:dyDescent="0.5">
      <c r="B4" s="59" t="s">
        <v>70</v>
      </c>
      <c r="C4" s="60"/>
      <c r="D4" s="60"/>
      <c r="E4" s="60"/>
      <c r="F4" s="60"/>
      <c r="G4" s="61"/>
    </row>
    <row r="5" spans="2:7" x14ac:dyDescent="0.45">
      <c r="B5" s="34" t="s">
        <v>54</v>
      </c>
      <c r="C5" s="47">
        <v>5</v>
      </c>
      <c r="D5" s="47">
        <v>25</v>
      </c>
      <c r="E5" s="47">
        <v>50</v>
      </c>
      <c r="F5" s="47">
        <v>100</v>
      </c>
      <c r="G5" s="48">
        <v>200</v>
      </c>
    </row>
    <row r="6" spans="2:7" x14ac:dyDescent="0.45">
      <c r="B6" s="35">
        <v>0.1</v>
      </c>
      <c r="C6" s="36">
        <v>2.3478348100633198E-3</v>
      </c>
      <c r="D6" s="36">
        <v>1.9955787603624102E-3</v>
      </c>
      <c r="E6" s="36">
        <v>1.7820024121730301E-3</v>
      </c>
      <c r="F6" s="36">
        <v>1.5694576530822599E-3</v>
      </c>
      <c r="G6" s="37">
        <v>1.3718172767980101E-3</v>
      </c>
    </row>
    <row r="7" spans="2:7" x14ac:dyDescent="0.45">
      <c r="B7" s="35">
        <v>0.2</v>
      </c>
      <c r="C7" s="36">
        <v>2.3394404849428098E-3</v>
      </c>
      <c r="D7" s="36">
        <v>1.98434376581171E-3</v>
      </c>
      <c r="E7" s="36">
        <v>1.7711769880264601E-3</v>
      </c>
      <c r="F7" s="36">
        <v>1.5596375331642599E-3</v>
      </c>
      <c r="G7" s="37">
        <v>1.3631794859288E-3</v>
      </c>
    </row>
    <row r="8" spans="2:7" x14ac:dyDescent="0.45">
      <c r="B8" s="35">
        <v>0.3</v>
      </c>
      <c r="C8" s="36">
        <v>2.32464610063569E-3</v>
      </c>
      <c r="D8" s="36">
        <v>1.9648933392996401E-3</v>
      </c>
      <c r="E8" s="36">
        <v>1.7524451909427701E-3</v>
      </c>
      <c r="F8" s="36">
        <v>1.5426744704321301E-3</v>
      </c>
      <c r="G8" s="37">
        <v>1.3483557321667301E-3</v>
      </c>
    </row>
    <row r="9" spans="2:7" x14ac:dyDescent="0.45">
      <c r="B9" s="35">
        <v>0.4</v>
      </c>
      <c r="C9" s="36">
        <v>2.3023397656270999E-3</v>
      </c>
      <c r="D9" s="36">
        <v>1.9358334976590601E-3</v>
      </c>
      <c r="E9" s="36">
        <v>1.7247572871193599E-3</v>
      </c>
      <c r="F9" s="36">
        <v>1.51776845222711E-3</v>
      </c>
      <c r="G9" s="37">
        <v>1.3265591896317601E-3</v>
      </c>
    </row>
    <row r="10" spans="2:7" ht="14.65" thickBot="1" x14ac:dyDescent="0.5">
      <c r="B10" s="38">
        <v>0.5</v>
      </c>
      <c r="C10" s="39">
        <v>2.27007750668263E-3</v>
      </c>
      <c r="D10" s="39">
        <v>1.89502062975498E-3</v>
      </c>
      <c r="E10" s="39">
        <v>1.68607013178486E-3</v>
      </c>
      <c r="F10" s="39">
        <v>1.48321064757378E-3</v>
      </c>
      <c r="G10" s="40">
        <v>1.2964257444793301E-3</v>
      </c>
    </row>
    <row r="12" spans="2:7" ht="14.65" thickBot="1" x14ac:dyDescent="0.5"/>
    <row r="13" spans="2:7" ht="14.65" thickBot="1" x14ac:dyDescent="0.5">
      <c r="B13" s="62" t="s">
        <v>71</v>
      </c>
      <c r="C13" s="63"/>
      <c r="D13" s="41">
        <v>0.48</v>
      </c>
      <c r="E13" s="62" t="s">
        <v>72</v>
      </c>
      <c r="F13" s="63"/>
      <c r="G13" s="41">
        <f>E25</f>
        <v>1.9733333333333334E-3</v>
      </c>
    </row>
    <row r="14" spans="2:7" ht="14.65" thickBot="1" x14ac:dyDescent="0.5">
      <c r="B14" s="42"/>
      <c r="C14" s="42"/>
      <c r="E14" s="42"/>
      <c r="F14" s="42"/>
    </row>
    <row r="15" spans="2:7" ht="14.65" thickBot="1" x14ac:dyDescent="0.5">
      <c r="B15" s="62" t="s">
        <v>73</v>
      </c>
      <c r="C15" s="64"/>
      <c r="D15" s="64"/>
      <c r="E15" s="64"/>
      <c r="F15" s="64"/>
      <c r="G15" s="63"/>
    </row>
    <row r="16" spans="2:7" x14ac:dyDescent="0.45">
      <c r="B16" s="43">
        <f>D13</f>
        <v>0.48</v>
      </c>
      <c r="C16" s="43">
        <f>_xlfn.FORECAST.LINEAR(D13,C9:C10,B9:B10)</f>
        <v>2.2765299584715237E-3</v>
      </c>
      <c r="D16" s="43">
        <f>_xlfn.FORECAST.LINEAR($D$13,D9:D10,$B$9:$B$10)</f>
        <v>1.9031832033357962E-3</v>
      </c>
      <c r="E16" s="43">
        <f>_xlfn.FORECAST.LINEAR($D$13,E9:E10,$B$9:$B$10)</f>
        <v>1.6938075628517599E-3</v>
      </c>
      <c r="F16" s="43">
        <f>_xlfn.FORECAST.LINEAR($D$13,F9:F10,$B$9:$B$10)</f>
        <v>1.4901222085044459E-3</v>
      </c>
      <c r="G16" s="43">
        <f>_xlfn.FORECAST.LINEAR($D$13,G9:G10,$B$9:$B$10)</f>
        <v>1.3024524335098161E-3</v>
      </c>
    </row>
    <row r="17" spans="2:7" ht="14.65" thickBot="1" x14ac:dyDescent="0.5"/>
    <row r="18" spans="2:7" x14ac:dyDescent="0.45">
      <c r="B18" s="65" t="s">
        <v>74</v>
      </c>
      <c r="C18" s="66"/>
      <c r="D18" s="66"/>
      <c r="E18" s="66"/>
      <c r="F18" s="66"/>
      <c r="G18" s="67"/>
    </row>
    <row r="19" spans="2:7" x14ac:dyDescent="0.45">
      <c r="B19" s="57" t="s">
        <v>75</v>
      </c>
      <c r="C19" s="58"/>
      <c r="D19" s="45">
        <f>_xlfn.FORECAST.LINEAR(G13,C5:D5,C16:D16)</f>
        <v>21.242092423059376</v>
      </c>
      <c r="E19" s="44" t="s">
        <v>54</v>
      </c>
      <c r="F19" s="45"/>
      <c r="G19" s="46"/>
    </row>
    <row r="24" spans="2:7" x14ac:dyDescent="0.45">
      <c r="E24" s="33">
        <v>1.4533333333333332E-3</v>
      </c>
      <c r="F24" s="33">
        <v>119.6</v>
      </c>
    </row>
    <row r="25" spans="2:7" x14ac:dyDescent="0.45">
      <c r="E25" s="33">
        <v>1.9733333333333334E-3</v>
      </c>
    </row>
    <row r="26" spans="2:7" x14ac:dyDescent="0.45">
      <c r="E26" s="33">
        <v>2.2899999999999999E-3</v>
      </c>
    </row>
    <row r="27" spans="2:7" x14ac:dyDescent="0.45">
      <c r="E27" s="33">
        <v>1.2900000000000001E-3</v>
      </c>
    </row>
    <row r="28" spans="2:7" x14ac:dyDescent="0.45">
      <c r="E28" s="33">
        <v>1.8066666666666665E-3</v>
      </c>
    </row>
    <row r="29" spans="2:7" x14ac:dyDescent="0.45">
      <c r="E29" s="33">
        <v>2.1466666666666665E-3</v>
      </c>
    </row>
    <row r="30" spans="2:7" x14ac:dyDescent="0.45">
      <c r="E30" s="33">
        <v>2.4766666666666665E-3</v>
      </c>
    </row>
  </sheetData>
  <mergeCells count="6">
    <mergeCell ref="B19:C19"/>
    <mergeCell ref="B4:G4"/>
    <mergeCell ref="B13:C13"/>
    <mergeCell ref="E13:F13"/>
    <mergeCell ref="B15:G15"/>
    <mergeCell ref="B18:G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ObtenciónProbetas</vt:lpstr>
      <vt:lpstr>CurvaCompactaciónProbetas</vt:lpstr>
      <vt:lpstr>ProcesamientoDatos</vt:lpstr>
      <vt:lpstr>SSW_CalibrationCurve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Hernan Paredes Palomo</dc:creator>
  <cp:lastModifiedBy>Pablo Sebastián Alvarado Sarmiento</cp:lastModifiedBy>
  <dcterms:created xsi:type="dcterms:W3CDTF">2023-09-26T20:46:41Z</dcterms:created>
  <dcterms:modified xsi:type="dcterms:W3CDTF">2023-10-26T17:11:27Z</dcterms:modified>
</cp:coreProperties>
</file>