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InvestigacionUSFQ\SSWCompleteAnalysis\"/>
    </mc:Choice>
  </mc:AlternateContent>
  <xr:revisionPtr revIDLastSave="0" documentId="13_ncr:1_{98789022-EF3E-4FD6-ADFB-D1DA3595B995}" xr6:coauthVersionLast="47" xr6:coauthVersionMax="47" xr10:uidLastSave="{00000000-0000-0000-0000-000000000000}"/>
  <bookViews>
    <workbookView xWindow="-98" yWindow="-98" windowWidth="21795" windowHeight="12975" activeTab="1" xr2:uid="{F555FD4A-A0AD-4E05-91AA-F39F4B103AE1}"/>
  </bookViews>
  <sheets>
    <sheet name="ObtenciónProbetas" sheetId="1" r:id="rId1"/>
    <sheet name="CurvaCompactaciónProbetas" sheetId="3" r:id="rId2"/>
    <sheet name="ProcesamientoDatos" sheetId="2" r:id="rId3"/>
    <sheet name="SSW_CalibrationCurve" sheetId="5" r:id="rId4"/>
    <sheet name="ObtenciónProbetasJuanC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S6" i="1"/>
  <c r="AA6" i="6" l="1"/>
  <c r="AB6" i="6"/>
  <c r="Z6" i="6"/>
  <c r="Y6" i="6"/>
  <c r="X6" i="6"/>
  <c r="W6" i="6"/>
  <c r="AN23" i="6"/>
  <c r="AJ23" i="6"/>
  <c r="AL23" i="6" s="1"/>
  <c r="AG23" i="6"/>
  <c r="AO23" i="6" s="1"/>
  <c r="W23" i="6"/>
  <c r="AN22" i="6"/>
  <c r="AJ22" i="6"/>
  <c r="AL22" i="6" s="1"/>
  <c r="AG22" i="6"/>
  <c r="AO22" i="6" s="1"/>
  <c r="W22" i="6"/>
  <c r="AN21" i="6"/>
  <c r="AJ21" i="6"/>
  <c r="AL21" i="6" s="1"/>
  <c r="AG21" i="6"/>
  <c r="AO21" i="6" s="1"/>
  <c r="W21" i="6"/>
  <c r="AO20" i="6"/>
  <c r="AN20" i="6"/>
  <c r="W20" i="6"/>
  <c r="Y20" i="6" s="1"/>
  <c r="AN19" i="6"/>
  <c r="AJ19" i="6"/>
  <c r="AL19" i="6" s="1"/>
  <c r="AG19" i="6"/>
  <c r="W19" i="6"/>
  <c r="AN18" i="6"/>
  <c r="AJ18" i="6"/>
  <c r="AL18" i="6" s="1"/>
  <c r="AG18" i="6"/>
  <c r="W18" i="6"/>
  <c r="T18" i="6"/>
  <c r="AN17" i="6"/>
  <c r="AJ17" i="6"/>
  <c r="AL17" i="6" s="1"/>
  <c r="AG17" i="6"/>
  <c r="AO17" i="6" s="1"/>
  <c r="W17" i="6"/>
  <c r="T17" i="6"/>
  <c r="AN16" i="6"/>
  <c r="AJ16" i="6"/>
  <c r="AL16" i="6" s="1"/>
  <c r="AF16" i="6"/>
  <c r="AG16" i="6" s="1"/>
  <c r="W16" i="6"/>
  <c r="Y16" i="6" s="1"/>
  <c r="T16" i="6"/>
  <c r="AN15" i="6"/>
  <c r="AJ15" i="6"/>
  <c r="AL15" i="6" s="1"/>
  <c r="AF15" i="6"/>
  <c r="AG15" i="6" s="1"/>
  <c r="W15" i="6"/>
  <c r="T15" i="6"/>
  <c r="AJ13" i="6"/>
  <c r="AL13" i="6" s="1"/>
  <c r="AF13" i="6"/>
  <c r="AG13" i="6" s="1"/>
  <c r="W13" i="6"/>
  <c r="T13" i="6"/>
  <c r="AJ12" i="6"/>
  <c r="AL12" i="6" s="1"/>
  <c r="AF12" i="6"/>
  <c r="AG12" i="6" s="1"/>
  <c r="W12" i="6"/>
  <c r="T12" i="6"/>
  <c r="AJ11" i="6"/>
  <c r="AL11" i="6" s="1"/>
  <c r="AF11" i="6"/>
  <c r="AG11" i="6" s="1"/>
  <c r="W11" i="6"/>
  <c r="Y11" i="6" s="1"/>
  <c r="T11" i="6"/>
  <c r="AJ10" i="6"/>
  <c r="AL10" i="6" s="1"/>
  <c r="AF10" i="6"/>
  <c r="AG10" i="6" s="1"/>
  <c r="W10" i="6"/>
  <c r="T10" i="6"/>
  <c r="AJ9" i="6"/>
  <c r="AL9" i="6" s="1"/>
  <c r="AF9" i="6"/>
  <c r="AG9" i="6" s="1"/>
  <c r="W9" i="6"/>
  <c r="T9" i="6"/>
  <c r="E9" i="6"/>
  <c r="H9" i="6" s="1"/>
  <c r="AJ8" i="6"/>
  <c r="AL8" i="6" s="1"/>
  <c r="AF8" i="6"/>
  <c r="AG8" i="6" s="1"/>
  <c r="W8" i="6"/>
  <c r="T8" i="6"/>
  <c r="M8" i="6"/>
  <c r="E8" i="6"/>
  <c r="H8" i="6" s="1"/>
  <c r="AJ7" i="6"/>
  <c r="AL7" i="6" s="1"/>
  <c r="AF7" i="6"/>
  <c r="AG7" i="6" s="1"/>
  <c r="W7" i="6"/>
  <c r="T7" i="6"/>
  <c r="AJ6" i="6"/>
  <c r="AL6" i="6" s="1"/>
  <c r="AF6" i="6"/>
  <c r="AG6" i="6" s="1"/>
  <c r="T6" i="6"/>
  <c r="M6" i="6"/>
  <c r="E6" i="6"/>
  <c r="H6" i="6" s="1"/>
  <c r="AH6" i="6" s="1"/>
  <c r="M5" i="3"/>
  <c r="G7" i="2"/>
  <c r="H6" i="2"/>
  <c r="G6" i="2"/>
  <c r="M35" i="3"/>
  <c r="M34" i="3"/>
  <c r="AT19" i="1"/>
  <c r="L35" i="3"/>
  <c r="AV15" i="1"/>
  <c r="K39" i="3"/>
  <c r="AZ16" i="1"/>
  <c r="AZ17" i="1"/>
  <c r="AZ18" i="1"/>
  <c r="AZ20" i="1"/>
  <c r="AZ21" i="1"/>
  <c r="AZ22" i="1"/>
  <c r="AZ23" i="1"/>
  <c r="AZ15" i="1"/>
  <c r="I32" i="3"/>
  <c r="K32" i="3" s="1"/>
  <c r="AU16" i="1" s="1"/>
  <c r="AW16" i="1" s="1"/>
  <c r="J39" i="3"/>
  <c r="J33" i="3"/>
  <c r="J32" i="3"/>
  <c r="J31" i="3"/>
  <c r="K38" i="3"/>
  <c r="AY16" i="1"/>
  <c r="AY17" i="1"/>
  <c r="AY18" i="1"/>
  <c r="AY19" i="1"/>
  <c r="AY20" i="1"/>
  <c r="AY21" i="1"/>
  <c r="AY22" i="1"/>
  <c r="AY23" i="1"/>
  <c r="AY15" i="1"/>
  <c r="AQ16" i="1"/>
  <c r="AR16" i="1" s="1"/>
  <c r="AQ15" i="1"/>
  <c r="AR23" i="1"/>
  <c r="AR22" i="1"/>
  <c r="AR21" i="1"/>
  <c r="AR17" i="1"/>
  <c r="I39" i="3"/>
  <c r="I38" i="3"/>
  <c r="AU23" i="1"/>
  <c r="AW23" i="1" s="1"/>
  <c r="B39" i="3"/>
  <c r="AU22" i="1"/>
  <c r="AW22" i="1" s="1"/>
  <c r="B38" i="3"/>
  <c r="J37" i="3"/>
  <c r="I37" i="3"/>
  <c r="B37" i="3"/>
  <c r="I35" i="3"/>
  <c r="K35" i="3" s="1"/>
  <c r="AU19" i="1" s="1"/>
  <c r="AW19" i="1" s="1"/>
  <c r="B35" i="3"/>
  <c r="J34" i="3"/>
  <c r="I34" i="3"/>
  <c r="B34" i="3"/>
  <c r="I33" i="3"/>
  <c r="K33" i="3" s="1"/>
  <c r="AU17" i="1" s="1"/>
  <c r="AW17" i="1" s="1"/>
  <c r="B33" i="3"/>
  <c r="B32" i="3"/>
  <c r="I31" i="3"/>
  <c r="K31" i="3" s="1"/>
  <c r="B31" i="3"/>
  <c r="AR18" i="1"/>
  <c r="AQ7" i="1"/>
  <c r="AQ6" i="1"/>
  <c r="AR6" i="1" s="1"/>
  <c r="AR19" i="1"/>
  <c r="AR15" i="1"/>
  <c r="AE18" i="1"/>
  <c r="AE17" i="1"/>
  <c r="AH18" i="1"/>
  <c r="AM6" i="1"/>
  <c r="AH15" i="1"/>
  <c r="X8" i="1"/>
  <c r="AH23" i="1"/>
  <c r="AH22" i="1"/>
  <c r="AH21" i="1"/>
  <c r="AE16" i="1"/>
  <c r="AE15" i="1"/>
  <c r="AH20" i="1"/>
  <c r="AH19" i="1"/>
  <c r="AH17" i="1"/>
  <c r="AH16" i="1"/>
  <c r="AU7" i="1"/>
  <c r="AW7" i="1" s="1"/>
  <c r="AU8" i="1"/>
  <c r="AW8" i="1" s="1"/>
  <c r="AU9" i="1"/>
  <c r="AW9" i="1" s="1"/>
  <c r="AU10" i="1"/>
  <c r="AW10" i="1" s="1"/>
  <c r="AU11" i="1"/>
  <c r="AW11" i="1" s="1"/>
  <c r="AU12" i="1"/>
  <c r="AW12" i="1" s="1"/>
  <c r="AU13" i="1"/>
  <c r="AW13" i="1" s="1"/>
  <c r="AU6" i="1"/>
  <c r="AW6" i="1" s="1"/>
  <c r="K29" i="3"/>
  <c r="K28" i="3"/>
  <c r="K27" i="3"/>
  <c r="K26" i="3"/>
  <c r="K25" i="3"/>
  <c r="K24" i="3"/>
  <c r="K23" i="3"/>
  <c r="K22" i="3"/>
  <c r="J24" i="3"/>
  <c r="J25" i="3"/>
  <c r="J27" i="3"/>
  <c r="J28" i="3"/>
  <c r="J29" i="3"/>
  <c r="I23" i="3"/>
  <c r="I24" i="3"/>
  <c r="I25" i="3"/>
  <c r="I26" i="3"/>
  <c r="I27" i="3"/>
  <c r="I28" i="3"/>
  <c r="I22" i="3"/>
  <c r="AQ8" i="1"/>
  <c r="AR8" i="1" s="1"/>
  <c r="AQ13" i="1"/>
  <c r="AR13" i="1" s="1"/>
  <c r="AQ12" i="1"/>
  <c r="AR12" i="1" s="1"/>
  <c r="AQ11" i="1"/>
  <c r="AR11" i="1" s="1"/>
  <c r="AQ10" i="1"/>
  <c r="AR10" i="1" s="1"/>
  <c r="AQ9" i="1"/>
  <c r="AR9" i="1" s="1"/>
  <c r="AR7" i="1"/>
  <c r="AH6" i="1"/>
  <c r="AJ6" i="1" s="1"/>
  <c r="AE6" i="1"/>
  <c r="B24" i="3"/>
  <c r="B23" i="3"/>
  <c r="B25" i="3"/>
  <c r="B26" i="3"/>
  <c r="B27" i="3"/>
  <c r="B28" i="3"/>
  <c r="B29" i="3"/>
  <c r="B22" i="3"/>
  <c r="AH13" i="1"/>
  <c r="AE13" i="1"/>
  <c r="AH12" i="1"/>
  <c r="AE12" i="1"/>
  <c r="AH11" i="1"/>
  <c r="AE11" i="1"/>
  <c r="AH10" i="1"/>
  <c r="AE10" i="1"/>
  <c r="AH9" i="1"/>
  <c r="AH8" i="1"/>
  <c r="AE9" i="1"/>
  <c r="AE8" i="1"/>
  <c r="AE7" i="1"/>
  <c r="AH7" i="1"/>
  <c r="AL6" i="1" l="1"/>
  <c r="AA11" i="6"/>
  <c r="AA20" i="6"/>
  <c r="AA16" i="6"/>
  <c r="AI6" i="6"/>
  <c r="AK6" i="6" s="1"/>
  <c r="AO16" i="6"/>
  <c r="Y9" i="6"/>
  <c r="AA9" i="6" s="1"/>
  <c r="Y22" i="6"/>
  <c r="AA22" i="6" s="1"/>
  <c r="X12" i="6"/>
  <c r="Z12" i="6" s="1"/>
  <c r="AB12" i="6" s="1"/>
  <c r="Y17" i="6"/>
  <c r="AA17" i="6" s="1"/>
  <c r="AH22" i="6"/>
  <c r="AI22" i="6" s="1"/>
  <c r="AK22" i="6" s="1"/>
  <c r="AH23" i="6"/>
  <c r="AI23" i="6" s="1"/>
  <c r="AK23" i="6" s="1"/>
  <c r="AH17" i="6"/>
  <c r="AI17" i="6" s="1"/>
  <c r="AK17" i="6" s="1"/>
  <c r="AH12" i="6"/>
  <c r="AI12" i="6" s="1"/>
  <c r="AK12" i="6" s="1"/>
  <c r="AH18" i="6"/>
  <c r="AI18" i="6" s="1"/>
  <c r="AK18" i="6" s="1"/>
  <c r="AH21" i="6"/>
  <c r="AI21" i="6" s="1"/>
  <c r="AK21" i="6" s="1"/>
  <c r="AH7" i="6"/>
  <c r="AI7" i="6" s="1"/>
  <c r="AK7" i="6" s="1"/>
  <c r="AH8" i="6"/>
  <c r="AI8" i="6" s="1"/>
  <c r="AK8" i="6" s="1"/>
  <c r="AH15" i="6"/>
  <c r="AI15" i="6" s="1"/>
  <c r="AK15" i="6" s="1"/>
  <c r="AH19" i="6"/>
  <c r="AI19" i="6" s="1"/>
  <c r="AK19" i="6" s="1"/>
  <c r="AH16" i="6"/>
  <c r="AI16" i="6" s="1"/>
  <c r="AK16" i="6" s="1"/>
  <c r="AH10" i="6"/>
  <c r="AI10" i="6" s="1"/>
  <c r="AK10" i="6" s="1"/>
  <c r="Y18" i="6"/>
  <c r="AA18" i="6" s="1"/>
  <c r="AH11" i="6"/>
  <c r="AI11" i="6" s="1"/>
  <c r="AK11" i="6" s="1"/>
  <c r="Y10" i="6"/>
  <c r="AA10" i="6" s="1"/>
  <c r="X10" i="6"/>
  <c r="Z10" i="6" s="1"/>
  <c r="AB10" i="6" s="1"/>
  <c r="Y23" i="6"/>
  <c r="AA23" i="6" s="1"/>
  <c r="X23" i="6"/>
  <c r="Z23" i="6" s="1"/>
  <c r="AB23" i="6" s="1"/>
  <c r="X17" i="6"/>
  <c r="AH9" i="6"/>
  <c r="AI9" i="6" s="1"/>
  <c r="AK9" i="6" s="1"/>
  <c r="Y8" i="6"/>
  <c r="AA8" i="6" s="1"/>
  <c r="X8" i="6"/>
  <c r="Z8" i="6" s="1"/>
  <c r="AB8" i="6" s="1"/>
  <c r="AH13" i="6"/>
  <c r="AI13" i="6" s="1"/>
  <c r="AK13" i="6" s="1"/>
  <c r="Y21" i="6"/>
  <c r="AA21" i="6" s="1"/>
  <c r="Y15" i="6"/>
  <c r="AA15" i="6" s="1"/>
  <c r="AO15" i="6"/>
  <c r="X22" i="6"/>
  <c r="Z22" i="6" s="1"/>
  <c r="AB22" i="6" s="1"/>
  <c r="Y7" i="6"/>
  <c r="AA7" i="6" s="1"/>
  <c r="X21" i="6"/>
  <c r="Y12" i="6"/>
  <c r="AA12" i="6" s="1"/>
  <c r="X18" i="6"/>
  <c r="Z18" i="6" s="1"/>
  <c r="AB18" i="6" s="1"/>
  <c r="X11" i="6"/>
  <c r="Z11" i="6" s="1"/>
  <c r="AB11" i="6" s="1"/>
  <c r="AC11" i="6" s="1"/>
  <c r="AO18" i="6"/>
  <c r="X13" i="6"/>
  <c r="Y13" i="6"/>
  <c r="AA13" i="6" s="1"/>
  <c r="X7" i="6"/>
  <c r="X19" i="6"/>
  <c r="Y19" i="6"/>
  <c r="AA19" i="6" s="1"/>
  <c r="X16" i="6"/>
  <c r="Z16" i="6" s="1"/>
  <c r="AB16" i="6" s="1"/>
  <c r="AC16" i="6" s="1"/>
  <c r="X20" i="6"/>
  <c r="Z20" i="6" s="1"/>
  <c r="AB20" i="6" s="1"/>
  <c r="AC20" i="6" s="1"/>
  <c r="X9" i="6"/>
  <c r="Z9" i="6" s="1"/>
  <c r="AB9" i="6" s="1"/>
  <c r="X15" i="6"/>
  <c r="Z15" i="6" s="1"/>
  <c r="AB15" i="6" s="1"/>
  <c r="K37" i="3"/>
  <c r="AU21" i="1" s="1"/>
  <c r="AW21" i="1" s="1"/>
  <c r="K34" i="3"/>
  <c r="AU18" i="1" s="1"/>
  <c r="AW18" i="1" s="1"/>
  <c r="AU15" i="1"/>
  <c r="AW15" i="1" s="1"/>
  <c r="Z17" i="6" l="1"/>
  <c r="AB17" i="6" s="1"/>
  <c r="Z21" i="6"/>
  <c r="AB21" i="6" s="1"/>
  <c r="AC18" i="6"/>
  <c r="AC17" i="6"/>
  <c r="AC12" i="6"/>
  <c r="AC22" i="6"/>
  <c r="AC9" i="6"/>
  <c r="AC8" i="6"/>
  <c r="Z13" i="6"/>
  <c r="AB13" i="6" s="1"/>
  <c r="AC13" i="6" s="1"/>
  <c r="AC23" i="6"/>
  <c r="AC10" i="6"/>
  <c r="Z19" i="6"/>
  <c r="AB19" i="6" s="1"/>
  <c r="AC19" i="6" s="1"/>
  <c r="Z7" i="6"/>
  <c r="AB7" i="6" s="1"/>
  <c r="AC7" i="6" s="1"/>
  <c r="AC15" i="6"/>
  <c r="AC21" i="6"/>
  <c r="AC6" i="6"/>
  <c r="P9" i="1"/>
  <c r="S9" i="1" s="1"/>
  <c r="P8" i="1"/>
  <c r="S8" i="1" s="1"/>
  <c r="D22" i="5"/>
  <c r="G13" i="5"/>
  <c r="D19" i="5"/>
  <c r="C16" i="5"/>
  <c r="M11" i="2"/>
  <c r="P19" i="2"/>
  <c r="O19" i="2"/>
  <c r="N19" i="2"/>
  <c r="D16" i="5"/>
  <c r="E16" i="5"/>
  <c r="F16" i="5"/>
  <c r="G16" i="5"/>
  <c r="M13" i="2"/>
  <c r="J6" i="1"/>
  <c r="AS23" i="1" l="1"/>
  <c r="AT23" i="1" s="1"/>
  <c r="AS19" i="1"/>
  <c r="AS21" i="1"/>
  <c r="AT21" i="1" s="1"/>
  <c r="AS22" i="1"/>
  <c r="AT22" i="1" s="1"/>
  <c r="AS18" i="1"/>
  <c r="AT18" i="1" s="1"/>
  <c r="AS17" i="1"/>
  <c r="AT17" i="1" s="1"/>
  <c r="AS16" i="1"/>
  <c r="AT16" i="1" s="1"/>
  <c r="AS15" i="1"/>
  <c r="AT15" i="1" s="1"/>
  <c r="AS8" i="1"/>
  <c r="AT8" i="1" s="1"/>
  <c r="AJ22" i="1"/>
  <c r="AL22" i="1" s="1"/>
  <c r="AI22" i="1"/>
  <c r="AK22" i="1" s="1"/>
  <c r="AM22" i="1" s="1"/>
  <c r="AI23" i="1"/>
  <c r="AI21" i="1"/>
  <c r="AJ23" i="1"/>
  <c r="AL23" i="1" s="1"/>
  <c r="AJ21" i="1"/>
  <c r="AL21" i="1" s="1"/>
  <c r="AN22" i="1"/>
  <c r="AJ17" i="1"/>
  <c r="AL17" i="1" s="1"/>
  <c r="AJ19" i="1"/>
  <c r="AL19" i="1" s="1"/>
  <c r="AJ15" i="1"/>
  <c r="AL15" i="1" s="1"/>
  <c r="AI15" i="1"/>
  <c r="AI19" i="1"/>
  <c r="AI17" i="1"/>
  <c r="AJ16" i="1"/>
  <c r="AL16" i="1" s="1"/>
  <c r="AJ18" i="1"/>
  <c r="AL18" i="1" s="1"/>
  <c r="AJ20" i="1"/>
  <c r="AL20" i="1" s="1"/>
  <c r="AI20" i="1"/>
  <c r="AI18" i="1"/>
  <c r="AI16" i="1"/>
  <c r="AS11" i="1"/>
  <c r="AT11" i="1" s="1"/>
  <c r="AS9" i="1"/>
  <c r="AT9" i="1" s="1"/>
  <c r="AS13" i="1"/>
  <c r="AT13" i="1" s="1"/>
  <c r="AJ12" i="1"/>
  <c r="AL12" i="1" s="1"/>
  <c r="AI12" i="1"/>
  <c r="AK12" i="1" s="1"/>
  <c r="AM12" i="1" s="1"/>
  <c r="AN12" i="1" s="1"/>
  <c r="AS6" i="1"/>
  <c r="AT6" i="1" s="1"/>
  <c r="AI6" i="1"/>
  <c r="AS7" i="1"/>
  <c r="AT7" i="1" s="1"/>
  <c r="AS10" i="1"/>
  <c r="AT10" i="1" s="1"/>
  <c r="AS12" i="1"/>
  <c r="AT12" i="1" s="1"/>
  <c r="AJ13" i="1"/>
  <c r="AL13" i="1" s="1"/>
  <c r="AI13" i="1"/>
  <c r="AK13" i="1" s="1"/>
  <c r="AM13" i="1" s="1"/>
  <c r="AN13" i="1" s="1"/>
  <c r="AI8" i="1"/>
  <c r="AJ10" i="1"/>
  <c r="AL10" i="1" s="1"/>
  <c r="AI10" i="1"/>
  <c r="AJ8" i="1"/>
  <c r="AL8" i="1" s="1"/>
  <c r="AJ9" i="1"/>
  <c r="AL9" i="1" s="1"/>
  <c r="AJ7" i="1"/>
  <c r="AL7" i="1" s="1"/>
  <c r="AJ11" i="1"/>
  <c r="AL11" i="1" s="1"/>
  <c r="AI11" i="1"/>
  <c r="AK11" i="1" s="1"/>
  <c r="AM11" i="1" s="1"/>
  <c r="AI9" i="1"/>
  <c r="AI7" i="1"/>
  <c r="B16" i="5"/>
  <c r="AN11" i="1" l="1"/>
  <c r="AK23" i="1"/>
  <c r="AM23" i="1" s="1"/>
  <c r="AN23" i="1" s="1"/>
  <c r="AV16" i="1"/>
  <c r="L32" i="3"/>
  <c r="M32" i="3" s="1"/>
  <c r="AK21" i="1"/>
  <c r="AM21" i="1" s="1"/>
  <c r="AN21" i="1" s="1"/>
  <c r="L31" i="3"/>
  <c r="M31" i="3" s="1"/>
  <c r="AV17" i="1"/>
  <c r="L33" i="3"/>
  <c r="M33" i="3" s="1"/>
  <c r="AV18" i="1"/>
  <c r="L34" i="3"/>
  <c r="AV22" i="1"/>
  <c r="L38" i="3"/>
  <c r="M38" i="3" s="1"/>
  <c r="AV21" i="1"/>
  <c r="L37" i="3"/>
  <c r="M37" i="3" s="1"/>
  <c r="AK17" i="1"/>
  <c r="AM17" i="1" s="1"/>
  <c r="AN17" i="1" s="1"/>
  <c r="AV19" i="1"/>
  <c r="AK15" i="1"/>
  <c r="AM15" i="1" s="1"/>
  <c r="AN15" i="1" s="1"/>
  <c r="AV23" i="1"/>
  <c r="L39" i="3"/>
  <c r="M39" i="3" s="1"/>
  <c r="AK19" i="1"/>
  <c r="AM19" i="1" s="1"/>
  <c r="AN19" i="1" s="1"/>
  <c r="AK16" i="1"/>
  <c r="AM16" i="1" s="1"/>
  <c r="AN16" i="1" s="1"/>
  <c r="AK18" i="1"/>
  <c r="AM18" i="1" s="1"/>
  <c r="AK20" i="1"/>
  <c r="AM20" i="1" s="1"/>
  <c r="AN20" i="1" s="1"/>
  <c r="L22" i="3"/>
  <c r="M22" i="3" s="1"/>
  <c r="AV6" i="1"/>
  <c r="L29" i="3"/>
  <c r="M29" i="3" s="1"/>
  <c r="AV13" i="1"/>
  <c r="L27" i="3"/>
  <c r="M27" i="3" s="1"/>
  <c r="AV11" i="1"/>
  <c r="L24" i="3"/>
  <c r="M24" i="3" s="1"/>
  <c r="AV8" i="1"/>
  <c r="L28" i="3"/>
  <c r="M28" i="3" s="1"/>
  <c r="AV12" i="1"/>
  <c r="L26" i="3"/>
  <c r="M26" i="3" s="1"/>
  <c r="AV10" i="1"/>
  <c r="L25" i="3"/>
  <c r="M25" i="3" s="1"/>
  <c r="AV9" i="1"/>
  <c r="L23" i="3"/>
  <c r="M23" i="3" s="1"/>
  <c r="AV7" i="1"/>
  <c r="AK10" i="1"/>
  <c r="AM10" i="1" s="1"/>
  <c r="AN10" i="1" s="1"/>
  <c r="AK7" i="1"/>
  <c r="AM7" i="1" s="1"/>
  <c r="AN7" i="1" s="1"/>
  <c r="AK6" i="1"/>
  <c r="AN6" i="1" s="1"/>
  <c r="AK9" i="1"/>
  <c r="AM9" i="1" s="1"/>
  <c r="AN9" i="1" s="1"/>
  <c r="AK8" i="1"/>
  <c r="AM8" i="1" s="1"/>
  <c r="AN8" i="1" s="1"/>
  <c r="N6" i="2"/>
  <c r="N7" i="2"/>
  <c r="M9" i="2"/>
  <c r="M15" i="2"/>
  <c r="M16" i="2"/>
  <c r="M17" i="2"/>
  <c r="AN18" i="1" l="1"/>
  <c r="J6" i="2"/>
  <c r="L5" i="3"/>
  <c r="E6" i="2" s="1"/>
  <c r="I5" i="3"/>
  <c r="J7" i="1"/>
  <c r="L6" i="3" s="1"/>
  <c r="E7" i="2" s="1"/>
  <c r="J8" i="1"/>
  <c r="J9" i="1"/>
  <c r="J10" i="1"/>
  <c r="J11" i="1"/>
  <c r="J12" i="1"/>
  <c r="J13" i="1"/>
  <c r="J15" i="1"/>
  <c r="B10" i="3"/>
  <c r="B11" i="3"/>
  <c r="B12" i="3"/>
  <c r="B13" i="3"/>
  <c r="B9" i="3"/>
  <c r="O6" i="2" l="1"/>
  <c r="Q6" i="2" s="1"/>
  <c r="L14" i="2"/>
  <c r="K14" i="2"/>
  <c r="J14" i="2"/>
  <c r="M14" i="2" s="1"/>
  <c r="J13" i="2"/>
  <c r="L13" i="2"/>
  <c r="K13" i="2"/>
  <c r="K12" i="2"/>
  <c r="L12" i="2"/>
  <c r="J12" i="2"/>
  <c r="M12" i="2" s="1"/>
  <c r="L11" i="2"/>
  <c r="K11" i="2"/>
  <c r="J11" i="2"/>
  <c r="J10" i="2"/>
  <c r="L10" i="2"/>
  <c r="K10" i="2"/>
  <c r="L8" i="2"/>
  <c r="K8" i="2"/>
  <c r="J8" i="2"/>
  <c r="M8" i="2" s="1"/>
  <c r="L7" i="2"/>
  <c r="K7" i="2"/>
  <c r="J7" i="2"/>
  <c r="L6" i="2"/>
  <c r="K6" i="2"/>
  <c r="M6" i="2" s="1"/>
  <c r="P6" i="2" s="1"/>
  <c r="R6" i="2" s="1"/>
  <c r="X7" i="2"/>
  <c r="X8" i="2"/>
  <c r="X9" i="2"/>
  <c r="X10" i="2"/>
  <c r="X11" i="2"/>
  <c r="X12" i="2"/>
  <c r="X13" i="2"/>
  <c r="X14" i="2"/>
  <c r="X6" i="2"/>
  <c r="M10" i="2" l="1"/>
  <c r="M7" i="2"/>
  <c r="L7" i="3"/>
  <c r="L8" i="3"/>
  <c r="L9" i="3"/>
  <c r="L10" i="3"/>
  <c r="L11" i="3"/>
  <c r="L12" i="3"/>
  <c r="L13" i="3"/>
  <c r="K7" i="3"/>
  <c r="K8" i="3"/>
  <c r="K9" i="3"/>
  <c r="K10" i="3"/>
  <c r="K11" i="3"/>
  <c r="K12" i="3"/>
  <c r="K13" i="3"/>
  <c r="K5" i="3"/>
  <c r="I6" i="3"/>
  <c r="K6" i="3" s="1"/>
  <c r="I7" i="3"/>
  <c r="I8" i="3"/>
  <c r="I9" i="3"/>
  <c r="I10" i="3"/>
  <c r="I11" i="3"/>
  <c r="I12" i="3"/>
  <c r="I13" i="3"/>
  <c r="M13" i="3" l="1"/>
  <c r="D14" i="2" s="1"/>
  <c r="G14" i="2" s="1"/>
  <c r="H14" i="2" s="1"/>
  <c r="E14" i="2"/>
  <c r="M12" i="3"/>
  <c r="D13" i="2" s="1"/>
  <c r="G13" i="2" s="1"/>
  <c r="H13" i="2" s="1"/>
  <c r="E13" i="2"/>
  <c r="M11" i="3"/>
  <c r="D12" i="2" s="1"/>
  <c r="G12" i="2" s="1"/>
  <c r="H12" i="2" s="1"/>
  <c r="E12" i="2"/>
  <c r="M10" i="3"/>
  <c r="D11" i="2" s="1"/>
  <c r="G11" i="2" s="1"/>
  <c r="H11" i="2" s="1"/>
  <c r="E11" i="2"/>
  <c r="M9" i="3"/>
  <c r="D10" i="2" s="1"/>
  <c r="G10" i="2" s="1"/>
  <c r="H10" i="2" s="1"/>
  <c r="E10" i="2"/>
  <c r="M8" i="3"/>
  <c r="D9" i="2" s="1"/>
  <c r="G9" i="2" s="1"/>
  <c r="H9" i="2" s="1"/>
  <c r="E9" i="2"/>
  <c r="M7" i="3"/>
  <c r="D8" i="2" s="1"/>
  <c r="G8" i="2" s="1"/>
  <c r="H8" i="2" s="1"/>
  <c r="E8" i="2"/>
  <c r="D6" i="2"/>
  <c r="M6" i="3"/>
  <c r="D7" i="2" s="1"/>
  <c r="H7" i="2" s="1"/>
  <c r="B17" i="2" l="1"/>
  <c r="C17" i="2"/>
  <c r="P17" i="2"/>
  <c r="R17" i="2" s="1"/>
  <c r="N17" i="2"/>
  <c r="B14" i="2"/>
  <c r="C14" i="2"/>
  <c r="N14" i="2"/>
  <c r="P14" i="2" s="1"/>
  <c r="R14" i="2" s="1"/>
  <c r="B15" i="2"/>
  <c r="C15" i="2"/>
  <c r="N15" i="2"/>
  <c r="P15" i="2"/>
  <c r="R15" i="2" s="1"/>
  <c r="B16" i="2"/>
  <c r="C16" i="2"/>
  <c r="N16" i="2"/>
  <c r="P16" i="2"/>
  <c r="R16" i="2" s="1"/>
  <c r="B7" i="2"/>
  <c r="C7" i="2"/>
  <c r="B8" i="2"/>
  <c r="C8" i="2"/>
  <c r="N8" i="2"/>
  <c r="P8" i="2" s="1"/>
  <c r="R8" i="2" s="1"/>
  <c r="B9" i="2"/>
  <c r="C9" i="2"/>
  <c r="N9" i="2"/>
  <c r="P9" i="2"/>
  <c r="R9" i="2" s="1"/>
  <c r="B10" i="2"/>
  <c r="C10" i="2"/>
  <c r="N10" i="2"/>
  <c r="P10" i="2" s="1"/>
  <c r="R10" i="2" s="1"/>
  <c r="B11" i="2"/>
  <c r="C11" i="2"/>
  <c r="N11" i="2"/>
  <c r="P11" i="2" s="1"/>
  <c r="R11" i="2" s="1"/>
  <c r="B12" i="2"/>
  <c r="C12" i="2"/>
  <c r="N12" i="2"/>
  <c r="P12" i="2" s="1"/>
  <c r="R12" i="2" s="1"/>
  <c r="B13" i="2"/>
  <c r="C13" i="2"/>
  <c r="N13" i="2"/>
  <c r="P13" i="2" s="1"/>
  <c r="R13" i="2" s="1"/>
  <c r="B6" i="2"/>
  <c r="C6" i="2"/>
  <c r="S6" i="2"/>
  <c r="T6" i="2" s="1"/>
  <c r="Z6" i="2" s="1"/>
  <c r="O9" i="2"/>
  <c r="Q9" i="2" s="1"/>
  <c r="O10" i="2"/>
  <c r="Q10" i="2" s="1"/>
  <c r="O11" i="2"/>
  <c r="Q11" i="2" s="1"/>
  <c r="O15" i="2"/>
  <c r="Q15" i="2" s="1"/>
  <c r="B16" i="3"/>
  <c r="B7" i="3"/>
  <c r="B8" i="3"/>
  <c r="B14" i="3"/>
  <c r="B15" i="3"/>
  <c r="B6" i="3"/>
  <c r="B5" i="3"/>
  <c r="O7" i="2"/>
  <c r="Q7" i="2" s="1"/>
  <c r="P7" i="2" l="1"/>
  <c r="O14" i="2"/>
  <c r="Q14" i="2" s="1"/>
  <c r="S14" i="2" s="1"/>
  <c r="T14" i="2" s="1"/>
  <c r="Z14" i="2" s="1"/>
  <c r="S10" i="2"/>
  <c r="T10" i="2" s="1"/>
  <c r="Z10" i="2" s="1"/>
  <c r="S11" i="2"/>
  <c r="T11" i="2" s="1"/>
  <c r="S9" i="2"/>
  <c r="T9" i="2" s="1"/>
  <c r="O12" i="2"/>
  <c r="Q12" i="2" s="1"/>
  <c r="S12" i="2" s="1"/>
  <c r="T12" i="2" s="1"/>
  <c r="Z12" i="2" s="1"/>
  <c r="S15" i="2"/>
  <c r="T15" i="2" s="1"/>
  <c r="O17" i="2"/>
  <c r="Q17" i="2" s="1"/>
  <c r="S17" i="2" s="1"/>
  <c r="T17" i="2" s="1"/>
  <c r="O13" i="2"/>
  <c r="Q13" i="2" s="1"/>
  <c r="S13" i="2" s="1"/>
  <c r="T13" i="2" s="1"/>
  <c r="Z13" i="2" s="1"/>
  <c r="O16" i="2"/>
  <c r="Q16" i="2" s="1"/>
  <c r="S16" i="2" s="1"/>
  <c r="T16" i="2" s="1"/>
  <c r="O8" i="2"/>
  <c r="Q8" i="2" s="1"/>
  <c r="S8" i="2" l="1"/>
  <c r="T8" i="2" s="1"/>
  <c r="Z8" i="2" s="1"/>
  <c r="Z11" i="2"/>
  <c r="R7" i="2"/>
  <c r="S7" i="2" s="1"/>
  <c r="T7" i="2" s="1"/>
  <c r="Z7" i="2" s="1"/>
</calcChain>
</file>

<file path=xl/sharedStrings.xml><?xml version="1.0" encoding="utf-8"?>
<sst xmlns="http://schemas.openxmlformats.org/spreadsheetml/2006/main" count="319" uniqueCount="147">
  <si>
    <t>Cronograma Probetas</t>
  </si>
  <si>
    <t>[%]</t>
  </si>
  <si>
    <t>[gr]</t>
  </si>
  <si>
    <t>#Probeta</t>
  </si>
  <si>
    <t>Fecha</t>
  </si>
  <si>
    <t>Altura Final Probeta</t>
  </si>
  <si>
    <t xml:space="preserve">Altura </t>
  </si>
  <si>
    <t>Diametro</t>
  </si>
  <si>
    <t>Humedad Final</t>
  </si>
  <si>
    <t>Densidad Humeda Final</t>
  </si>
  <si>
    <t>Densidad Seca Final</t>
  </si>
  <si>
    <t>g/cm3</t>
  </si>
  <si>
    <t>#</t>
  </si>
  <si>
    <t>TV1</t>
  </si>
  <si>
    <t>TV2</t>
  </si>
  <si>
    <t>TV3</t>
  </si>
  <si>
    <t>TV prom</t>
  </si>
  <si>
    <t>nu</t>
  </si>
  <si>
    <t>densidad</t>
  </si>
  <si>
    <t>Vp</t>
  </si>
  <si>
    <t>E</t>
  </si>
  <si>
    <t>(cm)</t>
  </si>
  <si>
    <t>(cm/us)</t>
  </si>
  <si>
    <t>(kg/m3)</t>
  </si>
  <si>
    <t>(m/s)</t>
  </si>
  <si>
    <t>Pa</t>
  </si>
  <si>
    <t>Nombre</t>
  </si>
  <si>
    <t>Datos Probeta Final</t>
  </si>
  <si>
    <t>Masa Probeta</t>
  </si>
  <si>
    <t>Humedad #1</t>
  </si>
  <si>
    <t>Humedad #2</t>
  </si>
  <si>
    <t>Lata + Humedo #1</t>
  </si>
  <si>
    <t>Lata + Humedo #2</t>
  </si>
  <si>
    <t>Lata + Seco #1</t>
  </si>
  <si>
    <t>Lata + Seco #2</t>
  </si>
  <si>
    <t>Masa Lata #1</t>
  </si>
  <si>
    <t>Masa Lata #2</t>
  </si>
  <si>
    <t>Análisis Humedad Final de Muestras</t>
  </si>
  <si>
    <t>Resultados Compactación</t>
  </si>
  <si>
    <t>Mpa</t>
  </si>
  <si>
    <t>Saturación</t>
  </si>
  <si>
    <t>E Vp</t>
  </si>
  <si>
    <t>TOF1</t>
  </si>
  <si>
    <t>TOF2</t>
  </si>
  <si>
    <t>TOF3</t>
  </si>
  <si>
    <t>Probeta</t>
  </si>
  <si>
    <t>Módulo de Young por Velocidad de Onpa p</t>
  </si>
  <si>
    <t>Mod. E Pelotazo</t>
  </si>
  <si>
    <t>TOF Prom</t>
  </si>
  <si>
    <t>MPA</t>
  </si>
  <si>
    <t xml:space="preserve">% Error </t>
  </si>
  <si>
    <t>Datos Curva Calibración</t>
  </si>
  <si>
    <t>Mod. Poisson</t>
  </si>
  <si>
    <t>TOF</t>
  </si>
  <si>
    <t>Interpolación para Poisson Dado</t>
  </si>
  <si>
    <t>Interpolación para Módulo de Elasticidad</t>
  </si>
  <si>
    <t>Mod. Elasticidad</t>
  </si>
  <si>
    <t>Golpes</t>
  </si>
  <si>
    <t>Altura 2</t>
  </si>
  <si>
    <t>cm3</t>
  </si>
  <si>
    <t>Volumen</t>
  </si>
  <si>
    <t>Data</t>
  </si>
  <si>
    <t>Masa 1 - 25</t>
  </si>
  <si>
    <t>Masa 2 - 25</t>
  </si>
  <si>
    <t>Masa3 - 25</t>
  </si>
  <si>
    <t>Masa4 - 25</t>
  </si>
  <si>
    <t>Masa 1 - 56</t>
  </si>
  <si>
    <t>Masa 2 - 56</t>
  </si>
  <si>
    <t>Masa 3 - 56</t>
  </si>
  <si>
    <t>Masa 4 - 56</t>
  </si>
  <si>
    <t>Masa 5 - 56</t>
  </si>
  <si>
    <t>s</t>
  </si>
  <si>
    <t>us</t>
  </si>
  <si>
    <t>GS</t>
  </si>
  <si>
    <t>gamma d</t>
  </si>
  <si>
    <t>e</t>
  </si>
  <si>
    <t>Saturacion</t>
  </si>
  <si>
    <t>Cilindro #1</t>
  </si>
  <si>
    <t>Cilindro #2</t>
  </si>
  <si>
    <t>Cilindro #4</t>
  </si>
  <si>
    <t>Cilindro #3</t>
  </si>
  <si>
    <t>Altura Cilindro</t>
  </si>
  <si>
    <t>Masa Cilindro</t>
  </si>
  <si>
    <t>Verificación Curvas de Compactación</t>
  </si>
  <si>
    <t>gramos</t>
  </si>
  <si>
    <t>mm</t>
  </si>
  <si>
    <t>Masa Cilindro + Base - Sin Anillo</t>
  </si>
  <si>
    <t>Datos Humedad Actual</t>
  </si>
  <si>
    <t>m Tarro</t>
  </si>
  <si>
    <t>Tarro + Humeda</t>
  </si>
  <si>
    <t>Tarro + Seca</t>
  </si>
  <si>
    <t>Humedad</t>
  </si>
  <si>
    <t>Densidad Bulk</t>
  </si>
  <si>
    <t>%</t>
  </si>
  <si>
    <t>Masa Agua Objetivo</t>
  </si>
  <si>
    <t>Datos Probetas Objetivo</t>
  </si>
  <si>
    <t>Densidad Seca Obj.</t>
  </si>
  <si>
    <t>Humedad Objetivo</t>
  </si>
  <si>
    <t># Cilindro</t>
  </si>
  <si>
    <t>Densidad Bulk Objetivo</t>
  </si>
  <si>
    <t>Masa Humeda Obj.</t>
  </si>
  <si>
    <t>Masa Seca Objetivo</t>
  </si>
  <si>
    <t>Masa Humeda A pesar</t>
  </si>
  <si>
    <t>Agua Adicional</t>
  </si>
  <si>
    <t>Verificacion Densidad</t>
  </si>
  <si>
    <t>Proctor</t>
  </si>
  <si>
    <t>Modificado</t>
  </si>
  <si>
    <t>Estándar</t>
  </si>
  <si>
    <t>Curva de Compactación</t>
  </si>
  <si>
    <t>Masa Suelo</t>
  </si>
  <si>
    <t>Masa Suelo + Cilindro</t>
  </si>
  <si>
    <t>Análisis Humedades Objetivo</t>
  </si>
  <si>
    <t>M1 - 25 - Mod</t>
  </si>
  <si>
    <t>M1 - 56 - Mod</t>
  </si>
  <si>
    <t>M2 - 56 - Mod</t>
  </si>
  <si>
    <t>M3 - 56 - Mod</t>
  </si>
  <si>
    <t>M1 - 25 - Est</t>
  </si>
  <si>
    <t>M2 - 25 - Est</t>
  </si>
  <si>
    <t>M3 - 25 - Est</t>
  </si>
  <si>
    <t>M4 - 25 - Est</t>
  </si>
  <si>
    <t>Humedad Obtenida</t>
  </si>
  <si>
    <t>%Error Humedad</t>
  </si>
  <si>
    <t>%Error Densidad</t>
  </si>
  <si>
    <t>gamma b</t>
  </si>
  <si>
    <t>seca</t>
  </si>
  <si>
    <t>Manual Points</t>
  </si>
  <si>
    <t>M4 - 56 - Mod</t>
  </si>
  <si>
    <t>M5 - 56 - Mod</t>
  </si>
  <si>
    <t>M6 - 56 - Mod</t>
  </si>
  <si>
    <t>M2 - 25 - Mod</t>
  </si>
  <si>
    <t>M3 - 25 - Mod</t>
  </si>
  <si>
    <t>M4 - 25 - Mod</t>
  </si>
  <si>
    <t>Masa Mediciones 1</t>
  </si>
  <si>
    <t>M5 - 25 - Est</t>
  </si>
  <si>
    <t>M6 - 25 - Est</t>
  </si>
  <si>
    <t>M7 - 25 - Est</t>
  </si>
  <si>
    <t>Cilindro #6</t>
  </si>
  <si>
    <t>Cilindro #7</t>
  </si>
  <si>
    <t>Cilindro #8</t>
  </si>
  <si>
    <t>Cilindro #5</t>
  </si>
  <si>
    <t>Recortada</t>
  </si>
  <si>
    <t>Diff Masa</t>
  </si>
  <si>
    <t>Humedades</t>
  </si>
  <si>
    <t>Densidad</t>
  </si>
  <si>
    <t>56 Modificado</t>
  </si>
  <si>
    <t>25 Modificado</t>
  </si>
  <si>
    <t>25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</si>
</sst>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%"/>
    <numFmt numFmtId="166" formatCode="0.00000"/>
    <numFmt numFmtId="167" formatCode="0.000"/>
    <numFmt numFmtId="168" formatCode="0.0"/>
    <numFmt numFmtId="169" formatCode="0.0%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/>
    <xf numFmtId="0" fontId="0" fillId="2" borderId="5" xfId="0" applyFill="1" applyBorder="1" applyAlignment="1">
      <alignment horizontal="center"/>
    </xf>
    <xf numFmtId="10" fontId="0" fillId="2" borderId="5" xfId="0" applyNumberFormat="1" applyFill="1" applyBorder="1"/>
    <xf numFmtId="0" fontId="9" fillId="2" borderId="6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0" fillId="0" borderId="13" xfId="0" applyBorder="1"/>
    <xf numFmtId="0" fontId="5" fillId="2" borderId="5" xfId="0" applyFont="1" applyFill="1" applyBorder="1" applyAlignment="1">
      <alignment horizontal="center" vertical="center"/>
    </xf>
    <xf numFmtId="16" fontId="5" fillId="2" borderId="5" xfId="0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64" fontId="0" fillId="2" borderId="5" xfId="0" applyNumberFormat="1" applyFill="1" applyBorder="1"/>
    <xf numFmtId="0" fontId="8" fillId="3" borderId="1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3" fillId="2" borderId="0" xfId="2" applyFill="1"/>
    <xf numFmtId="0" fontId="3" fillId="2" borderId="19" xfId="2" applyFill="1" applyBorder="1"/>
    <xf numFmtId="0" fontId="3" fillId="2" borderId="21" xfId="2" applyFill="1" applyBorder="1"/>
    <xf numFmtId="0" fontId="3" fillId="2" borderId="5" xfId="2" applyFill="1" applyBorder="1"/>
    <xf numFmtId="0" fontId="3" fillId="2" borderId="22" xfId="2" applyFill="1" applyBorder="1"/>
    <xf numFmtId="0" fontId="3" fillId="2" borderId="7" xfId="2" applyFill="1" applyBorder="1"/>
    <xf numFmtId="0" fontId="3" fillId="2" borderId="8" xfId="2" applyFill="1" applyBorder="1"/>
    <xf numFmtId="0" fontId="3" fillId="2" borderId="9" xfId="2" applyFill="1" applyBorder="1"/>
    <xf numFmtId="0" fontId="3" fillId="2" borderId="14" xfId="2" applyFill="1" applyBorder="1"/>
    <xf numFmtId="0" fontId="12" fillId="2" borderId="0" xfId="2" applyFont="1" applyFill="1" applyAlignment="1">
      <alignment horizontal="center"/>
    </xf>
    <xf numFmtId="0" fontId="3" fillId="2" borderId="4" xfId="2" applyFill="1" applyBorder="1"/>
    <xf numFmtId="0" fontId="3" fillId="2" borderId="12" xfId="2" applyFill="1" applyBorder="1"/>
    <xf numFmtId="2" fontId="3" fillId="2" borderId="6" xfId="2" applyNumberFormat="1" applyFill="1" applyBorder="1"/>
    <xf numFmtId="0" fontId="3" fillId="2" borderId="25" xfId="2" applyFill="1" applyBorder="1"/>
    <xf numFmtId="2" fontId="3" fillId="2" borderId="4" xfId="2" applyNumberFormat="1" applyFill="1" applyBorder="1"/>
    <xf numFmtId="2" fontId="3" fillId="2" borderId="20" xfId="2" applyNumberFormat="1" applyFill="1" applyBorder="1"/>
    <xf numFmtId="165" fontId="0" fillId="2" borderId="5" xfId="1" applyNumberFormat="1" applyFont="1" applyFill="1" applyBorder="1"/>
    <xf numFmtId="0" fontId="8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9" fontId="0" fillId="2" borderId="0" xfId="1" applyFont="1" applyFill="1"/>
    <xf numFmtId="0" fontId="13" fillId="2" borderId="5" xfId="0" applyFont="1" applyFill="1" applyBorder="1" applyAlignment="1">
      <alignment horizontal="center" vertical="center"/>
    </xf>
    <xf numFmtId="2" fontId="0" fillId="2" borderId="5" xfId="1" applyNumberFormat="1" applyFont="1" applyFill="1" applyBorder="1" applyAlignment="1">
      <alignment horizontal="center" vertical="center"/>
    </xf>
    <xf numFmtId="9" fontId="0" fillId="0" borderId="5" xfId="1" applyFont="1" applyBorder="1"/>
    <xf numFmtId="0" fontId="0" fillId="0" borderId="5" xfId="0" applyBorder="1"/>
    <xf numFmtId="164" fontId="0" fillId="2" borderId="5" xfId="0" applyNumberFormat="1" applyFill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2" fontId="14" fillId="2" borderId="5" xfId="0" applyNumberFormat="1" applyFont="1" applyFill="1" applyBorder="1" applyAlignment="1">
      <alignment horizontal="center" vertical="center"/>
    </xf>
    <xf numFmtId="0" fontId="15" fillId="2" borderId="5" xfId="2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166" fontId="3" fillId="2" borderId="4" xfId="2" applyNumberFormat="1" applyFill="1" applyBorder="1"/>
    <xf numFmtId="10" fontId="0" fillId="2" borderId="0" xfId="1" applyNumberFormat="1" applyFont="1" applyFill="1" applyBorder="1"/>
    <xf numFmtId="14" fontId="0" fillId="2" borderId="5" xfId="0" applyNumberForma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3" fillId="2" borderId="5" xfId="2" applyFill="1" applyBorder="1" applyAlignment="1">
      <alignment horizontal="center" vertical="center"/>
    </xf>
    <xf numFmtId="10" fontId="0" fillId="2" borderId="5" xfId="3" applyNumberFormat="1" applyFont="1" applyFill="1" applyBorder="1" applyAlignment="1">
      <alignment horizontal="center" vertical="center"/>
    </xf>
    <xf numFmtId="167" fontId="0" fillId="2" borderId="5" xfId="0" applyNumberFormat="1" applyFill="1" applyBorder="1" applyAlignment="1">
      <alignment horizontal="center" vertical="center"/>
    </xf>
    <xf numFmtId="168" fontId="0" fillId="2" borderId="5" xfId="0" applyNumberForma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 wrapText="1"/>
    </xf>
    <xf numFmtId="2" fontId="17" fillId="2" borderId="5" xfId="0" applyNumberFormat="1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/>
    </xf>
    <xf numFmtId="9" fontId="14" fillId="2" borderId="5" xfId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9" fontId="18" fillId="2" borderId="5" xfId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69" fontId="18" fillId="2" borderId="5" xfId="1" applyNumberFormat="1" applyFont="1" applyFill="1" applyBorder="1" applyAlignment="1">
      <alignment horizontal="center" vertical="center"/>
    </xf>
    <xf numFmtId="2" fontId="0" fillId="2" borderId="0" xfId="0" applyNumberFormat="1" applyFill="1"/>
    <xf numFmtId="0" fontId="0" fillId="2" borderId="27" xfId="0" applyFill="1" applyBorder="1" applyAlignment="1">
      <alignment horizontal="center" vertical="center"/>
    </xf>
    <xf numFmtId="2" fontId="19" fillId="2" borderId="5" xfId="0" applyNumberFormat="1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9" fontId="0" fillId="2" borderId="5" xfId="1" applyFont="1" applyFill="1" applyBorder="1"/>
    <xf numFmtId="169" fontId="0" fillId="2" borderId="5" xfId="1" applyNumberFormat="1" applyFont="1" applyFill="1" applyBorder="1"/>
    <xf numFmtId="0" fontId="1" fillId="2" borderId="5" xfId="2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0" fillId="2" borderId="12" xfId="0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2" fillId="2" borderId="6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16" xfId="2" applyFont="1" applyFill="1" applyBorder="1" applyAlignment="1">
      <alignment horizontal="center"/>
    </xf>
    <xf numFmtId="0" fontId="12" fillId="2" borderId="17" xfId="2" applyFont="1" applyFill="1" applyBorder="1" applyAlignment="1">
      <alignment horizontal="center"/>
    </xf>
    <xf numFmtId="0" fontId="12" fillId="2" borderId="18" xfId="2" applyFont="1" applyFill="1" applyBorder="1" applyAlignment="1">
      <alignment horizontal="center"/>
    </xf>
    <xf numFmtId="0" fontId="12" fillId="2" borderId="1" xfId="2" applyFont="1" applyFill="1" applyBorder="1" applyAlignment="1">
      <alignment horizontal="center"/>
    </xf>
    <xf numFmtId="0" fontId="12" fillId="2" borderId="3" xfId="2" applyFont="1" applyFill="1" applyBorder="1" applyAlignment="1">
      <alignment horizontal="center"/>
    </xf>
    <xf numFmtId="0" fontId="12" fillId="2" borderId="2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23" xfId="2" applyFont="1" applyFill="1" applyBorder="1" applyAlignment="1">
      <alignment horizontal="center"/>
    </xf>
    <xf numFmtId="0" fontId="12" fillId="2" borderId="24" xfId="2" applyFont="1" applyFill="1" applyBorder="1" applyAlignment="1">
      <alignment horizontal="center"/>
    </xf>
  </cellXfs>
  <cellStyles count="4">
    <cellStyle name="Normal" xfId="0" builtinId="0"/>
    <cellStyle name="Normal 2" xfId="2" xr:uid="{A395C95D-9011-4F69-A9A8-DB6498E678BF}"/>
    <cellStyle name="Percent" xfId="1" builtinId="5"/>
    <cellStyle name="Percent 3" xfId="3" xr:uid="{820C903D-B4EB-4638-8F33-C399D8F122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</a:t>
            </a:r>
            <a:r>
              <a:rPr lang="en-US" baseline="0"/>
              <a:t> de compactación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17856951255835"/>
          <c:y val="0.23266684712101024"/>
          <c:w val="0.75220374539595269"/>
          <c:h val="0.57932806645621826"/>
        </c:manualLayout>
      </c:layout>
      <c:scatterChart>
        <c:scatterStyle val="smoothMarker"/>
        <c:varyColors val="0"/>
        <c:ser>
          <c:idx val="0"/>
          <c:order val="0"/>
          <c:tx>
            <c:v>56 Golpes-Obra</c:v>
          </c:tx>
          <c:spPr>
            <a:ln w="222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CurvaCompactaciónProbetas!$V$4:$V$8</c:f>
              <c:numCache>
                <c:formatCode>0.00%</c:formatCode>
                <c:ptCount val="5"/>
                <c:pt idx="0">
                  <c:v>0.11027138440398492</c:v>
                </c:pt>
                <c:pt idx="1">
                  <c:v>0.14310051107325358</c:v>
                </c:pt>
                <c:pt idx="2">
                  <c:v>0.17013766325450055</c:v>
                </c:pt>
                <c:pt idx="3">
                  <c:v>0.18211382113821126</c:v>
                </c:pt>
                <c:pt idx="4">
                  <c:v>0.21071012805587891</c:v>
                </c:pt>
              </c:numCache>
            </c:numRef>
          </c:xVal>
          <c:yVal>
            <c:numRef>
              <c:f>CurvaCompactaciónProbetas!$W$4:$W$8</c:f>
              <c:numCache>
                <c:formatCode>0.0000</c:formatCode>
                <c:ptCount val="5"/>
                <c:pt idx="0">
                  <c:v>1.6173539778988528</c:v>
                </c:pt>
                <c:pt idx="1">
                  <c:v>1.6860364812581052</c:v>
                </c:pt>
                <c:pt idx="2">
                  <c:v>1.7233773211789261</c:v>
                </c:pt>
                <c:pt idx="3">
                  <c:v>1.6921870204093044</c:v>
                </c:pt>
                <c:pt idx="4">
                  <c:v>1.6078985501428078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6F-42F4-B7CD-FD39F8BE5F7F}"/>
            </c:ext>
          </c:extLst>
        </c:ser>
        <c:ser>
          <c:idx val="1"/>
          <c:order val="1"/>
          <c:tx>
            <c:v>25 Golpes-Obra</c:v>
          </c:tx>
          <c:spPr>
            <a:ln w="22225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CurvaCompactaciónProbetas!$K$5:$K$8</c:f>
              <c:numCache>
                <c:formatCode>0.00%</c:formatCode>
                <c:ptCount val="4"/>
                <c:pt idx="0">
                  <c:v>0.20908379013312436</c:v>
                </c:pt>
                <c:pt idx="1">
                  <c:v>0.17261904761904748</c:v>
                </c:pt>
                <c:pt idx="2">
                  <c:v>0.15281757402101256</c:v>
                </c:pt>
                <c:pt idx="3">
                  <c:v>9.8525989138867301E-2</c:v>
                </c:pt>
              </c:numCache>
            </c:numRef>
          </c:xVal>
          <c:yVal>
            <c:numRef>
              <c:f>CurvaCompactaciónProbetas!$M$5:$M$8</c:f>
              <c:numCache>
                <c:formatCode>0.0000</c:formatCode>
                <c:ptCount val="4"/>
                <c:pt idx="0">
                  <c:v>1.6020993787968505</c:v>
                </c:pt>
                <c:pt idx="1">
                  <c:v>1.664734928829525</c:v>
                </c:pt>
                <c:pt idx="2">
                  <c:v>1.6447528263974514</c:v>
                </c:pt>
                <c:pt idx="3">
                  <c:v>1.492190065868684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6F-42F4-B7CD-FD39F8BE5F7F}"/>
            </c:ext>
          </c:extLst>
        </c:ser>
        <c:ser>
          <c:idx val="2"/>
          <c:order val="2"/>
          <c:tx>
            <c:v>25 Golpes-Lab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CurvaCompactaciónProbetas!$Y$4:$Y$8</c:f>
              <c:numCache>
                <c:formatCode>0%</c:formatCode>
                <c:ptCount val="5"/>
                <c:pt idx="0">
                  <c:v>0.10371452420701166</c:v>
                </c:pt>
                <c:pt idx="1">
                  <c:v>0.14019988589999999</c:v>
                </c:pt>
                <c:pt idx="2">
                  <c:v>0.15280665280665287</c:v>
                </c:pt>
                <c:pt idx="3">
                  <c:v>0.17336268574573463</c:v>
                </c:pt>
                <c:pt idx="4">
                  <c:v>0.18396770472895047</c:v>
                </c:pt>
              </c:numCache>
            </c:numRef>
          </c:xVal>
          <c:yVal>
            <c:numRef>
              <c:f>CurvaCompactaciónProbetas!$Z$4:$Z$8</c:f>
              <c:numCache>
                <c:formatCode>General</c:formatCode>
                <c:ptCount val="5"/>
                <c:pt idx="0">
                  <c:v>1.710351790478795</c:v>
                </c:pt>
                <c:pt idx="1">
                  <c:v>1.8313844420000001</c:v>
                </c:pt>
                <c:pt idx="2">
                  <c:v>1.8140007099605862</c:v>
                </c:pt>
                <c:pt idx="3">
                  <c:v>1.737080193694281</c:v>
                </c:pt>
                <c:pt idx="4">
                  <c:v>1.6533416119077065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3E-4E41-8CC9-9D44D61A4F04}"/>
            </c:ext>
          </c:extLst>
        </c:ser>
        <c:ser>
          <c:idx val="3"/>
          <c:order val="3"/>
          <c:tx>
            <c:v>25-Mod-Verificacion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CurvaCompactaciónProbetas!$K$22</c:f>
              <c:numCache>
                <c:formatCode>0.00%</c:formatCode>
                <c:ptCount val="1"/>
                <c:pt idx="0">
                  <c:v>0.11843409316154611</c:v>
                </c:pt>
              </c:numCache>
            </c:numRef>
          </c:xVal>
          <c:yVal>
            <c:numRef>
              <c:f>CurvaCompactaciónProbetas!$M$22</c:f>
              <c:numCache>
                <c:formatCode>0.0000</c:formatCode>
                <c:ptCount val="1"/>
                <c:pt idx="0">
                  <c:v>1.4930114842306801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51-4EA4-AD25-9BCCD8DD2C86}"/>
            </c:ext>
          </c:extLst>
        </c:ser>
        <c:ser>
          <c:idx val="4"/>
          <c:order val="4"/>
          <c:tx>
            <c:v>56 Mod-Verif.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CurvaCompactaciónProbetas!$K$23:$K$25</c:f>
              <c:numCache>
                <c:formatCode>0.00%</c:formatCode>
                <c:ptCount val="3"/>
                <c:pt idx="0">
                  <c:v>0.11805225653206648</c:v>
                </c:pt>
                <c:pt idx="1">
                  <c:v>9.6678107984795758E-2</c:v>
                </c:pt>
                <c:pt idx="2">
                  <c:v>8.0713111267325499E-2</c:v>
                </c:pt>
              </c:numCache>
            </c:numRef>
          </c:xVal>
          <c:yVal>
            <c:numRef>
              <c:f>CurvaCompactaciónProbetas!$M$23:$M$25</c:f>
              <c:numCache>
                <c:formatCode>0.0000</c:formatCode>
                <c:ptCount val="3"/>
                <c:pt idx="0">
                  <c:v>1.763728134637909</c:v>
                </c:pt>
                <c:pt idx="1">
                  <c:v>1.6844377135254356</c:v>
                </c:pt>
                <c:pt idx="2">
                  <c:v>1.6462510270375257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51-4EA4-AD25-9BCCD8DD2C86}"/>
            </c:ext>
          </c:extLst>
        </c:ser>
        <c:ser>
          <c:idx val="5"/>
          <c:order val="5"/>
          <c:tx>
            <c:v>25 Est-Verif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CurvaCompactaciónProbetas!$K$26:$K$29</c:f>
              <c:numCache>
                <c:formatCode>0.00%</c:formatCode>
                <c:ptCount val="4"/>
                <c:pt idx="0">
                  <c:v>0.11589041095890402</c:v>
                </c:pt>
                <c:pt idx="1">
                  <c:v>0.13460442691211932</c:v>
                </c:pt>
                <c:pt idx="2">
                  <c:v>0.14028029887536533</c:v>
                </c:pt>
                <c:pt idx="3">
                  <c:v>0.15156950672645753</c:v>
                </c:pt>
              </c:numCache>
            </c:numRef>
          </c:xVal>
          <c:yVal>
            <c:numRef>
              <c:f>CurvaCompactaciónProbetas!$M$26:$M$29</c:f>
              <c:numCache>
                <c:formatCode>0.0000</c:formatCode>
                <c:ptCount val="4"/>
                <c:pt idx="0">
                  <c:v>1.4825868255389962</c:v>
                </c:pt>
                <c:pt idx="1">
                  <c:v>1.4885499009690084</c:v>
                </c:pt>
                <c:pt idx="2">
                  <c:v>1.5314062199891358</c:v>
                </c:pt>
                <c:pt idx="3">
                  <c:v>1.5455149549102736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51-4EA4-AD25-9BCCD8DD2C86}"/>
            </c:ext>
          </c:extLst>
        </c:ser>
        <c:ser>
          <c:idx val="6"/>
          <c:order val="6"/>
          <c:tx>
            <c:v>Manuales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CurvaCompactaciónProbetas!$W$12:$W$14</c:f>
              <c:numCache>
                <c:formatCode>0%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CurvaCompactaciónProbetas!$V$12:$V$14</c:f>
              <c:numCache>
                <c:formatCode>General</c:formatCode>
                <c:ptCount val="3"/>
                <c:pt idx="0">
                  <c:v>1.65</c:v>
                </c:pt>
                <c:pt idx="1">
                  <c:v>1.55</c:v>
                </c:pt>
                <c:pt idx="2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E7-4787-92EC-50404147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492992"/>
        <c:axId val="990064960"/>
      </c:scatterChart>
      <c:valAx>
        <c:axId val="1649492992"/>
        <c:scaling>
          <c:orientation val="minMax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%Humedad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4960"/>
        <c:crosses val="autoZero"/>
        <c:crossBetween val="midCat"/>
      </c:valAx>
      <c:valAx>
        <c:axId val="990064960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Densidad</a:t>
                </a:r>
                <a:r>
                  <a:rPr lang="en-US" baseline="0"/>
                  <a:t> Seca (g/cm3)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9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7588031852030961"/>
          <c:y val="0.10076590460705454"/>
          <c:w val="0.82411970342734731"/>
          <c:h val="4.1392065410255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</a:t>
            </a:r>
            <a:r>
              <a:rPr lang="en-US" baseline="0"/>
              <a:t> de compactación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17856951255835"/>
          <c:y val="0.23266684712101024"/>
          <c:w val="0.75220374539595269"/>
          <c:h val="0.57932806645621826"/>
        </c:manualLayout>
      </c:layout>
      <c:scatterChart>
        <c:scatterStyle val="smoothMarker"/>
        <c:varyColors val="0"/>
        <c:ser>
          <c:idx val="3"/>
          <c:order val="0"/>
          <c:tx>
            <c:v>25-Mod-Verificacion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CurvaCompactaciónProbetas!$K$22</c:f>
              <c:numCache>
                <c:formatCode>0.00%</c:formatCode>
                <c:ptCount val="1"/>
                <c:pt idx="0">
                  <c:v>0.11843409316154611</c:v>
                </c:pt>
              </c:numCache>
            </c:numRef>
          </c:xVal>
          <c:yVal>
            <c:numRef>
              <c:f>CurvaCompactaciónProbetas!$M$22</c:f>
              <c:numCache>
                <c:formatCode>0.0000</c:formatCode>
                <c:ptCount val="1"/>
                <c:pt idx="0">
                  <c:v>1.4930114842306801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76-4A29-87A7-3902452B5455}"/>
            </c:ext>
          </c:extLst>
        </c:ser>
        <c:ser>
          <c:idx val="4"/>
          <c:order val="1"/>
          <c:tx>
            <c:v>56 Mod-Verif.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CurvaCompactaciónProbetas!$K$23:$K$25</c:f>
              <c:numCache>
                <c:formatCode>0.00%</c:formatCode>
                <c:ptCount val="3"/>
                <c:pt idx="0">
                  <c:v>0.11805225653206648</c:v>
                </c:pt>
                <c:pt idx="1">
                  <c:v>9.6678107984795758E-2</c:v>
                </c:pt>
                <c:pt idx="2">
                  <c:v>8.0713111267325499E-2</c:v>
                </c:pt>
              </c:numCache>
            </c:numRef>
          </c:xVal>
          <c:yVal>
            <c:numRef>
              <c:f>CurvaCompactaciónProbetas!$M$23:$M$25</c:f>
              <c:numCache>
                <c:formatCode>0.0000</c:formatCode>
                <c:ptCount val="3"/>
                <c:pt idx="0">
                  <c:v>1.763728134637909</c:v>
                </c:pt>
                <c:pt idx="1">
                  <c:v>1.6844377135254356</c:v>
                </c:pt>
                <c:pt idx="2">
                  <c:v>1.6462510270375257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C76-4A29-87A7-3902452B5455}"/>
            </c:ext>
          </c:extLst>
        </c:ser>
        <c:ser>
          <c:idx val="5"/>
          <c:order val="2"/>
          <c:tx>
            <c:v>25 Est-Verif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CurvaCompactaciónProbetas!$K$26:$K$29</c:f>
              <c:numCache>
                <c:formatCode>0.00%</c:formatCode>
                <c:ptCount val="4"/>
                <c:pt idx="0">
                  <c:v>0.11589041095890402</c:v>
                </c:pt>
                <c:pt idx="1">
                  <c:v>0.13460442691211932</c:v>
                </c:pt>
                <c:pt idx="2">
                  <c:v>0.14028029887536533</c:v>
                </c:pt>
                <c:pt idx="3">
                  <c:v>0.15156950672645753</c:v>
                </c:pt>
              </c:numCache>
            </c:numRef>
          </c:xVal>
          <c:yVal>
            <c:numRef>
              <c:f>CurvaCompactaciónProbetas!$M$26:$M$29</c:f>
              <c:numCache>
                <c:formatCode>0.0000</c:formatCode>
                <c:ptCount val="4"/>
                <c:pt idx="0">
                  <c:v>1.4825868255389962</c:v>
                </c:pt>
                <c:pt idx="1">
                  <c:v>1.4885499009690084</c:v>
                </c:pt>
                <c:pt idx="2">
                  <c:v>1.5314062199891358</c:v>
                </c:pt>
                <c:pt idx="3">
                  <c:v>1.5455149549102736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C76-4A29-87A7-3902452B5455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CurvaCompactaciónProbetas!$K$31:$K$33</c:f>
              <c:numCache>
                <c:formatCode>0.00%</c:formatCode>
                <c:ptCount val="3"/>
                <c:pt idx="0">
                  <c:v>0.1430861723446894</c:v>
                </c:pt>
                <c:pt idx="1">
                  <c:v>0.17279256442754556</c:v>
                </c:pt>
                <c:pt idx="2">
                  <c:v>0.1863437537080784</c:v>
                </c:pt>
              </c:numCache>
            </c:numRef>
          </c:xVal>
          <c:yVal>
            <c:numRef>
              <c:f>CurvaCompactaciónProbetas!$M$31:$M$33</c:f>
              <c:numCache>
                <c:formatCode>0.0000</c:formatCode>
                <c:ptCount val="3"/>
                <c:pt idx="0">
                  <c:v>1.7740902979375075</c:v>
                </c:pt>
                <c:pt idx="1">
                  <c:v>1.7368367611579714</c:v>
                </c:pt>
                <c:pt idx="2">
                  <c:v>1.6609337354154379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C76-4A29-87A7-3902452B5455}"/>
            </c:ext>
          </c:extLst>
        </c:ser>
        <c:ser>
          <c:idx val="1"/>
          <c:order val="4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CurvaCompactaciónProbetas!$K$34:$K$35</c:f>
              <c:numCache>
                <c:formatCode>0.00%</c:formatCode>
                <c:ptCount val="2"/>
                <c:pt idx="0">
                  <c:v>0.16556028504471754</c:v>
                </c:pt>
                <c:pt idx="1">
                  <c:v>0.19470446643487566</c:v>
                </c:pt>
              </c:numCache>
            </c:numRef>
          </c:xVal>
          <c:yVal>
            <c:numRef>
              <c:f>CurvaCompactaciónProbetas!$M$34:$M$35</c:f>
              <c:numCache>
                <c:formatCode>0.0000</c:formatCode>
                <c:ptCount val="2"/>
                <c:pt idx="0">
                  <c:v>1.6090048691339709</c:v>
                </c:pt>
                <c:pt idx="1">
                  <c:v>1.6060302554528956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C76-4A29-87A7-3902452B5455}"/>
            </c:ext>
          </c:extLst>
        </c:ser>
        <c:ser>
          <c:idx val="2"/>
          <c:order val="5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CurvaCompactaciónProbetas!$K$37:$K$39</c:f>
              <c:numCache>
                <c:formatCode>0.00%</c:formatCode>
                <c:ptCount val="3"/>
                <c:pt idx="0">
                  <c:v>0.13297332509443671</c:v>
                </c:pt>
                <c:pt idx="1">
                  <c:v>0.15578764142732804</c:v>
                </c:pt>
                <c:pt idx="2">
                  <c:v>0.16935064935064942</c:v>
                </c:pt>
              </c:numCache>
            </c:numRef>
          </c:xVal>
          <c:yVal>
            <c:numRef>
              <c:f>CurvaCompactaciónProbetas!$M$37:$M$39</c:f>
              <c:numCache>
                <c:formatCode>0.0000</c:formatCode>
                <c:ptCount val="3"/>
                <c:pt idx="0">
                  <c:v>1.6791442348294672</c:v>
                </c:pt>
                <c:pt idx="1">
                  <c:v>1.6864670655245249</c:v>
                </c:pt>
                <c:pt idx="2">
                  <c:v>1.6531452322920552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C76-4A29-87A7-3902452B5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492992"/>
        <c:axId val="990064960"/>
      </c:scatterChart>
      <c:valAx>
        <c:axId val="1649492992"/>
        <c:scaling>
          <c:orientation val="minMax"/>
          <c:min val="6.0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%Humedad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4960"/>
        <c:crosses val="autoZero"/>
        <c:crossBetween val="midCat"/>
      </c:valAx>
      <c:valAx>
        <c:axId val="990064960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Densidad</a:t>
                </a:r>
                <a:r>
                  <a:rPr lang="en-US" baseline="0"/>
                  <a:t> Seca (g/cm3)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9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88031852030961"/>
          <c:y val="0.10076590460705454"/>
          <c:w val="0.60231844890835817"/>
          <c:h val="4.1317269683317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</a:t>
            </a:r>
            <a:r>
              <a:rPr lang="en-US" baseline="0"/>
              <a:t> de compactación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17856951255835"/>
          <c:y val="0.23266684712101024"/>
          <c:w val="0.75220374539595269"/>
          <c:h val="0.57932806645621826"/>
        </c:manualLayout>
      </c:layout>
      <c:scatterChart>
        <c:scatterStyle val="smooth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CurvaCompactaciónProbetas!$X$37:$X$40</c:f>
              <c:numCache>
                <c:formatCode>0%</c:formatCode>
                <c:ptCount val="4"/>
                <c:pt idx="0">
                  <c:v>0.11843409316154611</c:v>
                </c:pt>
                <c:pt idx="1">
                  <c:v>0.13297332509443671</c:v>
                </c:pt>
                <c:pt idx="2">
                  <c:v>0.15578764142732804</c:v>
                </c:pt>
                <c:pt idx="3">
                  <c:v>0.16935064935064942</c:v>
                </c:pt>
              </c:numCache>
            </c:numRef>
          </c:xVal>
          <c:yVal>
            <c:numRef>
              <c:f>CurvaCompactaciónProbetas!$Y$37:$Y$40</c:f>
              <c:numCache>
                <c:formatCode>General</c:formatCode>
                <c:ptCount val="4"/>
                <c:pt idx="0">
                  <c:v>1.6584291622044005</c:v>
                </c:pt>
                <c:pt idx="1">
                  <c:v>1.6791442348294672</c:v>
                </c:pt>
                <c:pt idx="2">
                  <c:v>1.6864670655245249</c:v>
                </c:pt>
                <c:pt idx="3">
                  <c:v>1.6531452322920552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0-45B6-9CF9-D0D503C28BD5}"/>
            </c:ext>
          </c:extLst>
        </c:ser>
        <c:ser>
          <c:idx val="4"/>
          <c:order val="1"/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CurvaCompactaciónProbetas!$X$28:$X$33</c:f>
              <c:numCache>
                <c:formatCode>0%</c:formatCode>
                <c:ptCount val="6"/>
                <c:pt idx="0">
                  <c:v>8.0713111267325499E-2</c:v>
                </c:pt>
                <c:pt idx="1">
                  <c:v>9.6678107984795758E-2</c:v>
                </c:pt>
                <c:pt idx="2">
                  <c:v>0.11805225653206648</c:v>
                </c:pt>
                <c:pt idx="3">
                  <c:v>0.1430861723446894</c:v>
                </c:pt>
                <c:pt idx="4">
                  <c:v>0.17279256442754556</c:v>
                </c:pt>
                <c:pt idx="5">
                  <c:v>0.1863437537080784</c:v>
                </c:pt>
              </c:numCache>
            </c:numRef>
          </c:xVal>
          <c:yVal>
            <c:numRef>
              <c:f>CurvaCompactaciónProbetas!$Y$28:$Y$33</c:f>
              <c:numCache>
                <c:formatCode>General</c:formatCode>
                <c:ptCount val="6"/>
                <c:pt idx="0">
                  <c:v>1.6462510270375257</c:v>
                </c:pt>
                <c:pt idx="1">
                  <c:v>1.6844377135254356</c:v>
                </c:pt>
                <c:pt idx="2">
                  <c:v>1.763728134637909</c:v>
                </c:pt>
                <c:pt idx="3">
                  <c:v>1.7740902979375075</c:v>
                </c:pt>
                <c:pt idx="4">
                  <c:v>1.7368367611579714</c:v>
                </c:pt>
                <c:pt idx="5">
                  <c:v>1.6609337354154379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20-45B6-9CF9-D0D503C28BD5}"/>
            </c:ext>
          </c:extLst>
        </c:ser>
        <c:ser>
          <c:idx val="5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CurvaCompactaciónProbetas!$X$44:$X$49</c:f>
              <c:numCache>
                <c:formatCode>0.0%</c:formatCode>
                <c:ptCount val="6"/>
                <c:pt idx="0">
                  <c:v>0.11589041095890402</c:v>
                </c:pt>
                <c:pt idx="1">
                  <c:v>0.13460442691211932</c:v>
                </c:pt>
                <c:pt idx="2">
                  <c:v>0.14028029887536533</c:v>
                </c:pt>
                <c:pt idx="3">
                  <c:v>0.15156950672645753</c:v>
                </c:pt>
                <c:pt idx="4">
                  <c:v>0.16556028504471754</c:v>
                </c:pt>
                <c:pt idx="5">
                  <c:v>0.19470446643487566</c:v>
                </c:pt>
              </c:numCache>
            </c:numRef>
          </c:xVal>
          <c:yVal>
            <c:numRef>
              <c:f>CurvaCompactaciónProbetas!$Y$44:$Y$49</c:f>
              <c:numCache>
                <c:formatCode>General</c:formatCode>
                <c:ptCount val="6"/>
                <c:pt idx="0">
                  <c:v>1.4825868255389962</c:v>
                </c:pt>
                <c:pt idx="1">
                  <c:v>1.4885499009690084</c:v>
                </c:pt>
                <c:pt idx="2">
                  <c:v>1.5314062199891358</c:v>
                </c:pt>
                <c:pt idx="3">
                  <c:v>1.5455149549102736</c:v>
                </c:pt>
                <c:pt idx="4">
                  <c:v>1.6090048691339709</c:v>
                </c:pt>
                <c:pt idx="5">
                  <c:v>1.6060302554528956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20-45B6-9CF9-D0D503C28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492992"/>
        <c:axId val="990064960"/>
      </c:scatterChart>
      <c:valAx>
        <c:axId val="1649492992"/>
        <c:scaling>
          <c:orientation val="minMax"/>
          <c:min val="6.0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%Humedad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4960"/>
        <c:crosses val="autoZero"/>
        <c:crossBetween val="midCat"/>
      </c:valAx>
      <c:valAx>
        <c:axId val="990064960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Densidad</a:t>
                </a:r>
                <a:r>
                  <a:rPr lang="en-US" baseline="0"/>
                  <a:t> Seca (g/cm3)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9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88031852030961"/>
          <c:y val="0.10076590460705454"/>
          <c:w val="0.60231844890835817"/>
          <c:h val="4.1317269683317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ProcesamientoDatos!$X$6:$X$9</c:f>
              <c:numCache>
                <c:formatCode>General</c:formatCode>
                <c:ptCount val="4"/>
                <c:pt idx="0">
                  <c:v>2.1500000000000004E-3</c:v>
                </c:pt>
                <c:pt idx="1">
                  <c:v>1.89E-3</c:v>
                </c:pt>
                <c:pt idx="2">
                  <c:v>1.5199999999999999E-3</c:v>
                </c:pt>
                <c:pt idx="3">
                  <c:v>1.6066666666666666E-3</c:v>
                </c:pt>
              </c:numCache>
            </c:numRef>
          </c:xVal>
          <c:yVal>
            <c:numRef>
              <c:f>ProcesamientoDatos!$E$6:$E$9</c:f>
              <c:numCache>
                <c:formatCode>General</c:formatCode>
                <c:ptCount val="4"/>
                <c:pt idx="0">
                  <c:v>1.9370723890856201</c:v>
                </c:pt>
                <c:pt idx="1">
                  <c:v>1.9520998867822403</c:v>
                </c:pt>
                <c:pt idx="2">
                  <c:v>1.8960999631917135</c:v>
                </c:pt>
                <c:pt idx="3">
                  <c:v>1.6392095680915875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A3-46FC-9A4E-3C20F532331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ProcesamientoDatos!$X$10:$X$14</c:f>
              <c:numCache>
                <c:formatCode>General</c:formatCode>
                <c:ptCount val="5"/>
                <c:pt idx="0">
                  <c:v>1.6733333333333333E-3</c:v>
                </c:pt>
                <c:pt idx="1">
                  <c:v>1.3599999999999999E-3</c:v>
                </c:pt>
                <c:pt idx="2">
                  <c:v>1.6666666666666668E-3</c:v>
                </c:pt>
                <c:pt idx="3">
                  <c:v>1.4366666666666668E-3</c:v>
                </c:pt>
                <c:pt idx="4">
                  <c:v>2.3266666666666666E-3</c:v>
                </c:pt>
              </c:numCache>
            </c:numRef>
          </c:xVal>
          <c:yVal>
            <c:numRef>
              <c:f>ProcesamientoDatos!$E$10:$E$14</c:f>
              <c:numCache>
                <c:formatCode>General</c:formatCode>
                <c:ptCount val="5"/>
                <c:pt idx="0">
                  <c:v>2.0030089895470788</c:v>
                </c:pt>
                <c:pt idx="1">
                  <c:v>1.794940626954886</c:v>
                </c:pt>
                <c:pt idx="2">
                  <c:v>1.9995009805517827</c:v>
                </c:pt>
                <c:pt idx="3">
                  <c:v>1.9232172118996098</c:v>
                </c:pt>
                <c:pt idx="4">
                  <c:v>1.949174726004046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A3-46FC-9A4E-3C20F532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706560"/>
        <c:axId val="1365536671"/>
      </c:scatterChart>
      <c:valAx>
        <c:axId val="15477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36671"/>
        <c:crosses val="autoZero"/>
        <c:crossBetween val="midCat"/>
      </c:valAx>
      <c:valAx>
        <c:axId val="1365536671"/>
        <c:scaling>
          <c:orientation val="minMax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Densidad</a:t>
                </a:r>
                <a:r>
                  <a:rPr lang="en-US" baseline="0"/>
                  <a:t> Bulk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ProcesamientoDatos!$X$6:$X$14</c:f>
              <c:numCache>
                <c:formatCode>General</c:formatCode>
                <c:ptCount val="9"/>
                <c:pt idx="0">
                  <c:v>2.1500000000000004E-3</c:v>
                </c:pt>
                <c:pt idx="1">
                  <c:v>1.89E-3</c:v>
                </c:pt>
                <c:pt idx="2">
                  <c:v>1.5199999999999999E-3</c:v>
                </c:pt>
                <c:pt idx="3">
                  <c:v>1.6066666666666666E-3</c:v>
                </c:pt>
                <c:pt idx="4">
                  <c:v>1.6733333333333333E-3</c:v>
                </c:pt>
                <c:pt idx="5">
                  <c:v>1.3599999999999999E-3</c:v>
                </c:pt>
                <c:pt idx="6">
                  <c:v>1.6666666666666668E-3</c:v>
                </c:pt>
                <c:pt idx="7">
                  <c:v>1.4366666666666668E-3</c:v>
                </c:pt>
                <c:pt idx="8">
                  <c:v>2.3266666666666666E-3</c:v>
                </c:pt>
              </c:numCache>
            </c:numRef>
          </c:xVal>
          <c:yVal>
            <c:numRef>
              <c:f>ProcesamientoDatos!$H$6:$H$14</c:f>
              <c:numCache>
                <c:formatCode>0.00%</c:formatCode>
                <c:ptCount val="9"/>
                <c:pt idx="0">
                  <c:v>0.93265613804765946</c:v>
                </c:pt>
                <c:pt idx="1">
                  <c:v>0.86010108608403979</c:v>
                </c:pt>
                <c:pt idx="2">
                  <c:v>0.73472074668050413</c:v>
                </c:pt>
                <c:pt idx="3">
                  <c:v>0.36470046891735447</c:v>
                </c:pt>
                <c:pt idx="4">
                  <c:v>0.92370778152310695</c:v>
                </c:pt>
                <c:pt idx="5">
                  <c:v>0.50454510110740902</c:v>
                </c:pt>
                <c:pt idx="6">
                  <c:v>0.95245611688012366</c:v>
                </c:pt>
                <c:pt idx="7">
                  <c:v>0.73623149760990803</c:v>
                </c:pt>
                <c:pt idx="8">
                  <c:v>0.95283646453681758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8-4472-94CF-D2B9EA139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706560"/>
        <c:axId val="1365536671"/>
      </c:scatterChart>
      <c:valAx>
        <c:axId val="15477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36671"/>
        <c:crosses val="autoZero"/>
        <c:crossBetween val="midCat"/>
      </c:valAx>
      <c:valAx>
        <c:axId val="13655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Densidad</a:t>
                </a:r>
                <a:r>
                  <a:rPr lang="en-US" baseline="0"/>
                  <a:t> Bulk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ProcesamientoDatos!$X$6:$X$9</c:f>
              <c:numCache>
                <c:formatCode>General</c:formatCode>
                <c:ptCount val="4"/>
                <c:pt idx="0">
                  <c:v>2.1500000000000004E-3</c:v>
                </c:pt>
                <c:pt idx="1">
                  <c:v>1.89E-3</c:v>
                </c:pt>
                <c:pt idx="2">
                  <c:v>1.5199999999999999E-3</c:v>
                </c:pt>
                <c:pt idx="3">
                  <c:v>1.6066666666666666E-3</c:v>
                </c:pt>
              </c:numCache>
            </c:numRef>
          </c:xVal>
          <c:yVal>
            <c:numRef>
              <c:f>ProcesamientoDatos!$D$6:$D$9</c:f>
              <c:numCache>
                <c:formatCode>General</c:formatCode>
                <c:ptCount val="4"/>
                <c:pt idx="0">
                  <c:v>1.6020993787968505</c:v>
                </c:pt>
                <c:pt idx="1">
                  <c:v>1.664734928829525</c:v>
                </c:pt>
                <c:pt idx="2">
                  <c:v>1.6447528263974514</c:v>
                </c:pt>
                <c:pt idx="3">
                  <c:v>1.492190065868684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6-435E-8A94-11378929EE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ProcesamientoDatos!$X$10:$X$14</c:f>
              <c:numCache>
                <c:formatCode>General</c:formatCode>
                <c:ptCount val="5"/>
                <c:pt idx="0">
                  <c:v>1.6733333333333333E-3</c:v>
                </c:pt>
                <c:pt idx="1">
                  <c:v>1.3599999999999999E-3</c:v>
                </c:pt>
                <c:pt idx="2">
                  <c:v>1.6666666666666668E-3</c:v>
                </c:pt>
                <c:pt idx="3">
                  <c:v>1.4366666666666668E-3</c:v>
                </c:pt>
                <c:pt idx="4">
                  <c:v>2.3266666666666666E-3</c:v>
                </c:pt>
              </c:numCache>
            </c:numRef>
          </c:xVal>
          <c:yVal>
            <c:numRef>
              <c:f>ProcesamientoDatos!$D$10:$D$14</c:f>
              <c:numCache>
                <c:formatCode>General</c:formatCode>
                <c:ptCount val="5"/>
                <c:pt idx="0">
                  <c:v>1.711772086692873</c:v>
                </c:pt>
                <c:pt idx="1">
                  <c:v>1.6166683679039831</c:v>
                </c:pt>
                <c:pt idx="2">
                  <c:v>1.6914623150472443</c:v>
                </c:pt>
                <c:pt idx="3">
                  <c:v>1.6824567859688098</c:v>
                </c:pt>
                <c:pt idx="4">
                  <c:v>1.6099433554206495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6-435E-8A94-11378929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706560"/>
        <c:axId val="1365536671"/>
      </c:scatterChart>
      <c:valAx>
        <c:axId val="15477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36671"/>
        <c:crosses val="autoZero"/>
        <c:crossBetween val="midCat"/>
      </c:valAx>
      <c:valAx>
        <c:axId val="1365536671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Densidad</a:t>
                </a:r>
                <a:r>
                  <a:rPr lang="en-US" baseline="0"/>
                  <a:t> Bulk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Curva</a:t>
            </a:r>
            <a:r>
              <a:rPr lang="es-EC" baseline="0"/>
              <a:t> de Calibración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9914775300621"/>
          <c:y val="0.1496131693307661"/>
          <c:w val="0.77828049197223137"/>
          <c:h val="0.62337163631374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SSW_CalibrationCurve!$B$6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SSW_CalibrationCurve!$C$6:$G$6</c:f>
              <c:numCache>
                <c:formatCode>General</c:formatCode>
                <c:ptCount val="5"/>
                <c:pt idx="0">
                  <c:v>2.3478348100633198E-3</c:v>
                </c:pt>
                <c:pt idx="1">
                  <c:v>1.9955787603624102E-3</c:v>
                </c:pt>
                <c:pt idx="2">
                  <c:v>1.7820024121730301E-3</c:v>
                </c:pt>
                <c:pt idx="3">
                  <c:v>1.5694576530822599E-3</c:v>
                </c:pt>
                <c:pt idx="4">
                  <c:v>1.3718172767980101E-3</c:v>
                </c:pt>
              </c:numCache>
            </c:numRef>
          </c:xVal>
          <c:yVal>
            <c:numRef>
              <c:f>SSW_CalibrationCurve!$C$5:$G$5</c:f>
              <c:numCache>
                <c:formatCode>0.00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3-4CDA-9616-CD3A05AFA704}"/>
            </c:ext>
          </c:extLst>
        </c:ser>
        <c:ser>
          <c:idx val="1"/>
          <c:order val="1"/>
          <c:tx>
            <c:strRef>
              <c:f>SSW_CalibrationCurve!$B$7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SSW_CalibrationCurve!$C$7:$G$7</c:f>
              <c:numCache>
                <c:formatCode>General</c:formatCode>
                <c:ptCount val="5"/>
                <c:pt idx="0">
                  <c:v>2.3394404849428098E-3</c:v>
                </c:pt>
                <c:pt idx="1">
                  <c:v>1.98434376581171E-3</c:v>
                </c:pt>
                <c:pt idx="2">
                  <c:v>1.7711769880264601E-3</c:v>
                </c:pt>
                <c:pt idx="3">
                  <c:v>1.5596375331642599E-3</c:v>
                </c:pt>
                <c:pt idx="4">
                  <c:v>1.3631794859288E-3</c:v>
                </c:pt>
              </c:numCache>
            </c:numRef>
          </c:xVal>
          <c:yVal>
            <c:numRef>
              <c:f>SSW_CalibrationCurve!$C$5:$G$5</c:f>
              <c:numCache>
                <c:formatCode>0.00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3-4CDA-9616-CD3A05AFA704}"/>
            </c:ext>
          </c:extLst>
        </c:ser>
        <c:ser>
          <c:idx val="2"/>
          <c:order val="2"/>
          <c:tx>
            <c:strRef>
              <c:f>SSW_CalibrationCurve!$B$8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SSW_CalibrationCurve!$C$8:$G$8</c:f>
              <c:numCache>
                <c:formatCode>General</c:formatCode>
                <c:ptCount val="5"/>
                <c:pt idx="0">
                  <c:v>2.32464610063569E-3</c:v>
                </c:pt>
                <c:pt idx="1">
                  <c:v>1.9648933392996401E-3</c:v>
                </c:pt>
                <c:pt idx="2">
                  <c:v>1.7524451909427701E-3</c:v>
                </c:pt>
                <c:pt idx="3">
                  <c:v>1.5426744704321301E-3</c:v>
                </c:pt>
                <c:pt idx="4">
                  <c:v>1.3483557321667301E-3</c:v>
                </c:pt>
              </c:numCache>
            </c:numRef>
          </c:xVal>
          <c:yVal>
            <c:numRef>
              <c:f>SSW_CalibrationCurve!$C$5:$G$5</c:f>
              <c:numCache>
                <c:formatCode>0.00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3-4CDA-9616-CD3A05AFA704}"/>
            </c:ext>
          </c:extLst>
        </c:ser>
        <c:ser>
          <c:idx val="3"/>
          <c:order val="3"/>
          <c:tx>
            <c:strRef>
              <c:f>SSW_CalibrationCurve!$B$9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SSW_CalibrationCurve!$C$9:$G$9</c:f>
              <c:numCache>
                <c:formatCode>General</c:formatCode>
                <c:ptCount val="5"/>
                <c:pt idx="0">
                  <c:v>2.3023397656270999E-3</c:v>
                </c:pt>
                <c:pt idx="1">
                  <c:v>1.9358334976590601E-3</c:v>
                </c:pt>
                <c:pt idx="2">
                  <c:v>1.7247572871193599E-3</c:v>
                </c:pt>
                <c:pt idx="3">
                  <c:v>1.51776845222711E-3</c:v>
                </c:pt>
                <c:pt idx="4">
                  <c:v>1.3265591896317601E-3</c:v>
                </c:pt>
              </c:numCache>
            </c:numRef>
          </c:xVal>
          <c:yVal>
            <c:numRef>
              <c:f>SSW_CalibrationCurve!$C$5:$G$5</c:f>
              <c:numCache>
                <c:formatCode>0.00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3-4CDA-9616-CD3A05AFA704}"/>
            </c:ext>
          </c:extLst>
        </c:ser>
        <c:ser>
          <c:idx val="4"/>
          <c:order val="4"/>
          <c:tx>
            <c:strRef>
              <c:f>SSW_CalibrationCurve!$B$10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SSW_CalibrationCurve!$C$10:$G$10</c:f>
              <c:numCache>
                <c:formatCode>General</c:formatCode>
                <c:ptCount val="5"/>
                <c:pt idx="0">
                  <c:v>2.27007750668263E-3</c:v>
                </c:pt>
                <c:pt idx="1">
                  <c:v>1.89502062975498E-3</c:v>
                </c:pt>
                <c:pt idx="2">
                  <c:v>1.68607013178486E-3</c:v>
                </c:pt>
                <c:pt idx="3">
                  <c:v>1.48321064757378E-3</c:v>
                </c:pt>
                <c:pt idx="4">
                  <c:v>1.2964257444793301E-3</c:v>
                </c:pt>
              </c:numCache>
            </c:numRef>
          </c:xVal>
          <c:yVal>
            <c:numRef>
              <c:f>SSW_CalibrationCurve!$C$5:$G$5</c:f>
              <c:numCache>
                <c:formatCode>0.00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63-4CDA-9616-CD3A05AFA704}"/>
            </c:ext>
          </c:extLst>
        </c:ser>
        <c:ser>
          <c:idx val="5"/>
          <c:order val="5"/>
          <c:tx>
            <c:v>Data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SSW_CalibrationCurve!$G$13</c:f>
              <c:numCache>
                <c:formatCode>General</c:formatCode>
                <c:ptCount val="1"/>
                <c:pt idx="0">
                  <c:v>1.3600000000000001E-3</c:v>
                </c:pt>
              </c:numCache>
            </c:numRef>
          </c:xVal>
          <c:yVal>
            <c:numRef>
              <c:f>SSW_CalibrationCurve!$D$19</c:f>
              <c:numCache>
                <c:formatCode>0.00</c:formatCode>
                <c:ptCount val="1"/>
                <c:pt idx="0">
                  <c:v>205.11120504143798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63-4CDA-9616-CD3A05AF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8847"/>
        <c:axId val="1847155231"/>
      </c:scatterChart>
      <c:valAx>
        <c:axId val="86478847"/>
        <c:scaling>
          <c:orientation val="minMax"/>
          <c:min val="1.25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TOF</a:t>
                </a:r>
                <a:r>
                  <a:rPr lang="es-EC" baseline="0"/>
                  <a:t> (s)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55231"/>
        <c:crosses val="autoZero"/>
        <c:crossBetween val="midCat"/>
        <c:majorUnit val="1.0000000000000003E-4"/>
        <c:minorUnit val="2.0000000000000008E-5"/>
      </c:valAx>
      <c:valAx>
        <c:axId val="1847155231"/>
        <c:scaling>
          <c:logBase val="10"/>
          <c:orientation val="minMax"/>
          <c:max val="2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Mod</a:t>
                </a:r>
                <a:r>
                  <a:rPr lang="es-EC" baseline="0"/>
                  <a:t>. E [MPa]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884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238946</xdr:colOff>
      <xdr:row>0</xdr:row>
      <xdr:rowOff>0</xdr:rowOff>
    </xdr:from>
    <xdr:to>
      <xdr:col>20</xdr:col>
      <xdr:colOff>3175000</xdr:colOff>
      <xdr:row>21</xdr:row>
      <xdr:rowOff>104008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44C26-A894-70F7-2E1A-E51267236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204105</xdr:colOff>
      <xdr:row>22</xdr:row>
      <xdr:rowOff>15119</xdr:rowOff>
    </xdr:from>
    <xdr:to>
      <xdr:col>20</xdr:col>
      <xdr:colOff>3140159</xdr:colOff>
      <xdr:row>48</xdr:row>
      <xdr:rowOff>58651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2F69B-E636-4073-ACF7-EE400D575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190499</xdr:colOff>
      <xdr:row>48</xdr:row>
      <xdr:rowOff>153866</xdr:rowOff>
    </xdr:from>
    <xdr:to>
      <xdr:col>20</xdr:col>
      <xdr:colOff>3126553</xdr:colOff>
      <xdr:row>74</xdr:row>
      <xdr:rowOff>197398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334508-1A8D-4675-BBCA-D1D83E43F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63658</xdr:colOff>
      <xdr:row>18</xdr:row>
      <xdr:rowOff>195353</xdr:rowOff>
    </xdr:from>
    <xdr:ext cx="180382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7">
              <a:extLst>
                <a:ext uri="{FF2B5EF4-FFF2-40B4-BE49-F238E27FC236}">
                  <a16:creationId xmlns:a16="http://schemas.microsoft.com/office/drawing/2014/main" id="{9F55FD0F-DB82-41DE-A9A9-64609FBCD5BE}"/>
                </a:ext>
              </a:extLst>
            </xdr:cNvPr>
            <xdr:cNvSpPr txBox="1"/>
          </xdr:nvSpPr>
          <xdr:spPr>
            <a:xfrm>
              <a:off x="10906077" y="3757950"/>
              <a:ext cx="180382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∙(1+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)(1−2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7">
              <a:extLst>
                <a:ext uri="{FF2B5EF4-FFF2-40B4-BE49-F238E27FC236}">
                  <a16:creationId xmlns:a16="http://schemas.microsoft.com/office/drawing/2014/main" id="{9F55FD0F-DB82-41DE-A9A9-64609FBCD5BE}"/>
                </a:ext>
              </a:extLst>
            </xdr:cNvPr>
            <xdr:cNvSpPr txBox="1"/>
          </xdr:nvSpPr>
          <xdr:spPr>
            <a:xfrm>
              <a:off x="10906077" y="3757950"/>
              <a:ext cx="180382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𝐸=〖𝑉𝑝〗^2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∙(𝑝∙(1+𝑢)(1−2𝑢))/((1−𝑢))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8</xdr:col>
      <xdr:colOff>0</xdr:colOff>
      <xdr:row>19</xdr:row>
      <xdr:rowOff>167462</xdr:rowOff>
    </xdr:from>
    <xdr:to>
      <xdr:col>14</xdr:col>
      <xdr:colOff>379159</xdr:colOff>
      <xdr:row>37</xdr:row>
      <xdr:rowOff>1192</xdr:rowOff>
    </xdr:to>
    <xdr:pic>
      <xdr:nvPicPr>
        <xdr:cNvPr id="4" name="Picture 3" descr="Solved 2.0 60% 80% 100% Degree of saturation: Zero air voids | Chegg.com">
          <a:extLst>
            <a:ext uri="{FF2B5EF4-FFF2-40B4-BE49-F238E27FC236}">
              <a16:creationId xmlns:a16="http://schemas.microsoft.com/office/drawing/2014/main" id="{9F86A4EB-FEE4-679C-E64E-044CBED6E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4921" y="4013181"/>
          <a:ext cx="4645819" cy="3477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500132</xdr:colOff>
      <xdr:row>21</xdr:row>
      <xdr:rowOff>168689</xdr:rowOff>
    </xdr:from>
    <xdr:to>
      <xdr:col>20</xdr:col>
      <xdr:colOff>228710</xdr:colOff>
      <xdr:row>38</xdr:row>
      <xdr:rowOff>85175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A68312B-BFDF-4805-92C6-17778E616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63232" y="4435889"/>
          <a:ext cx="4522829" cy="3366124"/>
        </a:xfrm>
        <a:prstGeom prst="rect">
          <a:avLst/>
        </a:prstGeom>
      </xdr:spPr>
    </xdr:pic>
    <xdr:clientData/>
  </xdr:twoCellAnchor>
  <xdr:twoCellAnchor editAs="oneCell">
    <xdr:from>
      <xdr:col>0</xdr:col>
      <xdr:colOff>654050</xdr:colOff>
      <xdr:row>19</xdr:row>
      <xdr:rowOff>12700</xdr:rowOff>
    </xdr:from>
    <xdr:to>
      <xdr:col>6</xdr:col>
      <xdr:colOff>735011</xdr:colOff>
      <xdr:row>34</xdr:row>
      <xdr:rowOff>135066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0D1EDA-9DA0-4BDB-BAD7-5A048ED12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050" y="3873500"/>
          <a:ext cx="4571999" cy="3165604"/>
        </a:xfrm>
        <a:prstGeom prst="rect">
          <a:avLst/>
        </a:prstGeom>
      </xdr:spPr>
    </xdr:pic>
    <xdr:clientData/>
  </xdr:twoCellAnchor>
  <xdr:twoCellAnchor>
    <xdr:from>
      <xdr:col>21</xdr:col>
      <xdr:colOff>189245</xdr:colOff>
      <xdr:row>19</xdr:row>
      <xdr:rowOff>85349</xdr:rowOff>
    </xdr:from>
    <xdr:to>
      <xdr:col>26</xdr:col>
      <xdr:colOff>324600</xdr:colOff>
      <xdr:row>33</xdr:row>
      <xdr:rowOff>21181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8A6CB9-6295-303D-A1D1-34889667E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49</xdr:row>
      <xdr:rowOff>0</xdr:rowOff>
    </xdr:from>
    <xdr:to>
      <xdr:col>26</xdr:col>
      <xdr:colOff>135355</xdr:colOff>
      <xdr:row>62</xdr:row>
      <xdr:rowOff>136357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FA6D19-DC29-49E1-8F10-19E4E7755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545182</xdr:colOff>
      <xdr:row>33</xdr:row>
      <xdr:rowOff>62664</xdr:rowOff>
    </xdr:from>
    <xdr:to>
      <xdr:col>26</xdr:col>
      <xdr:colOff>680537</xdr:colOff>
      <xdr:row>46</xdr:row>
      <xdr:rowOff>199021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4021C5-3207-425E-9A86-E7949CEC1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247599</xdr:colOff>
      <xdr:row>2</xdr:row>
      <xdr:rowOff>23677</xdr:rowOff>
    </xdr:from>
    <xdr:to>
      <xdr:col>19</xdr:col>
      <xdr:colOff>575928</xdr:colOff>
      <xdr:row>24</xdr:row>
      <xdr:rowOff>44302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B4A24-E754-4C86-BAC3-836267B92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B41B-D01D-4B26-8279-B2BAAF4E622E}">
  <dimension ref="B2:BA26"/>
  <sheetViews>
    <sheetView topLeftCell="AB1" zoomScale="67" workbookViewId="0">
      <selection activeCell="AU6" sqref="AU6"/>
    </sheetView>
  </sheetViews>
  <sheetFormatPr defaultColWidth="11" defaultRowHeight="15.75" x14ac:dyDescent="0.5"/>
  <cols>
    <col min="1" max="2" width="11.5" style="1" customWidth="1"/>
    <col min="3" max="3" width="13.0625" style="1" bestFit="1" customWidth="1"/>
    <col min="4" max="4" width="11.5" style="1" customWidth="1"/>
    <col min="5" max="5" width="17.125" style="1" customWidth="1"/>
    <col min="6" max="6" width="11.5" style="1" customWidth="1"/>
    <col min="7" max="7" width="16.125" style="51" bestFit="1" customWidth="1"/>
    <col min="8" max="8" width="11.5" style="51" customWidth="1"/>
    <col min="9" max="14" width="11" style="1"/>
    <col min="15" max="15" width="13.4375" style="1" customWidth="1"/>
    <col min="16" max="16" width="14.125" style="1" customWidth="1"/>
    <col min="17" max="17" width="14.1875" style="1" customWidth="1"/>
    <col min="18" max="26" width="11" style="1"/>
    <col min="27" max="27" width="13.5625" style="1" customWidth="1"/>
    <col min="28" max="29" width="11" style="1"/>
    <col min="30" max="33" width="11" style="1" customWidth="1"/>
    <col min="34" max="34" width="12.375" style="1" customWidth="1"/>
    <col min="35" max="35" width="11.6875" style="1" customWidth="1"/>
    <col min="36" max="37" width="11" style="1" customWidth="1"/>
    <col min="38" max="38" width="13.0625" style="1" customWidth="1"/>
    <col min="39" max="39" width="11" style="1"/>
    <col min="40" max="40" width="17" style="1" customWidth="1"/>
    <col min="41" max="41" width="11" style="1"/>
    <col min="42" max="42" width="14" style="1" customWidth="1"/>
    <col min="43" max="48" width="11" style="1"/>
    <col min="49" max="49" width="13.4375" style="1" customWidth="1"/>
    <col min="50" max="50" width="12" style="1" bestFit="1" customWidth="1"/>
    <col min="51" max="51" width="12.1875" style="1" bestFit="1" customWidth="1"/>
    <col min="52" max="16384" width="11" style="1"/>
  </cols>
  <sheetData>
    <row r="2" spans="2:53" ht="16.149999999999999" thickBot="1" x14ac:dyDescent="0.55000000000000004"/>
    <row r="3" spans="2:53" ht="16.149999999999999" thickBot="1" x14ac:dyDescent="0.55000000000000004">
      <c r="B3" s="89" t="s">
        <v>0</v>
      </c>
      <c r="C3" s="90"/>
      <c r="D3" s="91"/>
      <c r="E3" s="50"/>
      <c r="F3" s="89" t="s">
        <v>27</v>
      </c>
      <c r="G3" s="90"/>
      <c r="H3" s="91"/>
      <c r="M3" s="92" t="s">
        <v>83</v>
      </c>
      <c r="N3" s="93"/>
      <c r="O3" s="93"/>
      <c r="P3" s="93"/>
      <c r="Q3" s="93"/>
      <c r="R3" s="93"/>
      <c r="S3" s="93"/>
      <c r="U3" s="92" t="s">
        <v>87</v>
      </c>
      <c r="V3" s="93"/>
      <c r="W3" s="93"/>
      <c r="X3" s="93"/>
      <c r="Z3" s="92" t="s">
        <v>95</v>
      </c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P3" s="92" t="s">
        <v>108</v>
      </c>
      <c r="AQ3" s="93"/>
      <c r="AR3" s="93"/>
      <c r="AS3" s="93"/>
      <c r="AT3" s="93"/>
      <c r="AU3" s="93"/>
      <c r="AV3" s="93"/>
      <c r="AW3" s="93"/>
    </row>
    <row r="4" spans="2:53" s="2" customFormat="1" x14ac:dyDescent="0.5">
      <c r="G4" s="51"/>
      <c r="H4" s="51"/>
      <c r="J4" s="2" t="s">
        <v>59</v>
      </c>
      <c r="Q4" s="2" t="s">
        <v>84</v>
      </c>
      <c r="R4" s="2" t="s">
        <v>85</v>
      </c>
      <c r="S4" s="2" t="s">
        <v>59</v>
      </c>
      <c r="AF4" s="2" t="s">
        <v>11</v>
      </c>
      <c r="AG4" s="2" t="s">
        <v>93</v>
      </c>
      <c r="AL4" s="2" t="s">
        <v>84</v>
      </c>
      <c r="AM4" s="2" t="s">
        <v>84</v>
      </c>
    </row>
    <row r="5" spans="2:53" s="17" customFormat="1" ht="40.049999999999997" customHeight="1" x14ac:dyDescent="0.5">
      <c r="B5" s="18" t="s">
        <v>3</v>
      </c>
      <c r="C5" s="19" t="s">
        <v>26</v>
      </c>
      <c r="D5" s="18" t="s">
        <v>4</v>
      </c>
      <c r="E5" s="20" t="s">
        <v>57</v>
      </c>
      <c r="F5" s="21" t="s">
        <v>5</v>
      </c>
      <c r="G5" s="18" t="s">
        <v>28</v>
      </c>
      <c r="H5" s="18" t="s">
        <v>7</v>
      </c>
      <c r="I5" s="18" t="s">
        <v>58</v>
      </c>
      <c r="J5" s="18" t="s">
        <v>60</v>
      </c>
      <c r="M5" s="18" t="s">
        <v>3</v>
      </c>
      <c r="N5" s="66" t="s">
        <v>26</v>
      </c>
      <c r="O5" s="18" t="s">
        <v>4</v>
      </c>
      <c r="P5" s="65" t="s">
        <v>81</v>
      </c>
      <c r="Q5" s="20" t="s">
        <v>86</v>
      </c>
      <c r="R5" s="18" t="s">
        <v>7</v>
      </c>
      <c r="S5" s="18" t="s">
        <v>60</v>
      </c>
      <c r="U5" s="18" t="s">
        <v>88</v>
      </c>
      <c r="V5" s="65" t="s">
        <v>89</v>
      </c>
      <c r="W5" s="18" t="s">
        <v>90</v>
      </c>
      <c r="X5" s="65" t="s">
        <v>91</v>
      </c>
      <c r="Z5" s="18" t="s">
        <v>3</v>
      </c>
      <c r="AA5" s="19" t="s">
        <v>26</v>
      </c>
      <c r="AB5" s="18" t="s">
        <v>4</v>
      </c>
      <c r="AC5" s="20" t="s">
        <v>57</v>
      </c>
      <c r="AD5" s="20" t="s">
        <v>105</v>
      </c>
      <c r="AE5" s="20" t="s">
        <v>98</v>
      </c>
      <c r="AF5" s="21" t="s">
        <v>96</v>
      </c>
      <c r="AG5" s="21" t="s">
        <v>97</v>
      </c>
      <c r="AH5" s="20" t="s">
        <v>99</v>
      </c>
      <c r="AI5" s="20" t="s">
        <v>100</v>
      </c>
      <c r="AJ5" s="20" t="s">
        <v>101</v>
      </c>
      <c r="AK5" s="71" t="s">
        <v>94</v>
      </c>
      <c r="AL5" s="71" t="s">
        <v>102</v>
      </c>
      <c r="AM5" s="71" t="s">
        <v>103</v>
      </c>
      <c r="AN5" s="71" t="s">
        <v>104</v>
      </c>
      <c r="AP5" s="73" t="s">
        <v>110</v>
      </c>
      <c r="AQ5" s="71" t="s">
        <v>82</v>
      </c>
      <c r="AR5" s="71" t="s">
        <v>109</v>
      </c>
      <c r="AS5" s="71" t="s">
        <v>60</v>
      </c>
      <c r="AT5" s="71" t="s">
        <v>92</v>
      </c>
      <c r="AU5" s="71" t="s">
        <v>120</v>
      </c>
      <c r="AV5" s="71" t="s">
        <v>122</v>
      </c>
      <c r="AW5" s="71" t="s">
        <v>121</v>
      </c>
    </row>
    <row r="6" spans="2:53" ht="40.049999999999997" customHeight="1" x14ac:dyDescent="0.5">
      <c r="B6" s="13">
        <v>1</v>
      </c>
      <c r="C6" s="4" t="s">
        <v>62</v>
      </c>
      <c r="D6" s="14">
        <v>45241</v>
      </c>
      <c r="E6" s="54">
        <v>25</v>
      </c>
      <c r="F6" s="4">
        <v>116.6</v>
      </c>
      <c r="G6" s="4">
        <v>1886.25</v>
      </c>
      <c r="H6" s="4">
        <v>102.7</v>
      </c>
      <c r="I6" s="4">
        <v>118.5</v>
      </c>
      <c r="J6" s="5">
        <f>(PI()/4)*((H6/10)^2)*(AVERAGE(I6,F6)/10)</f>
        <v>973.76329900112285</v>
      </c>
      <c r="M6" s="13">
        <v>1</v>
      </c>
      <c r="N6" s="4" t="s">
        <v>77</v>
      </c>
      <c r="O6" s="64">
        <v>45260</v>
      </c>
      <c r="P6" s="4">
        <v>130</v>
      </c>
      <c r="Q6" s="4">
        <v>3579</v>
      </c>
      <c r="R6" s="4">
        <v>101</v>
      </c>
      <c r="S6" s="5">
        <f>(P6/10)*(PI()/4*(R6/10)^2)</f>
        <v>1041.5400664262579</v>
      </c>
      <c r="U6" s="67">
        <v>62.68</v>
      </c>
      <c r="V6" s="67">
        <v>361.47</v>
      </c>
      <c r="W6" s="88">
        <v>353.09</v>
      </c>
      <c r="X6" s="68">
        <f>(V6-W6)/(W6-U6)</f>
        <v>2.885575565579716E-2</v>
      </c>
      <c r="Z6" s="13">
        <v>1</v>
      </c>
      <c r="AA6" s="74" t="s">
        <v>112</v>
      </c>
      <c r="AB6" s="64">
        <v>45260</v>
      </c>
      <c r="AC6" s="54">
        <v>20</v>
      </c>
      <c r="AD6" s="54" t="s">
        <v>106</v>
      </c>
      <c r="AE6" s="54" t="str">
        <f>$N$6</f>
        <v>Cilindro #1</v>
      </c>
      <c r="AF6" s="74">
        <v>1.7</v>
      </c>
      <c r="AG6" s="75">
        <v>0.14000000000000001</v>
      </c>
      <c r="AH6" s="4">
        <f t="shared" ref="AH6:AH13" si="0">AF6*(1+AG6)</f>
        <v>1.9380000000000002</v>
      </c>
      <c r="AI6" s="70">
        <f>AH6*S6</f>
        <v>2018.5046487340881</v>
      </c>
      <c r="AJ6" s="70">
        <f>AH6*S6/(1+AG6)</f>
        <v>1770.6181129246384</v>
      </c>
      <c r="AK6" s="5">
        <f t="shared" ref="AK6:AK13" si="1">AI6-AJ6</f>
        <v>247.8865358094497</v>
      </c>
      <c r="AL6" s="72">
        <f>AJ6*(1+$X$6)</f>
        <v>1821.7106365509203</v>
      </c>
      <c r="AM6" s="72">
        <f>AK6-AJ6*$X$6</f>
        <v>196.79401218316767</v>
      </c>
      <c r="AN6" s="69">
        <f>(AL6+AM6)/S6</f>
        <v>1.9380000000000002</v>
      </c>
      <c r="AP6" s="59">
        <v>5318.2</v>
      </c>
      <c r="AQ6" s="5">
        <f>$Q$6</f>
        <v>3579</v>
      </c>
      <c r="AR6" s="5">
        <f t="shared" ref="AR6:AR13" si="2">AP6-AQ6</f>
        <v>1739.1999999999998</v>
      </c>
      <c r="AS6" s="5">
        <f>S6</f>
        <v>1041.5400664262579</v>
      </c>
      <c r="AT6" s="5">
        <f t="shared" ref="AT6:AT13" si="3">AR6/AS6</f>
        <v>1.6698349454453147</v>
      </c>
      <c r="AU6" s="58">
        <f>CurvaCompactaciónProbetas!K22</f>
        <v>0.11843409316154611</v>
      </c>
      <c r="AV6" s="58">
        <f>ABS(AH6-AT6)/AH6</f>
        <v>0.13837206117372827</v>
      </c>
      <c r="AW6" s="58">
        <f>ABS(AG6-AU6)/AG6</f>
        <v>0.15404219170324213</v>
      </c>
    </row>
    <row r="7" spans="2:53" ht="40.049999999999997" customHeight="1" x14ac:dyDescent="0.5">
      <c r="B7" s="13">
        <v>2</v>
      </c>
      <c r="C7" s="4" t="s">
        <v>63</v>
      </c>
      <c r="D7" s="14">
        <v>45241</v>
      </c>
      <c r="E7" s="54">
        <v>25</v>
      </c>
      <c r="F7" s="4">
        <v>117.7</v>
      </c>
      <c r="G7" s="4">
        <v>1876.16</v>
      </c>
      <c r="H7" s="4">
        <v>101.9</v>
      </c>
      <c r="I7" s="4">
        <v>118</v>
      </c>
      <c r="J7" s="5">
        <f t="shared" ref="J7:J15" si="4">(PI()/4)*((H7/10)^2)*(AVERAGE(I7,F7)/10)</f>
        <v>961.09836013185964</v>
      </c>
      <c r="M7" s="13">
        <v>2</v>
      </c>
      <c r="N7" s="4" t="s">
        <v>78</v>
      </c>
      <c r="O7" s="64">
        <v>45260</v>
      </c>
      <c r="P7" s="16"/>
      <c r="Q7" s="16"/>
      <c r="R7" s="16"/>
      <c r="S7" s="5"/>
      <c r="U7" s="94" t="s">
        <v>132</v>
      </c>
      <c r="V7" s="94"/>
      <c r="W7" s="94"/>
      <c r="X7" s="94"/>
      <c r="Z7" s="13">
        <v>2</v>
      </c>
      <c r="AA7" s="74" t="s">
        <v>113</v>
      </c>
      <c r="AB7" s="64">
        <v>45260</v>
      </c>
      <c r="AC7" s="54">
        <v>20</v>
      </c>
      <c r="AD7" s="54" t="s">
        <v>106</v>
      </c>
      <c r="AE7" s="54" t="str">
        <f>$N$9</f>
        <v>Cilindro #4</v>
      </c>
      <c r="AF7" s="74">
        <v>1.86</v>
      </c>
      <c r="AG7" s="75">
        <v>0.12</v>
      </c>
      <c r="AH7" s="4">
        <f t="shared" si="0"/>
        <v>2.0832000000000002</v>
      </c>
      <c r="AI7" s="70">
        <f>AH7*S9</f>
        <v>1941.9139584093671</v>
      </c>
      <c r="AJ7" s="70">
        <f>AH7*S9/(1+AG7)</f>
        <v>1733.8517485797918</v>
      </c>
      <c r="AK7" s="5">
        <f t="shared" si="1"/>
        <v>208.06220982957529</v>
      </c>
      <c r="AL7" s="72">
        <f t="shared" ref="AL7:AL13" si="5">AJ7*(1+$X$6)</f>
        <v>1783.8833509801868</v>
      </c>
      <c r="AM7" s="72">
        <f t="shared" ref="AM7:AM13" si="6">AK7-AJ7*$X$6</f>
        <v>158.03060742918018</v>
      </c>
      <c r="AN7" s="69">
        <f>(AL7+AM7)/S9</f>
        <v>2.0832000000000002</v>
      </c>
      <c r="AP7" s="59">
        <v>5415.8</v>
      </c>
      <c r="AQ7" s="5">
        <f>$Q$9</f>
        <v>3577.6</v>
      </c>
      <c r="AR7" s="5">
        <f t="shared" si="2"/>
        <v>1838.2000000000003</v>
      </c>
      <c r="AS7" s="5">
        <f>S9</f>
        <v>932.17835945150102</v>
      </c>
      <c r="AT7" s="5">
        <f t="shared" si="3"/>
        <v>1.9719402208410066</v>
      </c>
      <c r="AU7" s="58">
        <f>CurvaCompactaciónProbetas!K23</f>
        <v>0.11805225653206648</v>
      </c>
      <c r="AV7" s="58">
        <f t="shared" ref="AV7:AV13" si="7">ABS(AH7-AT7)/AH7</f>
        <v>5.340811211549229E-2</v>
      </c>
      <c r="AW7" s="58">
        <f t="shared" ref="AW7:AW13" si="8">ABS(AG7-AU7)/AG7</f>
        <v>1.6231195566112612E-2</v>
      </c>
    </row>
    <row r="8" spans="2:53" ht="40.049999999999997" customHeight="1" x14ac:dyDescent="0.5">
      <c r="B8" s="13">
        <v>3</v>
      </c>
      <c r="C8" s="4" t="s">
        <v>64</v>
      </c>
      <c r="D8" s="14">
        <v>45241</v>
      </c>
      <c r="E8" s="54">
        <v>25</v>
      </c>
      <c r="F8" s="4">
        <v>116.3</v>
      </c>
      <c r="G8" s="4">
        <v>1771.46</v>
      </c>
      <c r="H8" s="4">
        <v>101.2</v>
      </c>
      <c r="I8" s="4">
        <v>116</v>
      </c>
      <c r="J8" s="5">
        <f t="shared" si="4"/>
        <v>934.26508854422082</v>
      </c>
      <c r="M8" s="13">
        <v>3</v>
      </c>
      <c r="N8" s="4" t="s">
        <v>80</v>
      </c>
      <c r="O8" s="64">
        <v>45260</v>
      </c>
      <c r="P8" s="4">
        <f>AVERAGE(116.3,116.7,116.5)</f>
        <v>116.5</v>
      </c>
      <c r="Q8" s="4">
        <v>3584.6</v>
      </c>
      <c r="R8" s="4">
        <v>101</v>
      </c>
      <c r="S8" s="5">
        <f>(P8/10)*(PI()/4*(R8/10)^2)</f>
        <v>933.38013645122362</v>
      </c>
      <c r="U8" s="67">
        <v>68.67</v>
      </c>
      <c r="V8" s="67">
        <v>386.72</v>
      </c>
      <c r="W8" s="67">
        <v>368.69</v>
      </c>
      <c r="X8" s="68">
        <f>(V8-W8)/(W8-U8)</f>
        <v>6.0095993600426743E-2</v>
      </c>
      <c r="Z8" s="13">
        <v>3</v>
      </c>
      <c r="AA8" s="74" t="s">
        <v>114</v>
      </c>
      <c r="AB8" s="64">
        <v>45260</v>
      </c>
      <c r="AC8" s="54">
        <v>56</v>
      </c>
      <c r="AD8" s="54" t="s">
        <v>106</v>
      </c>
      <c r="AE8" s="54" t="str">
        <f>$N$8</f>
        <v>Cilindro #3</v>
      </c>
      <c r="AF8" s="74">
        <v>1.9</v>
      </c>
      <c r="AG8" s="75">
        <v>0.1</v>
      </c>
      <c r="AH8" s="4">
        <f t="shared" si="0"/>
        <v>2.09</v>
      </c>
      <c r="AI8" s="70">
        <f>AH8*$S$8</f>
        <v>1950.7644851830573</v>
      </c>
      <c r="AJ8" s="70">
        <f>AH8*$S$8/(1+AG8)</f>
        <v>1773.4222592573246</v>
      </c>
      <c r="AK8" s="5">
        <f t="shared" si="1"/>
        <v>177.34222592573269</v>
      </c>
      <c r="AL8" s="72">
        <f t="shared" si="5"/>
        <v>1824.5956986450058</v>
      </c>
      <c r="AM8" s="72">
        <f t="shared" si="6"/>
        <v>126.16878653805156</v>
      </c>
      <c r="AN8" s="69">
        <f>(AL8+AM8)/$S$8</f>
        <v>2.09</v>
      </c>
      <c r="AP8" s="59">
        <v>5299.6</v>
      </c>
      <c r="AQ8" s="5">
        <f>Q9</f>
        <v>3577.6</v>
      </c>
      <c r="AR8" s="5">
        <f t="shared" si="2"/>
        <v>1722.0000000000005</v>
      </c>
      <c r="AS8" s="5">
        <f>$S$9</f>
        <v>932.17835945150102</v>
      </c>
      <c r="AT8" s="5">
        <f t="shared" si="3"/>
        <v>1.8472859646873103</v>
      </c>
      <c r="AU8" s="58">
        <f>CurvaCompactaciónProbetas!K24</f>
        <v>9.6678107984795758E-2</v>
      </c>
      <c r="AV8" s="58">
        <f t="shared" si="7"/>
        <v>0.11613111737449261</v>
      </c>
      <c r="AW8" s="58">
        <f t="shared" si="8"/>
        <v>3.3218920152042475E-2</v>
      </c>
    </row>
    <row r="9" spans="2:53" ht="40.049999999999997" customHeight="1" x14ac:dyDescent="0.5">
      <c r="B9" s="13">
        <v>4</v>
      </c>
      <c r="C9" s="4" t="s">
        <v>65</v>
      </c>
      <c r="D9" s="14">
        <v>45241</v>
      </c>
      <c r="E9" s="54">
        <v>25</v>
      </c>
      <c r="F9" s="4">
        <v>119</v>
      </c>
      <c r="G9" s="4">
        <v>1591.26</v>
      </c>
      <c r="H9" s="4">
        <v>102</v>
      </c>
      <c r="I9" s="4">
        <v>118.6</v>
      </c>
      <c r="J9" s="5">
        <f t="shared" si="4"/>
        <v>970.74836004806161</v>
      </c>
      <c r="M9" s="13">
        <v>4</v>
      </c>
      <c r="N9" s="4" t="s">
        <v>79</v>
      </c>
      <c r="O9" s="64">
        <v>45260</v>
      </c>
      <c r="P9" s="4">
        <f>AVERAGE(116.5,116.2,116.4,116.3)</f>
        <v>116.35000000000001</v>
      </c>
      <c r="Q9" s="4">
        <v>3577.6</v>
      </c>
      <c r="R9" s="4">
        <v>101</v>
      </c>
      <c r="S9" s="5">
        <f>(P9/10)*(PI()/4*(R9/10)^2)</f>
        <v>932.17835945150102</v>
      </c>
      <c r="X9" s="33"/>
      <c r="Z9" s="13">
        <v>4</v>
      </c>
      <c r="AA9" s="74" t="s">
        <v>115</v>
      </c>
      <c r="AB9" s="64">
        <v>45260</v>
      </c>
      <c r="AC9" s="54">
        <v>56</v>
      </c>
      <c r="AD9" s="54" t="s">
        <v>106</v>
      </c>
      <c r="AE9" s="54" t="str">
        <f>$N$9</f>
        <v>Cilindro #4</v>
      </c>
      <c r="AF9" s="74">
        <v>1.95</v>
      </c>
      <c r="AG9" s="75">
        <v>0.08</v>
      </c>
      <c r="AH9" s="4">
        <f t="shared" si="0"/>
        <v>2.1059999999999999</v>
      </c>
      <c r="AI9" s="70">
        <f>AH9*$S$9</f>
        <v>1963.1676250048611</v>
      </c>
      <c r="AJ9" s="70">
        <f>AH9*$S$9/(1+AG9)</f>
        <v>1817.7478009304268</v>
      </c>
      <c r="AK9" s="5">
        <f t="shared" si="1"/>
        <v>145.41982407443425</v>
      </c>
      <c r="AL9" s="72">
        <f t="shared" si="5"/>
        <v>1870.2002873179379</v>
      </c>
      <c r="AM9" s="72">
        <f t="shared" si="6"/>
        <v>92.96733768692323</v>
      </c>
      <c r="AN9" s="69">
        <f>(AL9+AM9)/$S$9</f>
        <v>2.1059999999999999</v>
      </c>
      <c r="AP9" s="59">
        <v>5245.2</v>
      </c>
      <c r="AQ9" s="5">
        <f>Q8</f>
        <v>3584.6</v>
      </c>
      <c r="AR9" s="5">
        <f t="shared" si="2"/>
        <v>1660.6</v>
      </c>
      <c r="AS9" s="5">
        <f>S8</f>
        <v>933.38013645122362</v>
      </c>
      <c r="AT9" s="5">
        <f t="shared" si="3"/>
        <v>1.7791250693567542</v>
      </c>
      <c r="AU9" s="58">
        <f>CurvaCompactaciónProbetas!K25</f>
        <v>8.0713111267325499E-2</v>
      </c>
      <c r="AV9" s="58">
        <f t="shared" si="7"/>
        <v>0.1552112681117026</v>
      </c>
      <c r="AW9" s="58">
        <f t="shared" si="8"/>
        <v>8.9138908415687182E-3</v>
      </c>
    </row>
    <row r="10" spans="2:53" ht="40.049999999999997" customHeight="1" x14ac:dyDescent="0.5">
      <c r="B10" s="13">
        <v>5</v>
      </c>
      <c r="C10" s="4" t="s">
        <v>66</v>
      </c>
      <c r="D10" s="14">
        <v>45241</v>
      </c>
      <c r="E10" s="54">
        <v>56</v>
      </c>
      <c r="F10" s="4">
        <v>119.6</v>
      </c>
      <c r="G10" s="4">
        <v>1936.8</v>
      </c>
      <c r="H10" s="4">
        <v>101.8</v>
      </c>
      <c r="I10" s="4">
        <v>118</v>
      </c>
      <c r="J10" s="5">
        <f t="shared" si="4"/>
        <v>966.94523594622001</v>
      </c>
      <c r="K10" s="51"/>
      <c r="X10" s="33"/>
      <c r="Z10" s="13">
        <v>5</v>
      </c>
      <c r="AA10" s="74" t="s">
        <v>116</v>
      </c>
      <c r="AB10" s="64">
        <v>45260</v>
      </c>
      <c r="AC10" s="54">
        <v>25</v>
      </c>
      <c r="AD10" s="54" t="s">
        <v>107</v>
      </c>
      <c r="AE10" s="54" t="str">
        <f>$N$8</f>
        <v>Cilindro #3</v>
      </c>
      <c r="AF10" s="74">
        <v>1.6</v>
      </c>
      <c r="AG10" s="75">
        <v>0.12</v>
      </c>
      <c r="AH10" s="4">
        <f t="shared" si="0"/>
        <v>1.7920000000000003</v>
      </c>
      <c r="AI10" s="70">
        <f>AH10*$S$8</f>
        <v>1672.6172045205931</v>
      </c>
      <c r="AJ10" s="70">
        <f>AH10*$S$8/(1+AG10)</f>
        <v>1493.408218321958</v>
      </c>
      <c r="AK10" s="5">
        <f t="shared" si="1"/>
        <v>179.2089861986351</v>
      </c>
      <c r="AL10" s="72">
        <f t="shared" si="5"/>
        <v>1536.5016409642158</v>
      </c>
      <c r="AM10" s="72">
        <f t="shared" si="6"/>
        <v>136.11556355637731</v>
      </c>
      <c r="AN10" s="69">
        <f>(AL10+AM10)/$S$8</f>
        <v>1.7920000000000005</v>
      </c>
      <c r="AP10" s="59">
        <v>5119.8</v>
      </c>
      <c r="AQ10" s="5">
        <f>Q9</f>
        <v>3577.6</v>
      </c>
      <c r="AR10" s="5">
        <f t="shared" si="2"/>
        <v>1542.2000000000003</v>
      </c>
      <c r="AS10" s="5">
        <f>S9</f>
        <v>932.17835945150102</v>
      </c>
      <c r="AT10" s="5">
        <f t="shared" si="3"/>
        <v>1.6544044220329674</v>
      </c>
      <c r="AU10" s="58">
        <f>CurvaCompactaciónProbetas!K26</f>
        <v>0.11589041095890402</v>
      </c>
      <c r="AV10" s="58">
        <f t="shared" si="7"/>
        <v>7.6783246633388841E-2</v>
      </c>
      <c r="AW10" s="58">
        <f t="shared" si="8"/>
        <v>3.4246575342466425E-2</v>
      </c>
    </row>
    <row r="11" spans="2:53" ht="40.049999999999997" customHeight="1" x14ac:dyDescent="0.5">
      <c r="B11" s="13">
        <v>6</v>
      </c>
      <c r="C11" s="4" t="s">
        <v>67</v>
      </c>
      <c r="D11" s="14">
        <v>45241</v>
      </c>
      <c r="E11" s="54">
        <v>56</v>
      </c>
      <c r="F11" s="4">
        <v>118</v>
      </c>
      <c r="G11" s="4">
        <v>1740.16</v>
      </c>
      <c r="H11" s="4">
        <v>102.3</v>
      </c>
      <c r="I11" s="4">
        <v>117.9</v>
      </c>
      <c r="J11" s="5">
        <f t="shared" si="4"/>
        <v>969.48053538248723</v>
      </c>
      <c r="X11" s="33"/>
      <c r="Z11" s="13">
        <v>6</v>
      </c>
      <c r="AA11" s="74" t="s">
        <v>117</v>
      </c>
      <c r="AB11" s="64">
        <v>45260</v>
      </c>
      <c r="AC11" s="54">
        <v>25</v>
      </c>
      <c r="AD11" s="54" t="s">
        <v>107</v>
      </c>
      <c r="AE11" s="54" t="str">
        <f>$N$9</f>
        <v>Cilindro #4</v>
      </c>
      <c r="AF11" s="74">
        <v>1.75</v>
      </c>
      <c r="AG11" s="75">
        <v>0.14000000000000001</v>
      </c>
      <c r="AH11" s="4">
        <f t="shared" si="0"/>
        <v>1.9950000000000001</v>
      </c>
      <c r="AI11" s="70">
        <f>AH11*$S$9</f>
        <v>1859.6958271057447</v>
      </c>
      <c r="AJ11" s="70">
        <f>AH11*$S$9/(1+AG11)</f>
        <v>1631.3121290401268</v>
      </c>
      <c r="AK11" s="5">
        <f t="shared" si="1"/>
        <v>228.38369806561786</v>
      </c>
      <c r="AL11" s="72">
        <f t="shared" si="5"/>
        <v>1678.3848732340468</v>
      </c>
      <c r="AM11" s="72">
        <f t="shared" si="6"/>
        <v>181.31095387169773</v>
      </c>
      <c r="AN11" s="69">
        <f>(AL11+AM11)/$S$9</f>
        <v>1.9950000000000001</v>
      </c>
      <c r="AP11" s="59">
        <v>5161</v>
      </c>
      <c r="AQ11" s="5">
        <f>Q8</f>
        <v>3584.6</v>
      </c>
      <c r="AR11" s="5">
        <f t="shared" si="2"/>
        <v>1576.4</v>
      </c>
      <c r="AS11" s="5">
        <f>S8</f>
        <v>933.38013645122362</v>
      </c>
      <c r="AT11" s="5">
        <f t="shared" si="3"/>
        <v>1.6889153073190339</v>
      </c>
      <c r="AU11" s="58">
        <f>CurvaCompactaciónProbetas!K27</f>
        <v>0.13460442691211932</v>
      </c>
      <c r="AV11" s="58">
        <f t="shared" si="7"/>
        <v>0.15342591111827877</v>
      </c>
      <c r="AW11" s="58">
        <f t="shared" si="8"/>
        <v>3.8539807770576348E-2</v>
      </c>
    </row>
    <row r="12" spans="2:53" ht="40.049999999999997" customHeight="1" x14ac:dyDescent="0.5">
      <c r="B12" s="13">
        <v>7</v>
      </c>
      <c r="C12" s="4" t="s">
        <v>68</v>
      </c>
      <c r="D12" s="14">
        <v>45241</v>
      </c>
      <c r="E12" s="54">
        <v>56</v>
      </c>
      <c r="F12" s="4">
        <v>116.8</v>
      </c>
      <c r="G12" s="4">
        <v>1903.78</v>
      </c>
      <c r="H12" s="4">
        <v>101.9</v>
      </c>
      <c r="I12" s="4">
        <v>116.7</v>
      </c>
      <c r="J12" s="5">
        <f t="shared" si="4"/>
        <v>952.12756508608084</v>
      </c>
      <c r="X12" s="33"/>
      <c r="Z12" s="13">
        <v>7</v>
      </c>
      <c r="AA12" s="74" t="s">
        <v>118</v>
      </c>
      <c r="AB12" s="64">
        <v>45260</v>
      </c>
      <c r="AC12" s="54">
        <v>25</v>
      </c>
      <c r="AD12" s="54" t="s">
        <v>107</v>
      </c>
      <c r="AE12" s="54" t="str">
        <f>$N$8</f>
        <v>Cilindro #3</v>
      </c>
      <c r="AF12" s="74">
        <v>1.7</v>
      </c>
      <c r="AG12" s="75">
        <v>0.15</v>
      </c>
      <c r="AH12" s="4">
        <f t="shared" si="0"/>
        <v>1.9549999999999998</v>
      </c>
      <c r="AI12" s="70">
        <f>AH12*$S$8</f>
        <v>1824.7581667621421</v>
      </c>
      <c r="AJ12" s="70">
        <f>AH12*$S$8/(1+AG12)</f>
        <v>1586.7462319670801</v>
      </c>
      <c r="AK12" s="5">
        <f t="shared" si="1"/>
        <v>238.01193479506196</v>
      </c>
      <c r="AL12" s="72">
        <f t="shared" si="5"/>
        <v>1632.532993524479</v>
      </c>
      <c r="AM12" s="72">
        <f t="shared" si="6"/>
        <v>192.22517323766306</v>
      </c>
      <c r="AN12" s="69">
        <f>(AL12+AM12)/$S$8</f>
        <v>1.9549999999999998</v>
      </c>
      <c r="AP12" s="59">
        <v>5205.3999999999996</v>
      </c>
      <c r="AQ12" s="5">
        <f>Q9</f>
        <v>3577.6</v>
      </c>
      <c r="AR12" s="5">
        <f t="shared" si="2"/>
        <v>1627.7999999999997</v>
      </c>
      <c r="AS12" s="5">
        <f>S9</f>
        <v>932.17835945150102</v>
      </c>
      <c r="AT12" s="5">
        <f t="shared" si="3"/>
        <v>1.7462323422288053</v>
      </c>
      <c r="AU12" s="58">
        <f>CurvaCompactaciónProbetas!K28</f>
        <v>0.14028029887536533</v>
      </c>
      <c r="AV12" s="58">
        <f t="shared" si="7"/>
        <v>0.10678652571416601</v>
      </c>
      <c r="AW12" s="58">
        <f t="shared" si="8"/>
        <v>6.4798007497564411E-2</v>
      </c>
    </row>
    <row r="13" spans="2:53" ht="40.049999999999997" customHeight="1" x14ac:dyDescent="0.5">
      <c r="B13" s="13">
        <v>8</v>
      </c>
      <c r="C13" s="4" t="s">
        <v>69</v>
      </c>
      <c r="D13" s="14">
        <v>45241</v>
      </c>
      <c r="E13" s="54">
        <v>56</v>
      </c>
      <c r="F13" s="4">
        <v>118</v>
      </c>
      <c r="G13" s="4">
        <v>1839.59</v>
      </c>
      <c r="H13" s="4">
        <v>101.7</v>
      </c>
      <c r="I13" s="4">
        <v>117.5</v>
      </c>
      <c r="J13" s="5">
        <f t="shared" si="4"/>
        <v>956.51702190362096</v>
      </c>
      <c r="R13" s="1">
        <v>20</v>
      </c>
      <c r="X13" s="33"/>
      <c r="Z13" s="13">
        <v>8</v>
      </c>
      <c r="AA13" s="74" t="s">
        <v>119</v>
      </c>
      <c r="AB13" s="64">
        <v>45260</v>
      </c>
      <c r="AC13" s="54">
        <v>25</v>
      </c>
      <c r="AD13" s="54" t="s">
        <v>107</v>
      </c>
      <c r="AE13" s="54" t="str">
        <f>$N$9</f>
        <v>Cilindro #4</v>
      </c>
      <c r="AF13" s="74">
        <v>1.6</v>
      </c>
      <c r="AG13" s="75">
        <v>0.16</v>
      </c>
      <c r="AH13" s="4">
        <f t="shared" si="0"/>
        <v>1.8559999999999999</v>
      </c>
      <c r="AI13" s="70">
        <f>AH13*$S$9</f>
        <v>1730.1230351419858</v>
      </c>
      <c r="AJ13" s="70">
        <f>AH13*$S$9/(1+AG13)</f>
        <v>1491.4853751224016</v>
      </c>
      <c r="AK13" s="5">
        <f t="shared" si="1"/>
        <v>238.63766001958425</v>
      </c>
      <c r="AL13" s="72">
        <f t="shared" si="5"/>
        <v>1534.5233126711285</v>
      </c>
      <c r="AM13" s="72">
        <f t="shared" si="6"/>
        <v>195.59972247085727</v>
      </c>
      <c r="AN13" s="69">
        <f>(AL13+AM13)/$S$9</f>
        <v>1.8559999999999999</v>
      </c>
      <c r="AP13" s="59">
        <v>5245.8</v>
      </c>
      <c r="AQ13" s="5">
        <f>Q8</f>
        <v>3584.6</v>
      </c>
      <c r="AR13" s="5">
        <f t="shared" si="2"/>
        <v>1661.2000000000003</v>
      </c>
      <c r="AS13" s="5">
        <f>S8</f>
        <v>933.38013645122362</v>
      </c>
      <c r="AT13" s="5">
        <f t="shared" si="3"/>
        <v>1.7797678942643869</v>
      </c>
      <c r="AU13" s="58">
        <f>CurvaCompactaciónProbetas!K29</f>
        <v>0.15156950672645753</v>
      </c>
      <c r="AV13" s="58">
        <f t="shared" si="7"/>
        <v>4.1073332831688049E-2</v>
      </c>
      <c r="AW13" s="58">
        <f t="shared" si="8"/>
        <v>5.2690582959640485E-2</v>
      </c>
    </row>
    <row r="14" spans="2:53" ht="40.049999999999997" customHeight="1" x14ac:dyDescent="0.5">
      <c r="B14" s="13"/>
      <c r="C14" s="4"/>
      <c r="D14" s="14"/>
      <c r="E14" s="54"/>
      <c r="F14" s="4"/>
      <c r="G14" s="4"/>
      <c r="H14" s="4"/>
      <c r="I14" s="4"/>
      <c r="J14" s="5"/>
      <c r="R14" s="1">
        <v>20</v>
      </c>
      <c r="X14" s="33"/>
      <c r="Z14" s="95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7"/>
      <c r="AP14" s="78"/>
      <c r="AQ14" s="79"/>
      <c r="AR14" s="79"/>
      <c r="AS14" s="79"/>
      <c r="AT14" s="79"/>
      <c r="AU14" s="80"/>
      <c r="AV14" s="80"/>
      <c r="AW14" s="80"/>
      <c r="AX14" s="83" t="s">
        <v>28</v>
      </c>
      <c r="AY14" s="51"/>
      <c r="AZ14" s="4" t="s">
        <v>141</v>
      </c>
      <c r="BA14" s="4"/>
    </row>
    <row r="15" spans="2:53" ht="40.049999999999997" customHeight="1" x14ac:dyDescent="0.5">
      <c r="B15" s="13">
        <v>9</v>
      </c>
      <c r="C15" s="4" t="s">
        <v>70</v>
      </c>
      <c r="D15" s="14">
        <v>45241</v>
      </c>
      <c r="E15" s="54">
        <v>56</v>
      </c>
      <c r="F15" s="4">
        <v>117.8</v>
      </c>
      <c r="G15" s="4">
        <v>1878.62</v>
      </c>
      <c r="H15" s="4">
        <v>102</v>
      </c>
      <c r="I15" s="4">
        <v>118.1</v>
      </c>
      <c r="J15" s="5">
        <f t="shared" si="4"/>
        <v>963.80276992987251</v>
      </c>
      <c r="R15" s="1">
        <v>20</v>
      </c>
      <c r="X15" s="33"/>
      <c r="Z15" s="13">
        <v>9</v>
      </c>
      <c r="AA15" s="76" t="s">
        <v>126</v>
      </c>
      <c r="AB15" s="64">
        <v>45267</v>
      </c>
      <c r="AC15" s="54">
        <v>56</v>
      </c>
      <c r="AD15" s="54" t="s">
        <v>106</v>
      </c>
      <c r="AE15" s="54" t="str">
        <f>$N$8</f>
        <v>Cilindro #3</v>
      </c>
      <c r="AF15" s="76">
        <v>1.82</v>
      </c>
      <c r="AG15" s="77">
        <v>0.14499999999999999</v>
      </c>
      <c r="AH15" s="4">
        <f>AF15*(1+AG15)</f>
        <v>2.0839000000000003</v>
      </c>
      <c r="AI15" s="70">
        <f>AH15*$S$8</f>
        <v>1945.0708663507053</v>
      </c>
      <c r="AJ15" s="70">
        <f>AH15*$S$8/(1+AG15)</f>
        <v>1698.7518483412273</v>
      </c>
      <c r="AK15" s="5">
        <f>AI15-AJ15</f>
        <v>246.31901800947799</v>
      </c>
      <c r="AL15" s="72">
        <f>AJ15*(1+$X$6)</f>
        <v>1747.7706165967954</v>
      </c>
      <c r="AM15" s="72">
        <f t="shared" ref="AM15:AM20" si="9">AK15-AJ15*$X$6</f>
        <v>197.30024975390972</v>
      </c>
      <c r="AN15" s="69">
        <f>(AL15+AM15)/$S$8</f>
        <v>2.0839000000000003</v>
      </c>
      <c r="AP15" s="59">
        <v>5475</v>
      </c>
      <c r="AQ15" s="5">
        <f>Q8</f>
        <v>3584.6</v>
      </c>
      <c r="AR15" s="84">
        <f t="shared" ref="AR15:AR21" si="10">AP15-AQ15</f>
        <v>1890.4</v>
      </c>
      <c r="AS15" s="5">
        <f t="shared" ref="AS15:AS23" si="11">$S$9</f>
        <v>932.17835945150102</v>
      </c>
      <c r="AT15" s="5">
        <f t="shared" ref="AT15:AT22" si="12">AR15/AS15</f>
        <v>2.0279380880632352</v>
      </c>
      <c r="AU15" s="58">
        <f>CurvaCompactaciónProbetas!K31</f>
        <v>0.1430861723446894</v>
      </c>
      <c r="AV15" s="58">
        <f>ABS(AH15-AT15)/AH15</f>
        <v>2.6854413329221716E-2</v>
      </c>
      <c r="AW15" s="58">
        <f>ABS(AG15-AU15)/AG15</f>
        <v>1.3198811415935107E-2</v>
      </c>
      <c r="AX15" s="85">
        <v>1896.2</v>
      </c>
      <c r="AY15" s="4" t="str">
        <f>AA15</f>
        <v>M4 - 56 - Mod</v>
      </c>
      <c r="AZ15" s="5">
        <f>AR15-AX15</f>
        <v>-5.7999999999999545</v>
      </c>
      <c r="BA15" s="4"/>
    </row>
    <row r="16" spans="2:53" ht="40.049999999999997" customHeight="1" x14ac:dyDescent="0.5">
      <c r="B16" s="13">
        <v>10</v>
      </c>
      <c r="C16" s="4"/>
      <c r="D16" s="16"/>
      <c r="E16" s="15"/>
      <c r="F16" s="4"/>
      <c r="G16" s="4"/>
      <c r="H16" s="4"/>
      <c r="I16" s="3"/>
      <c r="R16" s="1">
        <v>20</v>
      </c>
      <c r="X16" s="33"/>
      <c r="Z16" s="13">
        <v>10</v>
      </c>
      <c r="AA16" s="76" t="s">
        <v>127</v>
      </c>
      <c r="AB16" s="64">
        <v>45267</v>
      </c>
      <c r="AC16" s="54">
        <v>56</v>
      </c>
      <c r="AD16" s="54" t="s">
        <v>106</v>
      </c>
      <c r="AE16" s="54" t="str">
        <f>$N$9</f>
        <v>Cilindro #4</v>
      </c>
      <c r="AF16" s="76">
        <v>1.7649999999999999</v>
      </c>
      <c r="AG16" s="81">
        <v>0.17</v>
      </c>
      <c r="AH16" s="4">
        <f t="shared" ref="AH16:AH20" si="13">AF16*(1+AG16)</f>
        <v>2.0650499999999998</v>
      </c>
      <c r="AI16" s="70">
        <f>AH16*$S$9</f>
        <v>1924.994921185322</v>
      </c>
      <c r="AJ16" s="70">
        <f>AH16*$S$9/(1+AG16)</f>
        <v>1645.2948044318994</v>
      </c>
      <c r="AK16" s="5">
        <f t="shared" ref="AK16:AK20" si="14">AI16-AJ16</f>
        <v>279.70011675342266</v>
      </c>
      <c r="AL16" s="72">
        <f t="shared" ref="AL16:AL20" si="15">AJ16*(1+$X$6)</f>
        <v>1692.7710292903387</v>
      </c>
      <c r="AM16" s="72">
        <f t="shared" si="9"/>
        <v>232.22389189498318</v>
      </c>
      <c r="AN16" s="69">
        <f>(AL16+AM16)/$S$9</f>
        <v>2.0650499999999994</v>
      </c>
      <c r="AP16" s="59">
        <v>5476.4</v>
      </c>
      <c r="AQ16" s="5">
        <f>Q9</f>
        <v>3577.6</v>
      </c>
      <c r="AR16" s="84">
        <f t="shared" si="10"/>
        <v>1898.7999999999997</v>
      </c>
      <c r="AS16" s="5">
        <f t="shared" si="11"/>
        <v>932.17835945150102</v>
      </c>
      <c r="AT16" s="5">
        <f t="shared" si="12"/>
        <v>2.03694923911049</v>
      </c>
      <c r="AU16" s="58">
        <f>CurvaCompactaciónProbetas!K32</f>
        <v>0.17279256442754556</v>
      </c>
      <c r="AV16" s="58">
        <f t="shared" ref="AV16:AV22" si="16">ABS(AH16-AT16)/AH16</f>
        <v>1.3607787167143585E-2</v>
      </c>
      <c r="AW16" s="58">
        <f t="shared" ref="AW16:AW22" si="17">ABS(AG16-AU16)/AG16</f>
        <v>1.6426849573797364E-2</v>
      </c>
      <c r="AX16" s="85">
        <v>1853.2</v>
      </c>
      <c r="AY16" s="4" t="str">
        <f t="shared" ref="AY16:AY23" si="18">AA16</f>
        <v>M5 - 56 - Mod</v>
      </c>
      <c r="AZ16" s="5">
        <f>AR16-AX16</f>
        <v>45.599999999999682</v>
      </c>
      <c r="BA16" s="4" t="s">
        <v>140</v>
      </c>
    </row>
    <row r="17" spans="2:53" ht="40.049999999999997" customHeight="1" x14ac:dyDescent="0.5">
      <c r="B17" s="13">
        <v>11</v>
      </c>
      <c r="C17" s="4"/>
      <c r="D17" s="16"/>
      <c r="E17" s="15"/>
      <c r="F17" s="4"/>
      <c r="G17" s="4"/>
      <c r="H17" s="4"/>
      <c r="I17" s="3"/>
      <c r="R17" s="1">
        <v>20</v>
      </c>
      <c r="X17" s="33"/>
      <c r="Z17" s="13">
        <v>11</v>
      </c>
      <c r="AA17" s="76" t="s">
        <v>128</v>
      </c>
      <c r="AB17" s="64">
        <v>45267</v>
      </c>
      <c r="AC17" s="54">
        <v>56</v>
      </c>
      <c r="AD17" s="54" t="s">
        <v>106</v>
      </c>
      <c r="AE17" s="54" t="str">
        <f>N6</f>
        <v>Cilindro #1</v>
      </c>
      <c r="AF17" s="76">
        <v>1.68</v>
      </c>
      <c r="AG17" s="81">
        <v>0.19</v>
      </c>
      <c r="AH17" s="4">
        <f t="shared" si="13"/>
        <v>1.9991999999999999</v>
      </c>
      <c r="AI17" s="70">
        <f>AH17*$S$8</f>
        <v>1866.0135687932861</v>
      </c>
      <c r="AJ17" s="70">
        <f>AH17*$S$8/(1+AG17)</f>
        <v>1568.0786292380556</v>
      </c>
      <c r="AK17" s="5">
        <f t="shared" si="14"/>
        <v>297.93493955523059</v>
      </c>
      <c r="AL17" s="72">
        <f t="shared" si="15"/>
        <v>1613.3267230124261</v>
      </c>
      <c r="AM17" s="72">
        <f t="shared" si="9"/>
        <v>252.6868457808599</v>
      </c>
      <c r="AN17" s="69">
        <f>(AL17+AM17)/$S$8</f>
        <v>1.9991999999999996</v>
      </c>
      <c r="AP17" s="59">
        <v>5415.8</v>
      </c>
      <c r="AQ17" s="5">
        <v>3579</v>
      </c>
      <c r="AR17" s="84">
        <f t="shared" si="10"/>
        <v>1836.8000000000002</v>
      </c>
      <c r="AS17" s="5">
        <f t="shared" si="11"/>
        <v>932.17835945150102</v>
      </c>
      <c r="AT17" s="5">
        <f t="shared" si="12"/>
        <v>1.9704383623331307</v>
      </c>
      <c r="AU17" s="58">
        <f>CurvaCompactaciónProbetas!K33</f>
        <v>0.1863437537080784</v>
      </c>
      <c r="AV17" s="58">
        <f t="shared" si="16"/>
        <v>1.438657346281969E-2</v>
      </c>
      <c r="AW17" s="58">
        <f t="shared" si="17"/>
        <v>1.9243401536429474E-2</v>
      </c>
      <c r="AX17" s="85">
        <v>1805</v>
      </c>
      <c r="AY17" s="4" t="str">
        <f t="shared" si="18"/>
        <v>M6 - 56 - Mod</v>
      </c>
      <c r="AZ17" s="5">
        <f>AR17-AX17</f>
        <v>31.800000000000182</v>
      </c>
      <c r="BA17" s="4" t="s">
        <v>140</v>
      </c>
    </row>
    <row r="18" spans="2:53" ht="40.049999999999997" customHeight="1" x14ac:dyDescent="0.5">
      <c r="B18" s="13">
        <v>12</v>
      </c>
      <c r="C18" s="4"/>
      <c r="D18" s="16"/>
      <c r="E18" s="15"/>
      <c r="F18" s="4"/>
      <c r="G18" s="4"/>
      <c r="H18" s="4"/>
      <c r="I18" s="3"/>
      <c r="R18" s="1">
        <v>23</v>
      </c>
      <c r="X18" s="33"/>
      <c r="Z18" s="13">
        <v>12</v>
      </c>
      <c r="AA18" s="76" t="s">
        <v>133</v>
      </c>
      <c r="AB18" s="64">
        <v>45267</v>
      </c>
      <c r="AC18" s="54">
        <v>25</v>
      </c>
      <c r="AD18" s="54" t="s">
        <v>107</v>
      </c>
      <c r="AE18" s="54" t="str">
        <f>N7</f>
        <v>Cilindro #2</v>
      </c>
      <c r="AF18" s="76">
        <v>1.65</v>
      </c>
      <c r="AG18" s="77">
        <v>0.17</v>
      </c>
      <c r="AH18" s="4">
        <f t="shared" si="13"/>
        <v>1.9304999999999999</v>
      </c>
      <c r="AI18" s="70">
        <f>AH18*$S$9</f>
        <v>1799.5703229211226</v>
      </c>
      <c r="AJ18" s="70">
        <f>AH18*$S$9/(1+AG18)</f>
        <v>1538.0942930949766</v>
      </c>
      <c r="AK18" s="5">
        <f t="shared" si="14"/>
        <v>261.47602982614603</v>
      </c>
      <c r="AL18" s="72">
        <f t="shared" si="15"/>
        <v>1582.4771661921013</v>
      </c>
      <c r="AM18" s="72">
        <f t="shared" si="9"/>
        <v>217.09315672902133</v>
      </c>
      <c r="AN18" s="69">
        <f>(AL18+AM18)/$S$9</f>
        <v>1.9304999999999999</v>
      </c>
      <c r="AO18" s="82"/>
      <c r="AP18" s="59">
        <v>5323.4</v>
      </c>
      <c r="AQ18" s="5">
        <v>3575.2</v>
      </c>
      <c r="AR18" s="84">
        <f t="shared" si="10"/>
        <v>1748.1999999999998</v>
      </c>
      <c r="AS18" s="5">
        <f t="shared" si="11"/>
        <v>932.17835945150102</v>
      </c>
      <c r="AT18" s="5">
        <f t="shared" si="12"/>
        <v>1.8753921739061294</v>
      </c>
      <c r="AU18" s="58">
        <f>CurvaCompactaciónProbetas!K34</f>
        <v>0.16556028504471754</v>
      </c>
      <c r="AV18" s="58">
        <f t="shared" si="16"/>
        <v>2.854588246250735E-2</v>
      </c>
      <c r="AW18" s="58">
        <f t="shared" si="17"/>
        <v>2.6115970325191029E-2</v>
      </c>
      <c r="AX18" s="85">
        <v>1745.8</v>
      </c>
      <c r="AY18" s="4" t="str">
        <f t="shared" si="18"/>
        <v>M5 - 25 - Est</v>
      </c>
      <c r="AZ18" s="5">
        <f>AR18-AX18</f>
        <v>2.3999999999998636</v>
      </c>
      <c r="BA18" s="4"/>
    </row>
    <row r="19" spans="2:53" ht="40.15" customHeight="1" x14ac:dyDescent="0.5">
      <c r="R19" s="1">
        <v>23</v>
      </c>
      <c r="Z19" s="13">
        <v>13</v>
      </c>
      <c r="AA19" s="76" t="s">
        <v>134</v>
      </c>
      <c r="AB19" s="64">
        <v>45267</v>
      </c>
      <c r="AC19" s="54">
        <v>25</v>
      </c>
      <c r="AD19" s="54" t="s">
        <v>107</v>
      </c>
      <c r="AE19" s="54" t="s">
        <v>139</v>
      </c>
      <c r="AF19" s="76">
        <v>1.63</v>
      </c>
      <c r="AG19" s="77">
        <v>0.2</v>
      </c>
      <c r="AH19" s="4">
        <f t="shared" si="13"/>
        <v>1.9559999999999997</v>
      </c>
      <c r="AI19" s="70">
        <f>AH19*$S$8</f>
        <v>1825.6915468985931</v>
      </c>
      <c r="AJ19" s="70">
        <f>AH19*$S$8/(1+AG19)</f>
        <v>1521.4096224154944</v>
      </c>
      <c r="AK19" s="5">
        <f t="shared" si="14"/>
        <v>304.28192448309869</v>
      </c>
      <c r="AL19" s="72">
        <f t="shared" si="15"/>
        <v>1565.3110467322945</v>
      </c>
      <c r="AM19" s="72">
        <f t="shared" si="9"/>
        <v>260.38050016629859</v>
      </c>
      <c r="AN19" s="69">
        <f>(AL19+AM19)/$S$8</f>
        <v>1.9559999999999997</v>
      </c>
      <c r="AP19" s="59">
        <v>5363.4</v>
      </c>
      <c r="AQ19" s="5"/>
      <c r="AR19" s="84">
        <f t="shared" si="10"/>
        <v>5363.4</v>
      </c>
      <c r="AS19" s="5">
        <f t="shared" si="11"/>
        <v>932.17835945150102</v>
      </c>
      <c r="AT19" s="5">
        <f>AX19/AS19</f>
        <v>1.9187315194191186</v>
      </c>
      <c r="AU19" s="58">
        <f>CurvaCompactaciónProbetas!K35</f>
        <v>0.19470446643487566</v>
      </c>
      <c r="AV19" s="58">
        <f t="shared" si="16"/>
        <v>1.905341542989835E-2</v>
      </c>
      <c r="AW19" s="58">
        <f t="shared" si="17"/>
        <v>2.6477667825621776E-2</v>
      </c>
      <c r="AX19" s="85">
        <v>1788.6</v>
      </c>
      <c r="AY19" s="4" t="str">
        <f t="shared" si="18"/>
        <v>M6 - 25 - Est</v>
      </c>
      <c r="AZ19" s="5"/>
      <c r="BA19" s="4"/>
    </row>
    <row r="20" spans="2:53" ht="40.15" customHeight="1" x14ac:dyDescent="0.5">
      <c r="R20" s="1">
        <v>23</v>
      </c>
      <c r="Z20" s="13">
        <v>14</v>
      </c>
      <c r="AA20" s="76" t="s">
        <v>135</v>
      </c>
      <c r="AB20" s="64">
        <v>45267</v>
      </c>
      <c r="AC20" s="54">
        <v>25</v>
      </c>
      <c r="AD20" s="54" t="s">
        <v>107</v>
      </c>
      <c r="AE20" s="54"/>
      <c r="AF20" s="76">
        <v>1.55</v>
      </c>
      <c r="AG20" s="77">
        <v>0.22</v>
      </c>
      <c r="AH20" s="4">
        <f t="shared" si="13"/>
        <v>1.891</v>
      </c>
      <c r="AI20" s="70">
        <f>AH20*$S$9</f>
        <v>1762.7492777227885</v>
      </c>
      <c r="AJ20" s="70">
        <f>AH20*$S$9/(1+AG20)</f>
        <v>1444.8764571498266</v>
      </c>
      <c r="AK20" s="5">
        <f t="shared" si="14"/>
        <v>317.87282057296193</v>
      </c>
      <c r="AL20" s="72">
        <f t="shared" si="15"/>
        <v>1486.5694591501558</v>
      </c>
      <c r="AM20" s="72">
        <f t="shared" si="9"/>
        <v>276.17981857263266</v>
      </c>
      <c r="AN20" s="69">
        <f>(AL20+AM20)/$S$9</f>
        <v>1.891</v>
      </c>
      <c r="AP20" s="59"/>
      <c r="AQ20" s="5"/>
      <c r="AR20" s="84"/>
      <c r="AS20" s="5"/>
      <c r="AT20" s="5"/>
      <c r="AU20" s="58"/>
      <c r="AV20" s="58"/>
      <c r="AW20" s="58"/>
      <c r="AX20" s="85"/>
      <c r="AY20" s="4" t="str">
        <f t="shared" si="18"/>
        <v>M7 - 25 - Est</v>
      </c>
      <c r="AZ20" s="5">
        <f>AR20-AX20</f>
        <v>0</v>
      </c>
      <c r="BA20" s="4"/>
    </row>
    <row r="21" spans="2:53" ht="40.15" customHeight="1" x14ac:dyDescent="0.5">
      <c r="R21" s="1">
        <v>23</v>
      </c>
      <c r="Z21" s="13">
        <v>15</v>
      </c>
      <c r="AA21" s="76" t="s">
        <v>129</v>
      </c>
      <c r="AB21" s="64">
        <v>45267</v>
      </c>
      <c r="AC21" s="54">
        <v>25</v>
      </c>
      <c r="AD21" s="54" t="s">
        <v>106</v>
      </c>
      <c r="AE21" s="54" t="s">
        <v>136</v>
      </c>
      <c r="AF21" s="76">
        <v>1.75</v>
      </c>
      <c r="AG21" s="77">
        <v>0.14000000000000001</v>
      </c>
      <c r="AH21" s="4">
        <f>AF21*(1+AG21)</f>
        <v>1.9950000000000001</v>
      </c>
      <c r="AI21" s="70">
        <f>AH21*$S$8</f>
        <v>1862.0933722201912</v>
      </c>
      <c r="AJ21" s="70">
        <f>AH21*$S$8/(1+AG21)</f>
        <v>1633.4152387896413</v>
      </c>
      <c r="AK21" s="5">
        <f>AI21-AJ21</f>
        <v>228.67813343054991</v>
      </c>
      <c r="AL21" s="72">
        <f>AJ21*(1+$X$6)</f>
        <v>1680.5486698046107</v>
      </c>
      <c r="AM21" s="72">
        <f t="shared" ref="AM21:AM23" si="19">AK21-AJ21*$X$6</f>
        <v>181.54470241558045</v>
      </c>
      <c r="AN21" s="69">
        <f>(AL21+AM21)/$S$8</f>
        <v>1.9950000000000001</v>
      </c>
      <c r="AP21" s="59">
        <v>5346.8</v>
      </c>
      <c r="AQ21" s="5">
        <v>3573.4</v>
      </c>
      <c r="AR21" s="84">
        <f t="shared" si="10"/>
        <v>1773.4</v>
      </c>
      <c r="AS21" s="5">
        <f t="shared" si="11"/>
        <v>932.17835945150102</v>
      </c>
      <c r="AT21" s="5">
        <f t="shared" si="12"/>
        <v>1.9024256270478952</v>
      </c>
      <c r="AU21" s="58">
        <f>CurvaCompactaciónProbetas!K37</f>
        <v>0.13297332509443671</v>
      </c>
      <c r="AV21" s="58">
        <f t="shared" si="16"/>
        <v>4.6403194462207975E-2</v>
      </c>
      <c r="AW21" s="58">
        <f t="shared" si="17"/>
        <v>5.019053503973786E-2</v>
      </c>
      <c r="AX21" s="85">
        <v>1781.4</v>
      </c>
      <c r="AY21" s="4" t="str">
        <f t="shared" si="18"/>
        <v>M2 - 25 - Mod</v>
      </c>
      <c r="AZ21" s="5">
        <f>AR21-AX21</f>
        <v>-8</v>
      </c>
      <c r="BA21" s="4"/>
    </row>
    <row r="22" spans="2:53" ht="40.15" customHeight="1" x14ac:dyDescent="0.5">
      <c r="R22" s="1">
        <v>23</v>
      </c>
      <c r="Z22" s="13">
        <v>16</v>
      </c>
      <c r="AA22" s="76" t="s">
        <v>130</v>
      </c>
      <c r="AB22" s="64">
        <v>45267</v>
      </c>
      <c r="AC22" s="54">
        <v>25</v>
      </c>
      <c r="AD22" s="54" t="s">
        <v>106</v>
      </c>
      <c r="AE22" s="54" t="s">
        <v>137</v>
      </c>
      <c r="AF22" s="76">
        <v>1.72</v>
      </c>
      <c r="AG22" s="81">
        <v>0.16</v>
      </c>
      <c r="AH22" s="4">
        <f t="shared" ref="AH22:AH23" si="20">AF22*(1+AG22)</f>
        <v>1.9951999999999999</v>
      </c>
      <c r="AI22" s="70">
        <f>AH22*$S$9</f>
        <v>1859.8822627776347</v>
      </c>
      <c r="AJ22" s="70">
        <f>AH22*$S$9/(1+AG22)</f>
        <v>1603.3467782565817</v>
      </c>
      <c r="AK22" s="5">
        <f t="shared" ref="AK22:AK23" si="21">AI22-AJ22</f>
        <v>256.53548452105292</v>
      </c>
      <c r="AL22" s="72">
        <f t="shared" ref="AL22:AL23" si="22">AJ22*(1+$X$6)</f>
        <v>1649.6125611214632</v>
      </c>
      <c r="AM22" s="72">
        <f t="shared" si="19"/>
        <v>210.26970165617141</v>
      </c>
      <c r="AN22" s="69">
        <f>(AL22+AM22)/$S$9</f>
        <v>1.9951999999999999</v>
      </c>
      <c r="AP22" s="59">
        <v>5390</v>
      </c>
      <c r="AQ22" s="5">
        <v>3573</v>
      </c>
      <c r="AR22" s="84">
        <f>AP22-AQ22</f>
        <v>1817</v>
      </c>
      <c r="AS22" s="5">
        <f t="shared" si="11"/>
        <v>932.17835945150102</v>
      </c>
      <c r="AT22" s="5">
        <f t="shared" si="12"/>
        <v>1.9491977920074577</v>
      </c>
      <c r="AU22" s="58">
        <f>CurvaCompactaciónProbetas!K38</f>
        <v>0.15578764142732804</v>
      </c>
      <c r="AV22" s="58">
        <f t="shared" si="16"/>
        <v>2.3056439450953377E-2</v>
      </c>
      <c r="AW22" s="58">
        <f t="shared" si="17"/>
        <v>2.632724107919978E-2</v>
      </c>
      <c r="AX22" s="85">
        <v>1808.4</v>
      </c>
      <c r="AY22" s="4" t="str">
        <f t="shared" si="18"/>
        <v>M3 - 25 - Mod</v>
      </c>
      <c r="AZ22" s="5">
        <f>AR22-AX22</f>
        <v>8.5999999999999091</v>
      </c>
      <c r="BA22" s="4"/>
    </row>
    <row r="23" spans="2:53" ht="40.15" customHeight="1" x14ac:dyDescent="0.5">
      <c r="R23" s="1">
        <v>27</v>
      </c>
      <c r="Z23" s="13">
        <v>17</v>
      </c>
      <c r="AA23" s="76" t="s">
        <v>131</v>
      </c>
      <c r="AB23" s="64">
        <v>45267</v>
      </c>
      <c r="AC23" s="54">
        <v>25</v>
      </c>
      <c r="AD23" s="54" t="s">
        <v>106</v>
      </c>
      <c r="AE23" s="54" t="s">
        <v>138</v>
      </c>
      <c r="AF23" s="76">
        <v>1.66</v>
      </c>
      <c r="AG23" s="81">
        <v>0.18</v>
      </c>
      <c r="AH23" s="4">
        <f t="shared" si="20"/>
        <v>1.9587999999999999</v>
      </c>
      <c r="AI23" s="70">
        <f>AH23*$S$8</f>
        <v>1828.3050112806568</v>
      </c>
      <c r="AJ23" s="70">
        <f>AH23*$S$8/(1+AG23)</f>
        <v>1549.4110265090312</v>
      </c>
      <c r="AK23" s="5">
        <f t="shared" si="21"/>
        <v>278.89398477162558</v>
      </c>
      <c r="AL23" s="72">
        <f t="shared" si="22"/>
        <v>1594.1204525003736</v>
      </c>
      <c r="AM23" s="72">
        <f t="shared" si="19"/>
        <v>234.18455878028311</v>
      </c>
      <c r="AN23" s="69">
        <f>(AL23+AM23)/$S$8</f>
        <v>1.9587999999999999</v>
      </c>
      <c r="AP23" s="59">
        <v>5378.8</v>
      </c>
      <c r="AQ23" s="5">
        <v>3576.8</v>
      </c>
      <c r="AR23" s="84">
        <f>AP23-AQ23</f>
        <v>1802</v>
      </c>
      <c r="AS23" s="5">
        <f t="shared" si="11"/>
        <v>932.17835945150102</v>
      </c>
      <c r="AT23" s="5">
        <f t="shared" ref="AT23" si="23">AR23/AS23</f>
        <v>1.9331064508516449</v>
      </c>
      <c r="AU23" s="58">
        <f>CurvaCompactaciónProbetas!K39</f>
        <v>0.16935064935064942</v>
      </c>
      <c r="AV23" s="58">
        <f t="shared" ref="AV23" si="24">ABS(AH23-AT23)/AH23</f>
        <v>1.3116984453928414E-2</v>
      </c>
      <c r="AW23" s="58">
        <f t="shared" ref="AW23" si="25">ABS(AG23-AU23)/AG23</f>
        <v>5.9163059163058751E-2</v>
      </c>
      <c r="AX23" s="85">
        <v>1746.2</v>
      </c>
      <c r="AY23" s="4" t="str">
        <f t="shared" si="18"/>
        <v>M4 - 25 - Mod</v>
      </c>
      <c r="AZ23" s="5">
        <f>AR23-AX23</f>
        <v>55.799999999999955</v>
      </c>
      <c r="BA23" s="4" t="s">
        <v>140</v>
      </c>
    </row>
    <row r="24" spans="2:53" ht="40.15" customHeight="1" x14ac:dyDescent="0.5">
      <c r="R24" s="1">
        <v>27</v>
      </c>
      <c r="AF24" s="52"/>
    </row>
    <row r="25" spans="2:53" x14ac:dyDescent="0.5">
      <c r="R25" s="1">
        <v>27</v>
      </c>
    </row>
    <row r="26" spans="2:53" x14ac:dyDescent="0.5">
      <c r="R26" s="1">
        <v>27</v>
      </c>
    </row>
  </sheetData>
  <mergeCells count="8">
    <mergeCell ref="AP3:AW3"/>
    <mergeCell ref="F3:H3"/>
    <mergeCell ref="B3:D3"/>
    <mergeCell ref="M3:S3"/>
    <mergeCell ref="U3:X3"/>
    <mergeCell ref="U7:X7"/>
    <mergeCell ref="Z14:AN14"/>
    <mergeCell ref="Z3:AN3"/>
  </mergeCells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2AA3-11F5-450E-BC0A-EF547132C734}">
  <dimension ref="B1:Z49"/>
  <sheetViews>
    <sheetView tabSelected="1" zoomScale="65" zoomScaleNormal="138" workbookViewId="0">
      <selection activeCell="D38" sqref="D38"/>
    </sheetView>
  </sheetViews>
  <sheetFormatPr defaultRowHeight="15.75" x14ac:dyDescent="0.5"/>
  <cols>
    <col min="1" max="1" width="9" style="1"/>
    <col min="2" max="2" width="12.4375" style="1" bestFit="1" customWidth="1"/>
    <col min="3" max="4" width="10.6875" style="1" bestFit="1" customWidth="1"/>
    <col min="5" max="6" width="10.375" style="1" bestFit="1" customWidth="1"/>
    <col min="7" max="8" width="9" style="1"/>
    <col min="9" max="9" width="9.875" style="1" customWidth="1"/>
    <col min="10" max="11" width="9" style="1"/>
    <col min="12" max="12" width="13.3125" style="1" customWidth="1"/>
    <col min="13" max="13" width="11.1875" style="1" customWidth="1"/>
    <col min="14" max="20" width="9" style="1"/>
    <col min="21" max="21" width="45.4375" style="1" customWidth="1"/>
    <col min="22" max="23" width="9" style="1"/>
    <col min="24" max="24" width="10.5625" style="1" bestFit="1" customWidth="1"/>
    <col min="25" max="25" width="13" style="1" bestFit="1" customWidth="1"/>
    <col min="26" max="16384" width="9" style="1"/>
  </cols>
  <sheetData>
    <row r="1" spans="2:26" ht="16.149999999999999" thickBot="1" x14ac:dyDescent="0.55000000000000004"/>
    <row r="2" spans="2:26" ht="16.149999999999999" thickBot="1" x14ac:dyDescent="0.55000000000000004">
      <c r="B2" s="23" t="s">
        <v>26</v>
      </c>
      <c r="C2" s="89" t="s">
        <v>37</v>
      </c>
      <c r="D2" s="90"/>
      <c r="E2" s="90"/>
      <c r="F2" s="90"/>
      <c r="G2" s="90"/>
      <c r="H2" s="90"/>
      <c r="I2" s="90"/>
      <c r="J2" s="90"/>
      <c r="K2" s="90"/>
      <c r="L2" s="99" t="s">
        <v>38</v>
      </c>
      <c r="M2" s="99"/>
    </row>
    <row r="3" spans="2:26" x14ac:dyDescent="0.5"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1</v>
      </c>
      <c r="J3" s="2" t="s">
        <v>1</v>
      </c>
      <c r="K3" s="2" t="s">
        <v>1</v>
      </c>
      <c r="L3" s="2" t="s">
        <v>11</v>
      </c>
      <c r="M3" s="2"/>
      <c r="V3" s="1" t="s">
        <v>61</v>
      </c>
    </row>
    <row r="4" spans="2:26" ht="34.15" customHeight="1" x14ac:dyDescent="0.5">
      <c r="B4" s="24" t="s">
        <v>26</v>
      </c>
      <c r="C4" s="25" t="s">
        <v>35</v>
      </c>
      <c r="D4" s="25" t="s">
        <v>36</v>
      </c>
      <c r="E4" s="25" t="s">
        <v>31</v>
      </c>
      <c r="F4" s="25" t="s">
        <v>32</v>
      </c>
      <c r="G4" s="25" t="s">
        <v>33</v>
      </c>
      <c r="H4" s="25" t="s">
        <v>34</v>
      </c>
      <c r="I4" s="25" t="s">
        <v>29</v>
      </c>
      <c r="J4" s="25" t="s">
        <v>30</v>
      </c>
      <c r="K4" s="25" t="s">
        <v>8</v>
      </c>
      <c r="L4" s="25" t="s">
        <v>9</v>
      </c>
      <c r="M4" s="25" t="s">
        <v>10</v>
      </c>
      <c r="V4" s="8">
        <v>0.11027138440398492</v>
      </c>
      <c r="W4" s="22">
        <v>1.6173539778988528</v>
      </c>
      <c r="Y4" s="55">
        <v>0.10371452420701166</v>
      </c>
      <c r="Z4" s="56">
        <v>1.710351790478795</v>
      </c>
    </row>
    <row r="5" spans="2:26" ht="18.399999999999999" customHeight="1" x14ac:dyDescent="0.5">
      <c r="B5" s="7" t="str">
        <f>ObtenciónProbetas!C6</f>
        <v>Masa 1 - 25</v>
      </c>
      <c r="C5" s="4">
        <v>18.25</v>
      </c>
      <c r="D5" s="4">
        <v>18.28</v>
      </c>
      <c r="E5" s="4">
        <v>33.69</v>
      </c>
      <c r="F5" s="4">
        <v>56.36</v>
      </c>
      <c r="G5" s="4">
        <v>31.02</v>
      </c>
      <c r="H5" s="4"/>
      <c r="I5" s="15">
        <f>(E5-G5)/(G5-C5)</f>
        <v>0.20908379013312436</v>
      </c>
      <c r="J5" s="15"/>
      <c r="K5" s="58">
        <f>I5</f>
        <v>0.20908379013312436</v>
      </c>
      <c r="L5" s="57">
        <f>ObtenciónProbetas!G6/ObtenciónProbetas!J6</f>
        <v>1.9370723890856201</v>
      </c>
      <c r="M5" s="57">
        <f>L5/(1+I5)</f>
        <v>1.6020993787968505</v>
      </c>
      <c r="V5" s="8">
        <v>0.14310051107325358</v>
      </c>
      <c r="W5" s="22">
        <v>1.6860364812581052</v>
      </c>
      <c r="Y5" s="55">
        <v>0.14019988589999999</v>
      </c>
      <c r="Z5" s="56">
        <v>1.8313844420000001</v>
      </c>
    </row>
    <row r="6" spans="2:26" ht="18.399999999999999" customHeight="1" x14ac:dyDescent="0.5">
      <c r="B6" s="7" t="str">
        <f>ObtenciónProbetas!C7</f>
        <v>Masa 2 - 25</v>
      </c>
      <c r="C6" s="4">
        <v>17.2</v>
      </c>
      <c r="D6" s="4">
        <v>16.46</v>
      </c>
      <c r="E6" s="4">
        <v>27.05</v>
      </c>
      <c r="F6" s="4">
        <v>62.86</v>
      </c>
      <c r="G6" s="4">
        <v>25.6</v>
      </c>
      <c r="H6" s="4"/>
      <c r="I6" s="15">
        <f t="shared" ref="I6:I13" si="0">(E6-G6)/(G6-C6)</f>
        <v>0.17261904761904748</v>
      </c>
      <c r="J6" s="15"/>
      <c r="K6" s="58">
        <f t="shared" ref="K6:K13" si="1">I6</f>
        <v>0.17261904761904748</v>
      </c>
      <c r="L6" s="57">
        <f>ObtenciónProbetas!G7/ObtenciónProbetas!J7</f>
        <v>1.9520998867822403</v>
      </c>
      <c r="M6" s="57">
        <f t="shared" ref="M6:M13" si="2">L6/(1+I6)</f>
        <v>1.664734928829525</v>
      </c>
      <c r="V6" s="8">
        <v>0.17013766325450055</v>
      </c>
      <c r="W6" s="22">
        <v>1.7233773211789261</v>
      </c>
      <c r="Y6" s="55">
        <v>0.15280665280665287</v>
      </c>
      <c r="Z6" s="56">
        <v>1.8140007099605862</v>
      </c>
    </row>
    <row r="7" spans="2:26" ht="18.399999999999999" customHeight="1" x14ac:dyDescent="0.5">
      <c r="B7" s="7" t="str">
        <f>ObtenciónProbetas!C8</f>
        <v>Masa3 - 25</v>
      </c>
      <c r="C7" s="4">
        <v>19.3</v>
      </c>
      <c r="D7" s="4">
        <v>16.8</v>
      </c>
      <c r="E7" s="4">
        <v>31.37</v>
      </c>
      <c r="F7" s="4">
        <v>53.78</v>
      </c>
      <c r="G7" s="4">
        <v>29.77</v>
      </c>
      <c r="H7" s="4"/>
      <c r="I7" s="15">
        <f t="shared" si="0"/>
        <v>0.15281757402101256</v>
      </c>
      <c r="J7" s="15"/>
      <c r="K7" s="58">
        <f t="shared" si="1"/>
        <v>0.15281757402101256</v>
      </c>
      <c r="L7" s="57">
        <f>ObtenciónProbetas!G8/ObtenciónProbetas!J8</f>
        <v>1.8960999631917135</v>
      </c>
      <c r="M7" s="57">
        <f t="shared" si="2"/>
        <v>1.6447528263974514</v>
      </c>
      <c r="V7" s="8">
        <v>0.18211382113821126</v>
      </c>
      <c r="W7" s="22">
        <v>1.6921870204093044</v>
      </c>
      <c r="Y7" s="55">
        <v>0.17336268574573463</v>
      </c>
      <c r="Z7" s="56">
        <v>1.737080193694281</v>
      </c>
    </row>
    <row r="8" spans="2:26" ht="18.399999999999999" customHeight="1" x14ac:dyDescent="0.5">
      <c r="B8" s="7" t="str">
        <f>ObtenciónProbetas!C9</f>
        <v>Masa4 - 25</v>
      </c>
      <c r="C8" s="4">
        <v>16.79</v>
      </c>
      <c r="D8" s="4"/>
      <c r="E8" s="4">
        <v>45.11</v>
      </c>
      <c r="F8" s="4"/>
      <c r="G8" s="4">
        <v>42.57</v>
      </c>
      <c r="H8" s="4"/>
      <c r="I8" s="15">
        <f t="shared" si="0"/>
        <v>9.8525989138867301E-2</v>
      </c>
      <c r="J8" s="15"/>
      <c r="K8" s="58">
        <f t="shared" si="1"/>
        <v>9.8525989138867301E-2</v>
      </c>
      <c r="L8" s="57">
        <f>ObtenciónProbetas!G9/ObtenciónProbetas!J9</f>
        <v>1.6392095680915875</v>
      </c>
      <c r="M8" s="57">
        <f t="shared" si="2"/>
        <v>1.492190065868684</v>
      </c>
      <c r="V8" s="8">
        <v>0.21071012805587891</v>
      </c>
      <c r="W8" s="22">
        <v>1.6078985501428078</v>
      </c>
      <c r="Y8" s="55">
        <v>0.18396770472895047</v>
      </c>
      <c r="Z8" s="56">
        <v>1.6533416119077065</v>
      </c>
    </row>
    <row r="9" spans="2:26" ht="18.399999999999999" customHeight="1" x14ac:dyDescent="0.5">
      <c r="B9" s="7" t="str">
        <f>ObtenciónProbetas!C10</f>
        <v>Masa 1 - 56</v>
      </c>
      <c r="C9" s="4">
        <v>18.899999999999999</v>
      </c>
      <c r="D9" s="4">
        <v>18.72</v>
      </c>
      <c r="E9" s="4">
        <v>52.05</v>
      </c>
      <c r="F9" s="4">
        <v>56.68</v>
      </c>
      <c r="G9" s="4">
        <v>47.23</v>
      </c>
      <c r="H9" s="4"/>
      <c r="I9" s="15">
        <f t="shared" si="0"/>
        <v>0.17013766325450055</v>
      </c>
      <c r="J9" s="15"/>
      <c r="K9" s="58">
        <f t="shared" si="1"/>
        <v>0.17013766325450055</v>
      </c>
      <c r="L9" s="57">
        <f>ObtenciónProbetas!G10/ObtenciónProbetas!J10</f>
        <v>2.0030089895470788</v>
      </c>
      <c r="M9" s="57">
        <f t="shared" si="2"/>
        <v>1.711772086692873</v>
      </c>
      <c r="V9" s="52"/>
    </row>
    <row r="10" spans="2:26" ht="18.399999999999999" customHeight="1" x14ac:dyDescent="0.5">
      <c r="B10" s="7" t="str">
        <f>ObtenciónProbetas!C11</f>
        <v>Masa 2 - 56</v>
      </c>
      <c r="C10" s="4">
        <v>15.26</v>
      </c>
      <c r="D10" s="4">
        <v>15.26</v>
      </c>
      <c r="E10" s="4">
        <v>47.58</v>
      </c>
      <c r="F10" s="4">
        <v>48.57</v>
      </c>
      <c r="G10" s="4">
        <v>44.37</v>
      </c>
      <c r="H10" s="4"/>
      <c r="I10" s="15">
        <f t="shared" si="0"/>
        <v>0.11027138440398492</v>
      </c>
      <c r="J10" s="15"/>
      <c r="K10" s="58">
        <f t="shared" si="1"/>
        <v>0.11027138440398492</v>
      </c>
      <c r="L10" s="57">
        <f>ObtenciónProbetas!G11/ObtenciónProbetas!J11</f>
        <v>1.794940626954886</v>
      </c>
      <c r="M10" s="57">
        <f t="shared" si="2"/>
        <v>1.6166683679039831</v>
      </c>
      <c r="V10" s="52"/>
    </row>
    <row r="11" spans="2:26" ht="18.399999999999999" customHeight="1" x14ac:dyDescent="0.5">
      <c r="B11" s="7" t="str">
        <f>ObtenciónProbetas!C12</f>
        <v>Masa 3 - 56</v>
      </c>
      <c r="C11" s="4">
        <v>18.93</v>
      </c>
      <c r="D11" s="4">
        <v>18.940000000000001</v>
      </c>
      <c r="E11" s="4">
        <v>33.47</v>
      </c>
      <c r="F11" s="4">
        <v>54.45</v>
      </c>
      <c r="G11" s="4">
        <v>31.23</v>
      </c>
      <c r="H11" s="4"/>
      <c r="I11" s="15">
        <f t="shared" si="0"/>
        <v>0.18211382113821126</v>
      </c>
      <c r="J11" s="15"/>
      <c r="K11" s="58">
        <f t="shared" si="1"/>
        <v>0.18211382113821126</v>
      </c>
      <c r="L11" s="57">
        <f>ObtenciónProbetas!G12/ObtenciónProbetas!J12</f>
        <v>1.9995009805517827</v>
      </c>
      <c r="M11" s="57">
        <f t="shared" si="2"/>
        <v>1.6914623150472443</v>
      </c>
      <c r="V11" s="52" t="s">
        <v>125</v>
      </c>
    </row>
    <row r="12" spans="2:26" ht="18.399999999999999" customHeight="1" x14ac:dyDescent="0.5">
      <c r="B12" s="7" t="str">
        <f>ObtenciónProbetas!C13</f>
        <v>Masa 4 - 56</v>
      </c>
      <c r="C12" s="4">
        <v>17.77</v>
      </c>
      <c r="D12" s="4">
        <v>17.78</v>
      </c>
      <c r="E12" s="4">
        <v>37.9</v>
      </c>
      <c r="F12" s="4">
        <v>50.86</v>
      </c>
      <c r="G12" s="4">
        <v>35.380000000000003</v>
      </c>
      <c r="H12" s="4"/>
      <c r="I12" s="15">
        <f t="shared" si="0"/>
        <v>0.14310051107325358</v>
      </c>
      <c r="J12" s="15"/>
      <c r="K12" s="58">
        <f t="shared" si="1"/>
        <v>0.14310051107325358</v>
      </c>
      <c r="L12" s="57">
        <f>ObtenciónProbetas!G13/ObtenciónProbetas!J13</f>
        <v>1.9232172118996098</v>
      </c>
      <c r="M12" s="57">
        <f t="shared" si="2"/>
        <v>1.6824567859688098</v>
      </c>
      <c r="V12" s="76">
        <v>1.65</v>
      </c>
      <c r="W12" s="77">
        <v>0.17</v>
      </c>
    </row>
    <row r="13" spans="2:26" ht="18.399999999999999" customHeight="1" x14ac:dyDescent="0.5">
      <c r="B13" s="7" t="str">
        <f>ObtenciónProbetas!C15</f>
        <v>Masa 5 - 56</v>
      </c>
      <c r="C13" s="4">
        <v>18.7</v>
      </c>
      <c r="D13" s="4">
        <v>18.71</v>
      </c>
      <c r="E13" s="4">
        <v>49.9</v>
      </c>
      <c r="F13" s="4">
        <v>69.81</v>
      </c>
      <c r="G13" s="4">
        <v>44.47</v>
      </c>
      <c r="H13" s="4"/>
      <c r="I13" s="15">
        <f t="shared" si="0"/>
        <v>0.21071012805587891</v>
      </c>
      <c r="J13" s="15"/>
      <c r="K13" s="58">
        <f t="shared" si="1"/>
        <v>0.21071012805587891</v>
      </c>
      <c r="L13" s="57">
        <f>ObtenciónProbetas!G15/ObtenciónProbetas!J15</f>
        <v>1.949174726004046</v>
      </c>
      <c r="M13" s="57">
        <f t="shared" si="2"/>
        <v>1.6099433554206495</v>
      </c>
      <c r="V13" s="76">
        <v>1.55</v>
      </c>
      <c r="W13" s="77">
        <v>0.19</v>
      </c>
    </row>
    <row r="14" spans="2:26" ht="18.399999999999999" customHeight="1" x14ac:dyDescent="0.5">
      <c r="B14" s="7">
        <f>ObtenciónProbetas!C16</f>
        <v>0</v>
      </c>
      <c r="C14" s="3"/>
      <c r="D14" s="3"/>
      <c r="E14" s="3"/>
      <c r="F14" s="3"/>
      <c r="G14" s="3"/>
      <c r="H14" s="3"/>
      <c r="I14" s="6"/>
      <c r="J14" s="6"/>
      <c r="K14" s="8"/>
      <c r="L14" s="22"/>
      <c r="M14" s="22"/>
      <c r="U14" s="63"/>
      <c r="V14" s="76">
        <v>1.5</v>
      </c>
      <c r="W14" s="77">
        <v>0.21</v>
      </c>
    </row>
    <row r="15" spans="2:26" ht="18.399999999999999" customHeight="1" x14ac:dyDescent="0.5">
      <c r="B15" s="7">
        <f>ObtenciónProbetas!C17</f>
        <v>0</v>
      </c>
      <c r="C15" s="3"/>
      <c r="D15" s="3"/>
      <c r="E15" s="3"/>
      <c r="F15" s="3"/>
      <c r="G15" s="3"/>
      <c r="H15" s="3"/>
      <c r="I15" s="6"/>
      <c r="J15" s="6"/>
      <c r="K15" s="8"/>
      <c r="L15" s="22"/>
      <c r="M15" s="22"/>
    </row>
    <row r="16" spans="2:26" ht="18.399999999999999" customHeight="1" x14ac:dyDescent="0.5">
      <c r="B16" s="7">
        <f>ObtenciónProbetas!C18</f>
        <v>0</v>
      </c>
      <c r="C16" s="3"/>
      <c r="D16" s="3"/>
      <c r="E16" s="3"/>
      <c r="F16" s="3"/>
      <c r="G16" s="3"/>
      <c r="H16" s="3"/>
      <c r="I16" s="6"/>
      <c r="J16" s="6"/>
      <c r="K16" s="8"/>
      <c r="L16" s="22"/>
      <c r="M16" s="22"/>
    </row>
    <row r="18" spans="2:25" ht="16.149999999999999" thickBot="1" x14ac:dyDescent="0.55000000000000004"/>
    <row r="19" spans="2:25" ht="16.149999999999999" thickBot="1" x14ac:dyDescent="0.55000000000000004">
      <c r="B19" s="23" t="s">
        <v>26</v>
      </c>
      <c r="C19" s="89" t="s">
        <v>111</v>
      </c>
      <c r="D19" s="90"/>
      <c r="E19" s="90"/>
      <c r="F19" s="90"/>
      <c r="G19" s="90"/>
      <c r="H19" s="90"/>
      <c r="I19" s="90"/>
      <c r="J19" s="90"/>
      <c r="K19" s="90"/>
      <c r="L19" s="99" t="s">
        <v>38</v>
      </c>
      <c r="M19" s="99"/>
    </row>
    <row r="20" spans="2:25" x14ac:dyDescent="0.5"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2" t="s">
        <v>2</v>
      </c>
      <c r="I20" s="2" t="s">
        <v>1</v>
      </c>
      <c r="J20" s="2" t="s">
        <v>1</v>
      </c>
      <c r="K20" s="2" t="s">
        <v>1</v>
      </c>
      <c r="L20" s="2" t="s">
        <v>11</v>
      </c>
      <c r="M20" s="2"/>
    </row>
    <row r="21" spans="2:25" ht="31.5" x14ac:dyDescent="0.5">
      <c r="B21" s="24" t="s">
        <v>26</v>
      </c>
      <c r="C21" s="25" t="s">
        <v>35</v>
      </c>
      <c r="D21" s="25" t="s">
        <v>36</v>
      </c>
      <c r="E21" s="25" t="s">
        <v>31</v>
      </c>
      <c r="F21" s="25" t="s">
        <v>32</v>
      </c>
      <c r="G21" s="25" t="s">
        <v>33</v>
      </c>
      <c r="H21" s="25" t="s">
        <v>34</v>
      </c>
      <c r="I21" s="25" t="s">
        <v>29</v>
      </c>
      <c r="J21" s="25" t="s">
        <v>30</v>
      </c>
      <c r="K21" s="25" t="s">
        <v>8</v>
      </c>
      <c r="L21" s="25" t="s">
        <v>9</v>
      </c>
      <c r="M21" s="25" t="s">
        <v>10</v>
      </c>
    </row>
    <row r="22" spans="2:25" x14ac:dyDescent="0.5">
      <c r="B22" s="7" t="str">
        <f>ObtenciónProbetas!AA6</f>
        <v>M1 - 25 - Mod</v>
      </c>
      <c r="C22" s="4">
        <v>17.600000000000001</v>
      </c>
      <c r="D22" s="4"/>
      <c r="E22" s="4">
        <v>62.74</v>
      </c>
      <c r="F22" s="4"/>
      <c r="G22" s="4">
        <v>57.96</v>
      </c>
      <c r="H22" s="4"/>
      <c r="I22" s="15">
        <f>(E22-G22)/(G22-C22)</f>
        <v>0.11843409316154611</v>
      </c>
      <c r="J22" s="15"/>
      <c r="K22" s="58">
        <f>I22</f>
        <v>0.11843409316154611</v>
      </c>
      <c r="L22" s="57">
        <f>ObtenciónProbetas!AT6</f>
        <v>1.6698349454453147</v>
      </c>
      <c r="M22" s="57">
        <f>L22/(1+K22)</f>
        <v>1.4930114842306801</v>
      </c>
    </row>
    <row r="23" spans="2:25" x14ac:dyDescent="0.5">
      <c r="B23" s="7" t="str">
        <f>ObtenciónProbetas!AA7</f>
        <v>M1 - 56 - Mod</v>
      </c>
      <c r="C23" s="4">
        <v>17.350000000000001</v>
      </c>
      <c r="D23" s="4"/>
      <c r="E23" s="4">
        <v>64.42</v>
      </c>
      <c r="F23" s="4"/>
      <c r="G23" s="4">
        <v>59.45</v>
      </c>
      <c r="H23" s="4"/>
      <c r="I23" s="15">
        <f t="shared" ref="I23:I28" si="3">(E23-G23)/(G23-C23)</f>
        <v>0.11805225653206648</v>
      </c>
      <c r="J23" s="15"/>
      <c r="K23" s="58">
        <f>I23</f>
        <v>0.11805225653206648</v>
      </c>
      <c r="L23" s="57">
        <f>ObtenciónProbetas!AT7</f>
        <v>1.9719402208410066</v>
      </c>
      <c r="M23" s="57">
        <f t="shared" ref="M23:M29" si="4">L23/(1+K23)</f>
        <v>1.763728134637909</v>
      </c>
    </row>
    <row r="24" spans="2:25" x14ac:dyDescent="0.5">
      <c r="B24" s="7" t="str">
        <f>ObtenciónProbetas!AA8</f>
        <v>M2 - 56 - Mod</v>
      </c>
      <c r="C24" s="4">
        <v>17.77</v>
      </c>
      <c r="D24" s="4">
        <v>18.989999999999998</v>
      </c>
      <c r="E24" s="4">
        <v>54.8</v>
      </c>
      <c r="F24" s="4">
        <v>83.62</v>
      </c>
      <c r="G24" s="4">
        <v>51.56</v>
      </c>
      <c r="H24" s="4">
        <v>77.88</v>
      </c>
      <c r="I24" s="15">
        <f t="shared" si="3"/>
        <v>9.5886356910328333E-2</v>
      </c>
      <c r="J24" s="15">
        <f t="shared" ref="J24:J29" si="5">(F24-H24)/(H24-D24)</f>
        <v>9.7469859059263184E-2</v>
      </c>
      <c r="K24" s="58">
        <f>AVERAGE(I24:J24)</f>
        <v>9.6678107984795758E-2</v>
      </c>
      <c r="L24" s="57">
        <f>ObtenciónProbetas!AT8</f>
        <v>1.8472859646873103</v>
      </c>
      <c r="M24" s="57">
        <f t="shared" si="4"/>
        <v>1.6844377135254356</v>
      </c>
    </row>
    <row r="25" spans="2:25" x14ac:dyDescent="0.5">
      <c r="B25" s="7" t="str">
        <f>ObtenciónProbetas!AA9</f>
        <v>M3 - 56 - Mod</v>
      </c>
      <c r="C25" s="4">
        <v>16.579999999999998</v>
      </c>
      <c r="D25" s="4">
        <v>18.86</v>
      </c>
      <c r="E25" s="4">
        <v>61.31</v>
      </c>
      <c r="F25" s="4">
        <v>87.19</v>
      </c>
      <c r="G25" s="4">
        <v>58</v>
      </c>
      <c r="H25" s="4">
        <v>82.04</v>
      </c>
      <c r="I25" s="15">
        <f t="shared" si="3"/>
        <v>7.991308546595853E-2</v>
      </c>
      <c r="J25" s="15">
        <f t="shared" si="5"/>
        <v>8.1513137068692482E-2</v>
      </c>
      <c r="K25" s="58">
        <f>AVERAGE(I25:J25)</f>
        <v>8.0713111267325499E-2</v>
      </c>
      <c r="L25" s="57">
        <f>ObtenciónProbetas!AT9</f>
        <v>1.7791250693567542</v>
      </c>
      <c r="M25" s="57">
        <f t="shared" si="4"/>
        <v>1.6462510270375257</v>
      </c>
    </row>
    <row r="26" spans="2:25" x14ac:dyDescent="0.5">
      <c r="B26" s="7" t="str">
        <f>ObtenciónProbetas!AA10</f>
        <v>M1 - 25 - Est</v>
      </c>
      <c r="C26" s="4">
        <v>16.88</v>
      </c>
      <c r="D26" s="4"/>
      <c r="E26" s="4">
        <v>57.61</v>
      </c>
      <c r="F26" s="4"/>
      <c r="G26" s="4">
        <v>53.38</v>
      </c>
      <c r="H26" s="4"/>
      <c r="I26" s="15">
        <f t="shared" si="3"/>
        <v>0.11589041095890402</v>
      </c>
      <c r="J26" s="15"/>
      <c r="K26" s="58">
        <f>I26</f>
        <v>0.11589041095890402</v>
      </c>
      <c r="L26" s="57">
        <f>ObtenciónProbetas!AT10</f>
        <v>1.6544044220329674</v>
      </c>
      <c r="M26" s="57">
        <f t="shared" si="4"/>
        <v>1.4825868255389962</v>
      </c>
      <c r="X26" s="98" t="s">
        <v>144</v>
      </c>
      <c r="Y26" s="98"/>
    </row>
    <row r="27" spans="2:25" x14ac:dyDescent="0.5">
      <c r="B27" s="7" t="str">
        <f>ObtenciónProbetas!AA11</f>
        <v>M2 - 25 - Est</v>
      </c>
      <c r="C27" s="4">
        <v>16.61</v>
      </c>
      <c r="D27" s="4">
        <v>19.07</v>
      </c>
      <c r="E27" s="4">
        <v>59.45</v>
      </c>
      <c r="F27" s="4">
        <v>70.900000000000006</v>
      </c>
      <c r="G27" s="4">
        <v>54.41</v>
      </c>
      <c r="H27" s="4">
        <v>64.7</v>
      </c>
      <c r="I27" s="15">
        <f t="shared" si="3"/>
        <v>0.1333333333333335</v>
      </c>
      <c r="J27" s="15">
        <f t="shared" si="5"/>
        <v>0.13587552049090515</v>
      </c>
      <c r="K27" s="58">
        <f>AVERAGE(I27:J27)</f>
        <v>0.13460442691211932</v>
      </c>
      <c r="L27" s="57">
        <f>ObtenciónProbetas!AT11</f>
        <v>1.6889153073190339</v>
      </c>
      <c r="M27" s="57">
        <f t="shared" si="4"/>
        <v>1.4885499009690084</v>
      </c>
      <c r="X27" s="7" t="s">
        <v>142</v>
      </c>
      <c r="Y27" s="7" t="s">
        <v>143</v>
      </c>
    </row>
    <row r="28" spans="2:25" x14ac:dyDescent="0.5">
      <c r="B28" s="7" t="str">
        <f>ObtenciónProbetas!AA12</f>
        <v>M3 - 25 - Est</v>
      </c>
      <c r="C28" s="4">
        <v>17.88</v>
      </c>
      <c r="D28" s="4">
        <v>17.739999999999998</v>
      </c>
      <c r="E28" s="4">
        <v>65.75</v>
      </c>
      <c r="F28" s="4">
        <v>68.790000000000006</v>
      </c>
      <c r="G28" s="4">
        <v>59.87</v>
      </c>
      <c r="H28" s="4">
        <v>62.5</v>
      </c>
      <c r="I28" s="15">
        <f t="shared" si="3"/>
        <v>0.14003334127173145</v>
      </c>
      <c r="J28" s="15">
        <f t="shared" si="5"/>
        <v>0.14052725647899922</v>
      </c>
      <c r="K28" s="58">
        <f>AVERAGE(I28:J28)</f>
        <v>0.14028029887536533</v>
      </c>
      <c r="L28" s="57">
        <f>ObtenciónProbetas!AT12</f>
        <v>1.7462323422288053</v>
      </c>
      <c r="M28" s="57">
        <f t="shared" si="4"/>
        <v>1.5314062199891358</v>
      </c>
      <c r="X28" s="86">
        <v>8.0713111267325499E-2</v>
      </c>
      <c r="Y28" s="3">
        <v>1.6462510270375257</v>
      </c>
    </row>
    <row r="29" spans="2:25" x14ac:dyDescent="0.5">
      <c r="B29" s="7" t="str">
        <f>ObtenciónProbetas!AA13</f>
        <v>M4 - 25 - Est</v>
      </c>
      <c r="C29" s="4">
        <v>18.600000000000001</v>
      </c>
      <c r="D29" s="4">
        <v>17.11</v>
      </c>
      <c r="E29" s="4"/>
      <c r="F29" s="4">
        <v>42.79</v>
      </c>
      <c r="G29" s="4">
        <v>73.56</v>
      </c>
      <c r="H29" s="4">
        <v>39.409999999999997</v>
      </c>
      <c r="I29" s="15"/>
      <c r="J29" s="15">
        <f t="shared" si="5"/>
        <v>0.15156950672645753</v>
      </c>
      <c r="K29" s="58">
        <f>J29</f>
        <v>0.15156950672645753</v>
      </c>
      <c r="L29" s="57">
        <f>ObtenciónProbetas!AT13</f>
        <v>1.7797678942643869</v>
      </c>
      <c r="M29" s="57">
        <f t="shared" si="4"/>
        <v>1.5455149549102736</v>
      </c>
      <c r="X29" s="86">
        <v>9.6678107984795758E-2</v>
      </c>
      <c r="Y29" s="3">
        <v>1.6844377135254356</v>
      </c>
    </row>
    <row r="30" spans="2:25" x14ac:dyDescent="0.5">
      <c r="B30" s="7"/>
      <c r="C30" s="4"/>
      <c r="D30" s="4"/>
      <c r="E30" s="4"/>
      <c r="F30" s="4"/>
      <c r="G30" s="4"/>
      <c r="H30" s="4"/>
      <c r="I30" s="15"/>
      <c r="J30" s="15"/>
      <c r="K30" s="58"/>
      <c r="L30" s="57"/>
      <c r="M30" s="57"/>
      <c r="X30" s="86">
        <v>0.11805225653206648</v>
      </c>
      <c r="Y30" s="3">
        <v>1.763728134637909</v>
      </c>
    </row>
    <row r="31" spans="2:25" x14ac:dyDescent="0.5">
      <c r="B31" s="7" t="str">
        <f>ObtenciónProbetas!AA15</f>
        <v>M4 - 56 - Mod</v>
      </c>
      <c r="C31" s="4">
        <v>17.73</v>
      </c>
      <c r="D31" s="4">
        <v>18.95</v>
      </c>
      <c r="E31" s="4">
        <v>46.25</v>
      </c>
      <c r="F31" s="4">
        <v>40.090000000000003</v>
      </c>
      <c r="G31" s="4">
        <v>42.68</v>
      </c>
      <c r="H31" s="4">
        <v>37.5</v>
      </c>
      <c r="I31" s="15">
        <f>(E31-G31)/(G31-C31)</f>
        <v>0.1430861723446894</v>
      </c>
      <c r="J31" s="15">
        <f t="shared" ref="I31:J34" si="6">(F31-H31)/(H31-D31)</f>
        <v>0.13962264150943415</v>
      </c>
      <c r="K31" s="58">
        <f>I31</f>
        <v>0.1430861723446894</v>
      </c>
      <c r="L31" s="57">
        <f>ObtenciónProbetas!AT15</f>
        <v>2.0279380880632352</v>
      </c>
      <c r="M31" s="57">
        <f>L31/(1+K31)</f>
        <v>1.7740902979375075</v>
      </c>
      <c r="X31" s="86">
        <v>0.1430861723446894</v>
      </c>
      <c r="Y31" s="3">
        <v>1.7740902979375075</v>
      </c>
    </row>
    <row r="32" spans="2:25" x14ac:dyDescent="0.5">
      <c r="B32" s="7" t="str">
        <f>ObtenciónProbetas!AA16</f>
        <v>M5 - 56 - Mod</v>
      </c>
      <c r="C32" s="4">
        <v>16.690000000000001</v>
      </c>
      <c r="D32" s="4">
        <v>17.47</v>
      </c>
      <c r="E32" s="4">
        <v>44.45</v>
      </c>
      <c r="F32" s="4">
        <v>44.85</v>
      </c>
      <c r="G32" s="4">
        <v>40.36</v>
      </c>
      <c r="H32" s="4">
        <v>41.05</v>
      </c>
      <c r="I32" s="15">
        <f t="shared" si="6"/>
        <v>0.17279256442754556</v>
      </c>
      <c r="J32" s="15">
        <f t="shared" si="6"/>
        <v>0.16115351993214608</v>
      </c>
      <c r="K32" s="58">
        <f>I32</f>
        <v>0.17279256442754556</v>
      </c>
      <c r="L32" s="57">
        <f>ObtenciónProbetas!AT16</f>
        <v>2.03694923911049</v>
      </c>
      <c r="M32" s="57">
        <f t="shared" ref="M32:M38" si="7">L32/(1+K32)</f>
        <v>1.7368367611579714</v>
      </c>
      <c r="X32" s="86">
        <v>0.17279256442754556</v>
      </c>
      <c r="Y32" s="3">
        <v>1.7368367611579714</v>
      </c>
    </row>
    <row r="33" spans="2:25" x14ac:dyDescent="0.5">
      <c r="B33" s="7" t="str">
        <f>ObtenciónProbetas!AA17</f>
        <v>M6 - 56 - Mod</v>
      </c>
      <c r="C33" s="4">
        <v>17.77</v>
      </c>
      <c r="D33" s="4">
        <v>19.11</v>
      </c>
      <c r="E33" s="4">
        <v>51.07</v>
      </c>
      <c r="F33" s="4">
        <v>47.32</v>
      </c>
      <c r="G33" s="4">
        <v>45.85</v>
      </c>
      <c r="H33" s="4">
        <v>42.88</v>
      </c>
      <c r="I33" s="15">
        <f t="shared" ref="I33:J39" si="8">(E33-G33)/(G33-C33)</f>
        <v>0.18589743589743585</v>
      </c>
      <c r="J33" s="15">
        <f t="shared" si="6"/>
        <v>0.18679007151872096</v>
      </c>
      <c r="K33" s="58">
        <f>AVERAGE(I33:J33)</f>
        <v>0.1863437537080784</v>
      </c>
      <c r="L33" s="57">
        <f>ObtenciónProbetas!AT17</f>
        <v>1.9704383623331307</v>
      </c>
      <c r="M33" s="57">
        <f t="shared" si="7"/>
        <v>1.6609337354154379</v>
      </c>
      <c r="X33" s="86">
        <v>0.1863437537080784</v>
      </c>
      <c r="Y33" s="3">
        <v>1.6609337354154379</v>
      </c>
    </row>
    <row r="34" spans="2:25" x14ac:dyDescent="0.5">
      <c r="B34" s="7" t="str">
        <f>ObtenciónProbetas!AA18</f>
        <v>M5 - 25 - Est</v>
      </c>
      <c r="C34" s="4">
        <v>19.43</v>
      </c>
      <c r="D34" s="4">
        <v>18.18</v>
      </c>
      <c r="E34" s="4">
        <v>53.05</v>
      </c>
      <c r="F34" s="4">
        <v>52.82</v>
      </c>
      <c r="G34" s="4">
        <v>48.13</v>
      </c>
      <c r="H34" s="4">
        <v>48.05</v>
      </c>
      <c r="I34" s="15">
        <f t="shared" si="8"/>
        <v>0.17142857142857124</v>
      </c>
      <c r="J34" s="15">
        <f t="shared" si="6"/>
        <v>0.15969199866086387</v>
      </c>
      <c r="K34" s="58">
        <f>AVERAGE(I34:J34)</f>
        <v>0.16556028504471754</v>
      </c>
      <c r="L34" s="57">
        <f>ObtenciónProbetas!AT18</f>
        <v>1.8753921739061294</v>
      </c>
      <c r="M34" s="57">
        <f>L34/(1+K34)</f>
        <v>1.6090048691339709</v>
      </c>
      <c r="X34" s="52"/>
    </row>
    <row r="35" spans="2:25" x14ac:dyDescent="0.5">
      <c r="B35" s="7" t="str">
        <f>ObtenciónProbetas!AA19</f>
        <v>M6 - 25 - Est</v>
      </c>
      <c r="C35" s="4">
        <v>17.23</v>
      </c>
      <c r="D35" s="4"/>
      <c r="E35" s="4">
        <v>61.9</v>
      </c>
      <c r="F35" s="4"/>
      <c r="G35" s="4">
        <v>54.62</v>
      </c>
      <c r="H35" s="4"/>
      <c r="I35" s="15">
        <f t="shared" si="8"/>
        <v>0.19470446643487566</v>
      </c>
      <c r="J35" s="15"/>
      <c r="K35" s="58">
        <f>I35</f>
        <v>0.19470446643487566</v>
      </c>
      <c r="L35" s="57">
        <f>ObtenciónProbetas!AT19</f>
        <v>1.9187315194191186</v>
      </c>
      <c r="M35" s="57">
        <f>L35/(1+K35)</f>
        <v>1.6060302554528956</v>
      </c>
      <c r="X35" s="98" t="s">
        <v>145</v>
      </c>
      <c r="Y35" s="98"/>
    </row>
    <row r="36" spans="2:25" x14ac:dyDescent="0.5">
      <c r="B36" s="7"/>
      <c r="C36" s="4"/>
      <c r="D36" s="4"/>
      <c r="E36" s="4"/>
      <c r="F36" s="4"/>
      <c r="G36" s="4"/>
      <c r="H36" s="4"/>
      <c r="I36" s="15"/>
      <c r="J36" s="15"/>
      <c r="K36" s="58"/>
      <c r="L36" s="57"/>
      <c r="M36" s="57"/>
      <c r="X36" s="7" t="s">
        <v>142</v>
      </c>
      <c r="Y36" s="7" t="s">
        <v>143</v>
      </c>
    </row>
    <row r="37" spans="2:25" x14ac:dyDescent="0.5">
      <c r="B37" s="7" t="str">
        <f>ObtenciónProbetas!AA21</f>
        <v>M2 - 25 - Mod</v>
      </c>
      <c r="C37" s="4">
        <v>18.46</v>
      </c>
      <c r="D37" s="4">
        <v>18.91</v>
      </c>
      <c r="E37" s="4">
        <v>57.48</v>
      </c>
      <c r="F37" s="4">
        <v>52.29</v>
      </c>
      <c r="G37" s="4">
        <v>52.81</v>
      </c>
      <c r="H37" s="4">
        <v>48.45</v>
      </c>
      <c r="I37" s="15">
        <f t="shared" si="8"/>
        <v>0.13595342066957772</v>
      </c>
      <c r="J37" s="15">
        <f t="shared" ref="J37" si="9">(F37-H37)/(H37-D37)</f>
        <v>0.12999322951929573</v>
      </c>
      <c r="K37" s="58">
        <f>AVERAGE(I37:J37)</f>
        <v>0.13297332509443671</v>
      </c>
      <c r="L37" s="57">
        <f>ObtenciónProbetas!AT21</f>
        <v>1.9024256270478952</v>
      </c>
      <c r="M37" s="57">
        <f t="shared" si="7"/>
        <v>1.6791442348294672</v>
      </c>
      <c r="X37" s="86">
        <v>0.11843409316154611</v>
      </c>
      <c r="Y37" s="3">
        <v>1.6584291622044005</v>
      </c>
    </row>
    <row r="38" spans="2:25" x14ac:dyDescent="0.5">
      <c r="B38" s="7" t="str">
        <f>ObtenciónProbetas!AA22</f>
        <v>M3 - 25 - Mod</v>
      </c>
      <c r="C38" s="4">
        <v>18.82</v>
      </c>
      <c r="D38" s="4"/>
      <c r="E38" s="4">
        <v>58.66</v>
      </c>
      <c r="F38" s="4"/>
      <c r="G38" s="4">
        <v>53.29</v>
      </c>
      <c r="H38" s="4"/>
      <c r="I38" s="15">
        <f t="shared" si="8"/>
        <v>0.15578764142732804</v>
      </c>
      <c r="J38" s="15"/>
      <c r="K38" s="58">
        <f>I38</f>
        <v>0.15578764142732804</v>
      </c>
      <c r="L38" s="57">
        <f>ObtenciónProbetas!AT22</f>
        <v>1.9491977920074577</v>
      </c>
      <c r="M38" s="57">
        <f t="shared" si="7"/>
        <v>1.6864670655245249</v>
      </c>
      <c r="X38" s="86">
        <v>0.13297332509443671</v>
      </c>
      <c r="Y38" s="3">
        <v>1.6791442348294672</v>
      </c>
    </row>
    <row r="39" spans="2:25" x14ac:dyDescent="0.5">
      <c r="B39" s="7" t="str">
        <f>ObtenciónProbetas!AA23</f>
        <v>M4 - 25 - Mod</v>
      </c>
      <c r="C39" s="4">
        <v>18.18</v>
      </c>
      <c r="D39" s="4">
        <v>19.11</v>
      </c>
      <c r="E39" s="4">
        <v>63.2</v>
      </c>
      <c r="F39" s="4">
        <v>56.12</v>
      </c>
      <c r="G39" s="4">
        <v>56.68</v>
      </c>
      <c r="H39" s="4">
        <v>50.84</v>
      </c>
      <c r="I39" s="15">
        <f t="shared" si="8"/>
        <v>0.16935064935064942</v>
      </c>
      <c r="J39" s="15">
        <f t="shared" si="8"/>
        <v>0.16640403403718856</v>
      </c>
      <c r="K39" s="58">
        <f>I39</f>
        <v>0.16935064935064942</v>
      </c>
      <c r="L39" s="57">
        <f>ObtenciónProbetas!AT23</f>
        <v>1.9331064508516449</v>
      </c>
      <c r="M39" s="57">
        <f t="shared" ref="M39" si="10">L39/(1+K39)</f>
        <v>1.6531452322920552</v>
      </c>
      <c r="X39" s="86">
        <v>0.15578764142732804</v>
      </c>
      <c r="Y39" s="3">
        <v>1.6864670655245249</v>
      </c>
    </row>
    <row r="40" spans="2:25" x14ac:dyDescent="0.5">
      <c r="X40" s="86">
        <v>0.16935064935064942</v>
      </c>
      <c r="Y40" s="3">
        <v>1.6531452322920552</v>
      </c>
    </row>
    <row r="42" spans="2:25" x14ac:dyDescent="0.5">
      <c r="X42" s="98" t="s">
        <v>146</v>
      </c>
      <c r="Y42" s="98"/>
    </row>
    <row r="43" spans="2:25" x14ac:dyDescent="0.5">
      <c r="X43" s="7" t="s">
        <v>142</v>
      </c>
      <c r="Y43" s="7" t="s">
        <v>143</v>
      </c>
    </row>
    <row r="44" spans="2:25" x14ac:dyDescent="0.5">
      <c r="X44" s="87">
        <v>0.11589041095890402</v>
      </c>
      <c r="Y44" s="3">
        <v>1.4825868255389962</v>
      </c>
    </row>
    <row r="45" spans="2:25" x14ac:dyDescent="0.5">
      <c r="X45" s="87">
        <v>0.13460442691211932</v>
      </c>
      <c r="Y45" s="3">
        <v>1.4885499009690084</v>
      </c>
    </row>
    <row r="46" spans="2:25" x14ac:dyDescent="0.5">
      <c r="X46" s="87">
        <v>0.14028029887536533</v>
      </c>
      <c r="Y46" s="3">
        <v>1.5314062199891358</v>
      </c>
    </row>
    <row r="47" spans="2:25" x14ac:dyDescent="0.5">
      <c r="X47" s="87">
        <v>0.15156950672645753</v>
      </c>
      <c r="Y47" s="3">
        <v>1.5455149549102736</v>
      </c>
    </row>
    <row r="48" spans="2:25" x14ac:dyDescent="0.5">
      <c r="X48" s="87">
        <v>0.16556028504471754</v>
      </c>
      <c r="Y48" s="3">
        <v>1.6090048691339709</v>
      </c>
    </row>
    <row r="49" spans="24:25" x14ac:dyDescent="0.5">
      <c r="X49" s="87">
        <v>0.19470446643487566</v>
      </c>
      <c r="Y49" s="3">
        <v>1.6060302554528956</v>
      </c>
    </row>
  </sheetData>
  <sortState xmlns:xlrd2="http://schemas.microsoft.com/office/spreadsheetml/2017/richdata2" ref="V4:W8">
    <sortCondition ref="V4:V8"/>
  </sortState>
  <mergeCells count="7">
    <mergeCell ref="X35:Y35"/>
    <mergeCell ref="X42:Y42"/>
    <mergeCell ref="C2:K2"/>
    <mergeCell ref="L2:M2"/>
    <mergeCell ref="C19:K19"/>
    <mergeCell ref="L19:M19"/>
    <mergeCell ref="X26:Y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8340-9291-4088-AB40-C36370AC0EB7}">
  <dimension ref="B2:AC25"/>
  <sheetViews>
    <sheetView zoomScale="71" workbookViewId="0">
      <selection activeCell="D8" sqref="D8"/>
    </sheetView>
  </sheetViews>
  <sheetFormatPr defaultRowHeight="15.75" x14ac:dyDescent="0.5"/>
  <cols>
    <col min="1" max="2" width="9" style="1"/>
    <col min="3" max="3" width="10.25" style="1" bestFit="1" customWidth="1"/>
    <col min="4" max="9" width="10.25" style="1" customWidth="1"/>
    <col min="10" max="10" width="9.375" style="1" customWidth="1"/>
    <col min="11" max="11" width="9.3125" style="1" customWidth="1"/>
    <col min="12" max="12" width="9.25" style="1" customWidth="1"/>
    <col min="13" max="14" width="9" style="1"/>
    <col min="15" max="16" width="9.0625" style="1" bestFit="1" customWidth="1"/>
    <col min="17" max="17" width="10.875" style="1" bestFit="1" customWidth="1"/>
    <col min="18" max="18" width="9.25" style="1" bestFit="1" customWidth="1"/>
    <col min="19" max="19" width="15.3125" style="1" bestFit="1" customWidth="1"/>
    <col min="20" max="20" width="9.25" style="1" bestFit="1" customWidth="1"/>
    <col min="21" max="25" width="9" style="1"/>
    <col min="26" max="26" width="22.375" style="1" customWidth="1"/>
    <col min="27" max="16384" width="9" style="1"/>
  </cols>
  <sheetData>
    <row r="2" spans="2:26" ht="16.149999999999999" thickBot="1" x14ac:dyDescent="0.55000000000000004"/>
    <row r="3" spans="2:26" ht="16.149999999999999" thickBot="1" x14ac:dyDescent="0.55000000000000004">
      <c r="B3" s="89" t="s">
        <v>45</v>
      </c>
      <c r="C3" s="91"/>
      <c r="D3" s="89" t="s">
        <v>40</v>
      </c>
      <c r="E3" s="90"/>
      <c r="F3" s="90"/>
      <c r="G3" s="90"/>
      <c r="H3" s="90"/>
      <c r="I3" s="91"/>
      <c r="J3" s="89" t="s">
        <v>46</v>
      </c>
      <c r="K3" s="90"/>
      <c r="L3" s="90"/>
      <c r="M3" s="90"/>
      <c r="N3" s="90"/>
      <c r="O3" s="90"/>
      <c r="P3" s="90"/>
      <c r="Q3" s="90"/>
      <c r="R3" s="90"/>
      <c r="S3" s="90"/>
      <c r="T3" s="91"/>
      <c r="U3" s="89" t="s">
        <v>47</v>
      </c>
      <c r="V3" s="90"/>
      <c r="W3" s="90"/>
      <c r="X3" s="90"/>
      <c r="Y3" s="91"/>
      <c r="Z3" s="23" t="s">
        <v>50</v>
      </c>
    </row>
    <row r="4" spans="2:26" ht="16.149999999999999" thickBot="1" x14ac:dyDescent="0.55000000000000004">
      <c r="B4" s="30" t="s">
        <v>12</v>
      </c>
      <c r="C4" s="30" t="s">
        <v>26</v>
      </c>
      <c r="D4" s="30" t="s">
        <v>74</v>
      </c>
      <c r="E4" s="30" t="s">
        <v>123</v>
      </c>
      <c r="F4" s="30" t="s">
        <v>73</v>
      </c>
      <c r="G4" s="30" t="s">
        <v>75</v>
      </c>
      <c r="H4" s="30" t="s">
        <v>76</v>
      </c>
      <c r="I4" s="31" t="s">
        <v>17</v>
      </c>
      <c r="J4" s="30" t="s">
        <v>13</v>
      </c>
      <c r="K4" s="30" t="s">
        <v>14</v>
      </c>
      <c r="L4" s="30" t="s">
        <v>15</v>
      </c>
      <c r="M4" s="30" t="s">
        <v>16</v>
      </c>
      <c r="N4" s="30" t="s">
        <v>6</v>
      </c>
      <c r="O4" s="31" t="s">
        <v>18</v>
      </c>
      <c r="P4" s="31" t="s">
        <v>19</v>
      </c>
      <c r="Q4" s="31" t="s">
        <v>18</v>
      </c>
      <c r="R4" s="31" t="s">
        <v>19</v>
      </c>
      <c r="S4" s="29" t="s">
        <v>41</v>
      </c>
      <c r="T4" s="30" t="s">
        <v>41</v>
      </c>
      <c r="U4" s="30" t="s">
        <v>42</v>
      </c>
      <c r="V4" s="30" t="s">
        <v>43</v>
      </c>
      <c r="W4" s="30" t="s">
        <v>44</v>
      </c>
      <c r="X4" s="30" t="s">
        <v>48</v>
      </c>
      <c r="Y4" s="30" t="s">
        <v>20</v>
      </c>
      <c r="Z4" s="32" t="s">
        <v>50</v>
      </c>
    </row>
    <row r="5" spans="2:26" x14ac:dyDescent="0.5">
      <c r="B5" s="9"/>
      <c r="C5" s="10"/>
      <c r="D5" s="10"/>
      <c r="E5" s="10"/>
      <c r="F5" s="10"/>
      <c r="G5" s="10"/>
      <c r="H5" s="10"/>
      <c r="I5" s="12"/>
      <c r="J5" s="10" t="s">
        <v>71</v>
      </c>
      <c r="K5" s="10" t="s">
        <v>71</v>
      </c>
      <c r="L5" s="10" t="s">
        <v>71</v>
      </c>
      <c r="M5" s="10" t="s">
        <v>72</v>
      </c>
      <c r="N5" s="10" t="s">
        <v>21</v>
      </c>
      <c r="O5" s="11" t="s">
        <v>11</v>
      </c>
      <c r="P5" s="11" t="s">
        <v>22</v>
      </c>
      <c r="Q5" s="11" t="s">
        <v>23</v>
      </c>
      <c r="R5" s="11" t="s">
        <v>24</v>
      </c>
      <c r="S5" s="11" t="s">
        <v>25</v>
      </c>
      <c r="T5" s="26" t="s">
        <v>39</v>
      </c>
      <c r="U5" s="10"/>
      <c r="V5" s="10"/>
      <c r="W5" s="10"/>
      <c r="X5" s="10"/>
      <c r="Y5" s="10" t="s">
        <v>49</v>
      </c>
    </row>
    <row r="6" spans="2:26" x14ac:dyDescent="0.5">
      <c r="B6" s="4">
        <f>ObtenciónProbetas!B6</f>
        <v>1</v>
      </c>
      <c r="C6" s="4" t="str">
        <f>ObtenciónProbetas!C6</f>
        <v>Masa 1 - 25</v>
      </c>
      <c r="D6" s="4">
        <f>CurvaCompactaciónProbetas!M5</f>
        <v>1.6020993787968505</v>
      </c>
      <c r="E6" s="4">
        <f>CurvaCompactaciónProbetas!L5</f>
        <v>1.9370723890856201</v>
      </c>
      <c r="F6" s="4">
        <v>2.5</v>
      </c>
      <c r="G6" s="4">
        <f>F6/D6-1</f>
        <v>0.56045251192685552</v>
      </c>
      <c r="H6" s="58">
        <f>CurvaCompactaciónProbetas!K5*F6/G6</f>
        <v>0.93265613804765946</v>
      </c>
      <c r="I6" s="4">
        <v>0.48</v>
      </c>
      <c r="J6" s="4">
        <f>(-0.00170178-0.00141137)</f>
        <v>-3.1131499999999999E-3</v>
      </c>
      <c r="K6" s="4">
        <f>(-0.00159104+0.00135374)</f>
        <v>-2.3729999999999997E-4</v>
      </c>
      <c r="L6" s="4">
        <f>(-0.00151194+0.00130176)</f>
        <v>-2.1018000000000013E-4</v>
      </c>
      <c r="M6" s="4">
        <f>ABS(AVERAGE(J6:L6))*1000000</f>
        <v>1186.8766666666663</v>
      </c>
      <c r="N6" s="4">
        <f>ObtenciónProbetas!F6/10</f>
        <v>11.66</v>
      </c>
      <c r="O6" s="27">
        <f>CurvaCompactaciónProbetas!L5</f>
        <v>1.9370723890856201</v>
      </c>
      <c r="P6" s="27">
        <f>IF(M6&gt;0,N6/M6,0)</f>
        <v>9.8241041613422366E-3</v>
      </c>
      <c r="Q6" s="27">
        <f>O6*1000</f>
        <v>1937.07238908562</v>
      </c>
      <c r="R6" s="27">
        <f>P6*10000</f>
        <v>98.241041613422368</v>
      </c>
      <c r="S6" s="28">
        <f>(R6^2)*((Q6*(1+I6)*(1-2*(I6)))/(1-I6))</f>
        <v>2128384.7122729612</v>
      </c>
      <c r="T6" s="59">
        <f>S6/1000000</f>
        <v>2.1283847122729611</v>
      </c>
      <c r="U6" s="4">
        <v>2.14E-3</v>
      </c>
      <c r="V6" s="4">
        <v>2.15E-3</v>
      </c>
      <c r="W6" s="4">
        <v>2.16E-3</v>
      </c>
      <c r="X6" s="61">
        <f>AVERAGE(U6:W6)</f>
        <v>2.1500000000000004E-3</v>
      </c>
      <c r="Y6" s="60">
        <v>15.72565571049573</v>
      </c>
      <c r="Z6" s="49">
        <f>(ABS(T6-Y6)/T6)</f>
        <v>6.3885400603643054</v>
      </c>
    </row>
    <row r="7" spans="2:26" x14ac:dyDescent="0.5">
      <c r="B7" s="4">
        <f>ObtenciónProbetas!B7</f>
        <v>2</v>
      </c>
      <c r="C7" s="4" t="str">
        <f>ObtenciónProbetas!C7</f>
        <v>Masa 2 - 25</v>
      </c>
      <c r="D7" s="4">
        <f>CurvaCompactaciónProbetas!M6</f>
        <v>1.664734928829525</v>
      </c>
      <c r="E7" s="4">
        <f>CurvaCompactaciónProbetas!L6</f>
        <v>1.9520998867822403</v>
      </c>
      <c r="F7" s="4">
        <v>2.5</v>
      </c>
      <c r="G7" s="4">
        <f>F7/D7-1</f>
        <v>0.50174058146166844</v>
      </c>
      <c r="H7" s="58">
        <f>CurvaCompactaciónProbetas!K6*F7/G7</f>
        <v>0.86010108608403979</v>
      </c>
      <c r="I7" s="4">
        <v>0.46</v>
      </c>
      <c r="J7" s="4">
        <f>(-0.000558974+0.000396254)</f>
        <v>-1.6271999999999993E-4</v>
      </c>
      <c r="K7" s="4">
        <f>(-0.000605963+0.000460193)</f>
        <v>-1.4577000000000004E-4</v>
      </c>
      <c r="L7" s="4">
        <f>(-0.00057856+0.00043166)</f>
        <v>-1.4689999999999999E-4</v>
      </c>
      <c r="M7" s="4">
        <f t="shared" ref="M7:M17" si="0">ABS(AVERAGE(J7:L7))*1000000</f>
        <v>151.79666666666665</v>
      </c>
      <c r="N7" s="4">
        <f>ObtenciónProbetas!F7/10</f>
        <v>11.77</v>
      </c>
      <c r="O7" s="27">
        <f>CurvaCompactaciónProbetas!L6</f>
        <v>1.9520998867822403</v>
      </c>
      <c r="P7" s="27">
        <f t="shared" ref="P7:P13" si="1">IF(M7&gt;0,N7/M7,0)</f>
        <v>7.7537934517666177E-2</v>
      </c>
      <c r="Q7" s="27">
        <f t="shared" ref="Q7:Q13" si="2">O7*1000</f>
        <v>1952.0998867822404</v>
      </c>
      <c r="R7" s="27">
        <f>P7*10000</f>
        <v>775.37934517666179</v>
      </c>
      <c r="S7" s="28">
        <f t="shared" ref="S7:S13" si="3">(R7^2)*((Q7*(1+I7)*(1-2*(I7)))/(1-I7))</f>
        <v>253851407.13007423</v>
      </c>
      <c r="T7" s="59">
        <f>S7/1000000</f>
        <v>253.85140713007422</v>
      </c>
      <c r="U7" s="4">
        <v>1.8600000000000001E-3</v>
      </c>
      <c r="V7" s="4">
        <v>1.9300000000000001E-3</v>
      </c>
      <c r="W7" s="4">
        <v>1.8799999999999999E-3</v>
      </c>
      <c r="X7" s="61">
        <f>AVERAGE(U7:W7)</f>
        <v>1.89E-3</v>
      </c>
      <c r="Y7" s="60">
        <v>36.194160632216551</v>
      </c>
      <c r="Z7" s="49">
        <f t="shared" ref="Z7:Z14" si="4">(ABS(T7-Y7)/T7)</f>
        <v>0.85741989362434157</v>
      </c>
    </row>
    <row r="8" spans="2:26" x14ac:dyDescent="0.5">
      <c r="B8" s="4">
        <f>ObtenciónProbetas!B8</f>
        <v>3</v>
      </c>
      <c r="C8" s="4" t="str">
        <f>ObtenciónProbetas!C8</f>
        <v>Masa3 - 25</v>
      </c>
      <c r="D8" s="4">
        <f>CurvaCompactaciónProbetas!M7</f>
        <v>1.6447528263974514</v>
      </c>
      <c r="E8" s="4">
        <f>CurvaCompactaciónProbetas!L7</f>
        <v>1.8960999631917135</v>
      </c>
      <c r="F8" s="4">
        <v>2.5</v>
      </c>
      <c r="G8" s="4">
        <f t="shared" ref="G8:G14" si="5">F8/D8-1</f>
        <v>0.5199852281000914</v>
      </c>
      <c r="H8" s="58">
        <f>CurvaCompactaciónProbetas!K7*F8/G8</f>
        <v>0.73472074668050413</v>
      </c>
      <c r="I8" s="4">
        <v>0.4</v>
      </c>
      <c r="J8" s="4">
        <f>(-0.00036499+0.00023843)</f>
        <v>-1.2655999999999998E-4</v>
      </c>
      <c r="K8" s="4">
        <f>(-0.00049155+0.00034013)</f>
        <v>-1.5141999999999998E-4</v>
      </c>
      <c r="L8" s="4">
        <f>(-0.00056274+0.00037968)</f>
        <v>-1.8306000000000003E-4</v>
      </c>
      <c r="M8" s="4">
        <f t="shared" si="0"/>
        <v>153.67999999999998</v>
      </c>
      <c r="N8" s="4">
        <f>ObtenciónProbetas!F8/10</f>
        <v>11.629999999999999</v>
      </c>
      <c r="O8" s="27">
        <f>CurvaCompactaciónProbetas!L7</f>
        <v>1.8960999631917135</v>
      </c>
      <c r="P8" s="27">
        <f t="shared" si="1"/>
        <v>7.567673086933889E-2</v>
      </c>
      <c r="Q8" s="27">
        <f t="shared" si="2"/>
        <v>1896.0999631917134</v>
      </c>
      <c r="R8" s="27">
        <f t="shared" ref="R8:R12" si="6">P8*10000</f>
        <v>756.76730869338894</v>
      </c>
      <c r="S8" s="28">
        <f>(R8^2)*((Q8*(1+I8)*(1-2*(I8)))/(1-I8))</f>
        <v>506748808.82327443</v>
      </c>
      <c r="T8" s="59">
        <f t="shared" ref="T8:T16" si="7">S8/1000000</f>
        <v>506.74880882327443</v>
      </c>
      <c r="U8" s="4">
        <v>1.49E-3</v>
      </c>
      <c r="V8" s="4">
        <v>1.57E-3</v>
      </c>
      <c r="W8" s="4">
        <v>1.5E-3</v>
      </c>
      <c r="X8" s="61">
        <f t="shared" ref="X8:X14" si="8">AVERAGE(U8:W8)</f>
        <v>1.5199999999999999E-3</v>
      </c>
      <c r="Y8" s="60">
        <v>120.66350280260713</v>
      </c>
      <c r="Z8" s="49">
        <f t="shared" si="4"/>
        <v>0.76188695325638589</v>
      </c>
    </row>
    <row r="9" spans="2:26" x14ac:dyDescent="0.5">
      <c r="B9" s="4">
        <f>ObtenciónProbetas!B9</f>
        <v>4</v>
      </c>
      <c r="C9" s="4" t="str">
        <f>ObtenciónProbetas!C9</f>
        <v>Masa4 - 25</v>
      </c>
      <c r="D9" s="4">
        <f>CurvaCompactaciónProbetas!M8</f>
        <v>1.492190065868684</v>
      </c>
      <c r="E9" s="4">
        <f>CurvaCompactaciónProbetas!L8</f>
        <v>1.6392095680915875</v>
      </c>
      <c r="F9" s="4">
        <v>2.5</v>
      </c>
      <c r="G9" s="4">
        <f t="shared" si="5"/>
        <v>0.67538978926562931</v>
      </c>
      <c r="H9" s="58">
        <f>CurvaCompactaciónProbetas!K8*F9/G9</f>
        <v>0.36470046891735447</v>
      </c>
      <c r="I9" s="4">
        <v>0.1</v>
      </c>
      <c r="J9" s="4">
        <v>0</v>
      </c>
      <c r="K9" s="4">
        <v>0</v>
      </c>
      <c r="L9" s="4">
        <v>0</v>
      </c>
      <c r="M9" s="4">
        <f t="shared" si="0"/>
        <v>0</v>
      </c>
      <c r="N9" s="4">
        <f>ObtenciónProbetas!F9/10</f>
        <v>11.9</v>
      </c>
      <c r="O9" s="27">
        <f>CurvaCompactaciónProbetas!L8</f>
        <v>1.6392095680915875</v>
      </c>
      <c r="P9" s="27">
        <f t="shared" si="1"/>
        <v>0</v>
      </c>
      <c r="Q9" s="27">
        <f t="shared" si="2"/>
        <v>1639.2095680915875</v>
      </c>
      <c r="R9" s="27">
        <f t="shared" si="6"/>
        <v>0</v>
      </c>
      <c r="S9" s="28">
        <f t="shared" si="3"/>
        <v>0</v>
      </c>
      <c r="T9" s="59">
        <f t="shared" si="7"/>
        <v>0</v>
      </c>
      <c r="U9" s="4">
        <v>1.5900000000000001E-3</v>
      </c>
      <c r="V9" s="4">
        <v>1.6100000000000001E-3</v>
      </c>
      <c r="W9" s="4">
        <v>1.6199999999999999E-3</v>
      </c>
      <c r="X9" s="61">
        <f t="shared" si="8"/>
        <v>1.6066666666666666E-3</v>
      </c>
      <c r="Y9" s="60">
        <v>89.121355908103624</v>
      </c>
      <c r="Z9" s="49"/>
    </row>
    <row r="10" spans="2:26" x14ac:dyDescent="0.5">
      <c r="B10" s="4">
        <f>ObtenciónProbetas!B10</f>
        <v>5</v>
      </c>
      <c r="C10" s="4" t="str">
        <f>ObtenciónProbetas!C10</f>
        <v>Masa 1 - 56</v>
      </c>
      <c r="D10" s="4">
        <f>CurvaCompactaciónProbetas!M9</f>
        <v>1.711772086692873</v>
      </c>
      <c r="E10" s="4">
        <f>CurvaCompactaciónProbetas!L9</f>
        <v>2.0030089895470788</v>
      </c>
      <c r="F10" s="4">
        <v>2.5</v>
      </c>
      <c r="G10" s="4">
        <f t="shared" si="5"/>
        <v>0.46047480236108762</v>
      </c>
      <c r="H10" s="58">
        <f>CurvaCompactaciónProbetas!K9*F10/G10</f>
        <v>0.92370778152310695</v>
      </c>
      <c r="I10" s="4">
        <v>0.48</v>
      </c>
      <c r="J10" s="4">
        <f>(-0.0007571+0.00047008)</f>
        <v>-2.8702000000000003E-4</v>
      </c>
      <c r="K10" s="4">
        <f>(-0.00073676+0.00042601)</f>
        <v>-3.1075000000000005E-4</v>
      </c>
      <c r="L10" s="4">
        <f>(-0.00079326+0.00047008)</f>
        <v>-3.2317999999999995E-4</v>
      </c>
      <c r="M10" s="4">
        <f>ABS(AVERAGE(J10:L10))*1000000</f>
        <v>306.98333333333335</v>
      </c>
      <c r="N10" s="4">
        <f>ObtenciónProbetas!F10/10</f>
        <v>11.959999999999999</v>
      </c>
      <c r="O10" s="27">
        <f>CurvaCompactaciónProbetas!L9</f>
        <v>2.0030089895470788</v>
      </c>
      <c r="P10" s="27">
        <f t="shared" si="1"/>
        <v>3.8959769802920895E-2</v>
      </c>
      <c r="Q10" s="27">
        <f t="shared" si="2"/>
        <v>2003.008989547079</v>
      </c>
      <c r="R10" s="27">
        <f t="shared" si="6"/>
        <v>389.59769802920897</v>
      </c>
      <c r="S10" s="28">
        <f t="shared" si="3"/>
        <v>34612584.245324627</v>
      </c>
      <c r="T10" s="59">
        <f t="shared" si="7"/>
        <v>34.612584245324626</v>
      </c>
      <c r="U10" s="4">
        <v>1.64E-3</v>
      </c>
      <c r="V10" s="4">
        <v>1.64E-3</v>
      </c>
      <c r="W10" s="4">
        <v>1.74E-3</v>
      </c>
      <c r="X10" s="61">
        <f t="shared" si="8"/>
        <v>1.6733333333333333E-3</v>
      </c>
      <c r="Y10" s="60">
        <v>73.371339063018695</v>
      </c>
      <c r="Z10" s="49">
        <f t="shared" si="4"/>
        <v>1.1197879517744906</v>
      </c>
    </row>
    <row r="11" spans="2:26" x14ac:dyDescent="0.5">
      <c r="B11" s="4">
        <f>ObtenciónProbetas!B11</f>
        <v>6</v>
      </c>
      <c r="C11" s="4" t="str">
        <f>ObtenciónProbetas!C11</f>
        <v>Masa 2 - 56</v>
      </c>
      <c r="D11" s="4">
        <f>CurvaCompactaciónProbetas!M10</f>
        <v>1.6166683679039831</v>
      </c>
      <c r="E11" s="4">
        <f>CurvaCompactaciónProbetas!L10</f>
        <v>1.794940626954886</v>
      </c>
      <c r="F11" s="4">
        <v>2.5</v>
      </c>
      <c r="G11" s="4">
        <f t="shared" si="5"/>
        <v>0.54639012529283293</v>
      </c>
      <c r="H11" s="58">
        <f>CurvaCompactaciónProbetas!K10*F11/G11</f>
        <v>0.50454510110740902</v>
      </c>
      <c r="I11" s="4">
        <v>0.12</v>
      </c>
      <c r="J11" s="4">
        <f>(-0.00041584+0.00029606)</f>
        <v>-1.1977999999999999E-4</v>
      </c>
      <c r="K11" s="4">
        <f>(-0.0004068+0.00024521)</f>
        <v>-1.6159000000000003E-4</v>
      </c>
      <c r="L11" s="4">
        <f>-0.000341099+0.000184029</f>
        <v>-1.5706999999999999E-4</v>
      </c>
      <c r="M11" s="4">
        <f>(0.00020227+0.00012204)*1000000</f>
        <v>324.31</v>
      </c>
      <c r="N11" s="4">
        <f>ObtenciónProbetas!F11/10</f>
        <v>11.8</v>
      </c>
      <c r="O11" s="27">
        <f>CurvaCompactaciónProbetas!L10</f>
        <v>1.794940626954886</v>
      </c>
      <c r="P11" s="27">
        <f t="shared" si="1"/>
        <v>3.6384940334864793E-2</v>
      </c>
      <c r="Q11" s="27">
        <f t="shared" si="2"/>
        <v>1794.9406269548861</v>
      </c>
      <c r="R11" s="27">
        <f t="shared" si="6"/>
        <v>363.84940334864791</v>
      </c>
      <c r="S11" s="28">
        <f t="shared" si="3"/>
        <v>229848865.53133878</v>
      </c>
      <c r="T11" s="59">
        <f>S11/1000000</f>
        <v>229.84886553133879</v>
      </c>
      <c r="U11" s="4">
        <v>1.33E-3</v>
      </c>
      <c r="V11" s="4">
        <v>1.3799999999999999E-3</v>
      </c>
      <c r="W11" s="4">
        <v>1.3699999999999999E-3</v>
      </c>
      <c r="X11" s="61">
        <f t="shared" si="8"/>
        <v>1.3599999999999999E-3</v>
      </c>
      <c r="Y11" s="60">
        <v>202.056842775148</v>
      </c>
      <c r="Z11" s="49">
        <f t="shared" si="4"/>
        <v>0.12091433513036627</v>
      </c>
    </row>
    <row r="12" spans="2:26" x14ac:dyDescent="0.5">
      <c r="B12" s="4">
        <f>ObtenciónProbetas!B12</f>
        <v>7</v>
      </c>
      <c r="C12" s="4" t="str">
        <f>ObtenciónProbetas!C12</f>
        <v>Masa 3 - 56</v>
      </c>
      <c r="D12" s="4">
        <f>CurvaCompactaciónProbetas!M11</f>
        <v>1.6914623150472443</v>
      </c>
      <c r="E12" s="4">
        <f>CurvaCompactaciónProbetas!L11</f>
        <v>1.9995009805517827</v>
      </c>
      <c r="F12" s="4">
        <v>2.5</v>
      </c>
      <c r="G12" s="4">
        <f t="shared" si="5"/>
        <v>0.47801105455321502</v>
      </c>
      <c r="H12" s="58">
        <f>CurvaCompactaciónProbetas!K11*F12/G12</f>
        <v>0.95245611688012366</v>
      </c>
      <c r="I12" s="4">
        <v>0.48</v>
      </c>
      <c r="J12" s="4">
        <f>(0.00101926-0.00128029)</f>
        <v>-2.6102999999999999E-4</v>
      </c>
      <c r="K12" s="1">
        <f>(-0.00076953+0.00049381)</f>
        <v>-2.7572000000000002E-4</v>
      </c>
      <c r="L12" s="4">
        <f>(-0.000907955+0.000634495)</f>
        <v>-2.7346E-4</v>
      </c>
      <c r="M12" s="4">
        <f t="shared" si="0"/>
        <v>270.07</v>
      </c>
      <c r="N12" s="4">
        <f>ObtenciónProbetas!F12/10</f>
        <v>11.68</v>
      </c>
      <c r="O12" s="27">
        <f>CurvaCompactaciónProbetas!L11</f>
        <v>1.9995009805517827</v>
      </c>
      <c r="P12" s="27">
        <f t="shared" si="1"/>
        <v>4.3248046802680788E-2</v>
      </c>
      <c r="Q12" s="27">
        <f t="shared" si="2"/>
        <v>1999.5009805517827</v>
      </c>
      <c r="R12" s="27">
        <f t="shared" si="6"/>
        <v>432.4804680268079</v>
      </c>
      <c r="S12" s="28">
        <f t="shared" si="3"/>
        <v>42576796.444371656</v>
      </c>
      <c r="T12" s="59">
        <f t="shared" si="7"/>
        <v>42.576796444371652</v>
      </c>
      <c r="U12" s="4">
        <v>1.66E-3</v>
      </c>
      <c r="V12" s="4">
        <v>1.67E-3</v>
      </c>
      <c r="W12" s="4">
        <v>1.67E-3</v>
      </c>
      <c r="X12" s="61">
        <f t="shared" si="8"/>
        <v>1.6666666666666668E-3</v>
      </c>
      <c r="Y12" s="60">
        <v>74.946340747525653</v>
      </c>
      <c r="Z12" s="49">
        <f t="shared" si="4"/>
        <v>0.76026256098074807</v>
      </c>
    </row>
    <row r="13" spans="2:26" x14ac:dyDescent="0.5">
      <c r="B13" s="4">
        <f>ObtenciónProbetas!B13</f>
        <v>8</v>
      </c>
      <c r="C13" s="4" t="str">
        <f>ObtenciónProbetas!C13</f>
        <v>Masa 4 - 56</v>
      </c>
      <c r="D13" s="4">
        <f>CurvaCompactaciónProbetas!M12</f>
        <v>1.6824567859688098</v>
      </c>
      <c r="E13" s="4">
        <f>CurvaCompactaciónProbetas!L12</f>
        <v>1.9232172118996098</v>
      </c>
      <c r="F13" s="4">
        <v>2.5</v>
      </c>
      <c r="G13" s="4">
        <f t="shared" si="5"/>
        <v>0.48592226608686651</v>
      </c>
      <c r="H13" s="58">
        <f>CurvaCompactaciónProbetas!K12*F13/G13</f>
        <v>0.73623149760990803</v>
      </c>
      <c r="I13" s="4">
        <v>0.4</v>
      </c>
      <c r="J13" s="4">
        <f>(-0.00043505+0.00034465)</f>
        <v>-9.0399999999999975E-5</v>
      </c>
      <c r="K13" s="4">
        <f>(-0.000467067+0.000373277)</f>
        <v>-9.3790000000000008E-5</v>
      </c>
      <c r="L13" s="4">
        <f>(-0.000389285+0.000303405)</f>
        <v>-8.5879999999999984E-5</v>
      </c>
      <c r="M13" s="4">
        <f>(0.00016724-(-0.0000892704))*1000000</f>
        <v>256.5104</v>
      </c>
      <c r="N13" s="4">
        <f>ObtenciónProbetas!F13/10</f>
        <v>11.8</v>
      </c>
      <c r="O13" s="27">
        <f>CurvaCompactaciónProbetas!L12</f>
        <v>1.9232172118996098</v>
      </c>
      <c r="P13" s="27">
        <f t="shared" si="1"/>
        <v>4.6002033445817402E-2</v>
      </c>
      <c r="Q13" s="27">
        <f t="shared" si="2"/>
        <v>1923.2172118996098</v>
      </c>
      <c r="R13" s="27">
        <f>P13*10000</f>
        <v>460.02033445817403</v>
      </c>
      <c r="S13" s="28">
        <f t="shared" si="3"/>
        <v>189928079.50981539</v>
      </c>
      <c r="T13" s="59">
        <f t="shared" si="7"/>
        <v>189.9280795098154</v>
      </c>
      <c r="U13" s="4">
        <v>1.4300000000000001E-3</v>
      </c>
      <c r="V13" s="4">
        <v>1.48E-3</v>
      </c>
      <c r="W13" s="4">
        <v>1.4E-3</v>
      </c>
      <c r="X13" s="61">
        <f t="shared" si="8"/>
        <v>1.4366666666666668E-3</v>
      </c>
      <c r="Y13" s="60">
        <v>163.05586737163708</v>
      </c>
      <c r="Z13" s="49">
        <f t="shared" si="4"/>
        <v>0.14148625209886137</v>
      </c>
    </row>
    <row r="14" spans="2:26" x14ac:dyDescent="0.5">
      <c r="B14" s="4">
        <f>ObtenciónProbetas!B15</f>
        <v>9</v>
      </c>
      <c r="C14" s="4" t="str">
        <f>ObtenciónProbetas!C15</f>
        <v>Masa 5 - 56</v>
      </c>
      <c r="D14" s="4">
        <f>CurvaCompactaciónProbetas!M13</f>
        <v>1.6099433554206495</v>
      </c>
      <c r="E14" s="4">
        <f>CurvaCompactaciónProbetas!L13</f>
        <v>1.949174726004046</v>
      </c>
      <c r="F14" s="4">
        <v>2.5</v>
      </c>
      <c r="G14" s="4">
        <f t="shared" si="5"/>
        <v>0.55284966491680976</v>
      </c>
      <c r="H14" s="58">
        <f>CurvaCompactaciónProbetas!K13*F14/G14</f>
        <v>0.95283646453681758</v>
      </c>
      <c r="I14" s="4">
        <v>0.48</v>
      </c>
      <c r="J14" s="4">
        <f>(-0.00181591+0.00145318)</f>
        <v>-3.6272999999999991E-4</v>
      </c>
      <c r="K14" s="4">
        <f>(-0.00151194+0.00121136)</f>
        <v>-3.0057999999999994E-4</v>
      </c>
      <c r="L14" s="1">
        <f>(-0.00126052+0.00100288)</f>
        <v>-2.5763999999999995E-4</v>
      </c>
      <c r="M14" s="4">
        <f t="shared" si="0"/>
        <v>306.98333333333323</v>
      </c>
      <c r="N14" s="4">
        <f>ObtenciónProbetas!F15/10</f>
        <v>11.78</v>
      </c>
      <c r="O14" s="27">
        <f>CurvaCompactaciónProbetas!L13</f>
        <v>1.949174726004046</v>
      </c>
      <c r="P14" s="27">
        <f>IF(M14&gt;0,N14/M14,0)</f>
        <v>3.8373418752375273E-2</v>
      </c>
      <c r="Q14" s="27">
        <f>O14*1000</f>
        <v>1949.1747260040459</v>
      </c>
      <c r="R14" s="27">
        <f>P14*10000</f>
        <v>383.73418752375272</v>
      </c>
      <c r="S14" s="28">
        <f>(R14^2)*((Q14*(1+I14)*(1-2*(I14)))/(1-I14))</f>
        <v>32676092.77442003</v>
      </c>
      <c r="T14" s="59">
        <f>S14/1000000</f>
        <v>32.676092774420027</v>
      </c>
      <c r="U14" s="4">
        <v>2.33E-3</v>
      </c>
      <c r="V14" s="4">
        <v>2.3E-3</v>
      </c>
      <c r="W14" s="4">
        <v>2.3500000000000001E-3</v>
      </c>
      <c r="X14" s="61">
        <f t="shared" si="8"/>
        <v>2.3266666666666666E-3</v>
      </c>
      <c r="Y14" s="60">
        <v>5.7673486672045158</v>
      </c>
      <c r="Z14" s="49">
        <f t="shared" si="4"/>
        <v>0.82349944018645349</v>
      </c>
    </row>
    <row r="15" spans="2:26" x14ac:dyDescent="0.5">
      <c r="B15" s="4">
        <f>ObtenciónProbetas!B16</f>
        <v>10</v>
      </c>
      <c r="C15" s="4">
        <f>ObtenciónProbetas!C16</f>
        <v>0</v>
      </c>
      <c r="D15" s="4"/>
      <c r="E15" s="4"/>
      <c r="F15" s="4"/>
      <c r="G15" s="4"/>
      <c r="H15" s="58"/>
      <c r="I15" s="4">
        <v>0.48</v>
      </c>
      <c r="J15" s="4">
        <v>0</v>
      </c>
      <c r="K15" s="4">
        <v>0</v>
      </c>
      <c r="L15" s="4">
        <v>0</v>
      </c>
      <c r="M15" s="4">
        <f t="shared" si="0"/>
        <v>0</v>
      </c>
      <c r="N15" s="4">
        <f>ObtenciónProbetas!F16/10</f>
        <v>0</v>
      </c>
      <c r="O15" s="27">
        <f>CurvaCompactaciónProbetas!L14</f>
        <v>0</v>
      </c>
      <c r="P15" s="27">
        <f t="shared" ref="P15:P16" si="9">IF(M15&gt;0,N15/M15,0)</f>
        <v>0</v>
      </c>
      <c r="Q15" s="27">
        <f t="shared" ref="Q15:Q16" si="10">O15*1000</f>
        <v>0</v>
      </c>
      <c r="R15" s="27">
        <f t="shared" ref="R15:R16" si="11">P15*10000</f>
        <v>0</v>
      </c>
      <c r="S15" s="28">
        <f t="shared" ref="S15:S16" si="12">(R15^2)*((Q15*(1+I15)*(1-2*(I15)))/(1-I15))</f>
        <v>0</v>
      </c>
      <c r="T15" s="5">
        <f t="shared" si="7"/>
        <v>0</v>
      </c>
      <c r="U15" s="4"/>
      <c r="V15" s="4"/>
      <c r="W15" s="4"/>
      <c r="X15" s="53"/>
      <c r="Y15" s="4"/>
      <c r="Z15" s="49"/>
    </row>
    <row r="16" spans="2:26" x14ac:dyDescent="0.5">
      <c r="B16" s="4">
        <f>ObtenciónProbetas!B17</f>
        <v>11</v>
      </c>
      <c r="C16" s="4">
        <f>ObtenciónProbetas!C17</f>
        <v>0</v>
      </c>
      <c r="D16" s="4"/>
      <c r="E16" s="4"/>
      <c r="F16" s="4"/>
      <c r="G16" s="4"/>
      <c r="H16" s="58"/>
      <c r="I16" s="4">
        <v>0.48</v>
      </c>
      <c r="J16" s="4">
        <v>0</v>
      </c>
      <c r="K16" s="4">
        <v>0</v>
      </c>
      <c r="L16" s="4">
        <v>0</v>
      </c>
      <c r="M16" s="4">
        <f t="shared" si="0"/>
        <v>0</v>
      </c>
      <c r="N16" s="4">
        <f>ObtenciónProbetas!F17/10</f>
        <v>0</v>
      </c>
      <c r="O16" s="27">
        <f>CurvaCompactaciónProbetas!L15</f>
        <v>0</v>
      </c>
      <c r="P16" s="27">
        <f t="shared" si="9"/>
        <v>0</v>
      </c>
      <c r="Q16" s="27">
        <f t="shared" si="10"/>
        <v>0</v>
      </c>
      <c r="R16" s="27">
        <f t="shared" si="11"/>
        <v>0</v>
      </c>
      <c r="S16" s="28">
        <f t="shared" si="12"/>
        <v>0</v>
      </c>
      <c r="T16" s="5">
        <f t="shared" si="7"/>
        <v>0</v>
      </c>
      <c r="U16" s="4"/>
      <c r="V16" s="4"/>
      <c r="W16" s="4"/>
      <c r="X16" s="53"/>
      <c r="Y16" s="4"/>
      <c r="Z16" s="49"/>
    </row>
    <row r="17" spans="2:29" x14ac:dyDescent="0.5">
      <c r="B17" s="4">
        <f>ObtenciónProbetas!B18</f>
        <v>12</v>
      </c>
      <c r="C17" s="4">
        <f>ObtenciónProbetas!C18</f>
        <v>0</v>
      </c>
      <c r="D17" s="4"/>
      <c r="E17" s="4"/>
      <c r="F17" s="4"/>
      <c r="G17" s="4"/>
      <c r="H17" s="58"/>
      <c r="I17" s="4">
        <v>0.48</v>
      </c>
      <c r="J17" s="4">
        <v>0</v>
      </c>
      <c r="K17" s="4">
        <v>0</v>
      </c>
      <c r="L17" s="4">
        <v>0</v>
      </c>
      <c r="M17" s="4">
        <f t="shared" si="0"/>
        <v>0</v>
      </c>
      <c r="N17" s="4">
        <f>ObtenciónProbetas!F18/10</f>
        <v>0</v>
      </c>
      <c r="O17" s="27">
        <f>CurvaCompactaciónProbetas!L16</f>
        <v>0</v>
      </c>
      <c r="P17" s="27">
        <f>IF(M17&gt;0,N17/M17,0)</f>
        <v>0</v>
      </c>
      <c r="Q17" s="27">
        <f>O17*1000</f>
        <v>0</v>
      </c>
      <c r="R17" s="27">
        <f>P17*10000</f>
        <v>0</v>
      </c>
      <c r="S17" s="28">
        <f>(R17^2)*((Q17*(1+I17)*(1-2*(I17)))/(1-I17))</f>
        <v>0</v>
      </c>
      <c r="T17" s="5">
        <f>S17/1000000</f>
        <v>0</v>
      </c>
      <c r="U17" s="4"/>
      <c r="V17" s="4"/>
      <c r="W17" s="4"/>
      <c r="X17" s="53"/>
      <c r="Y17" s="4"/>
      <c r="Z17" s="49"/>
    </row>
    <row r="19" spans="2:29" x14ac:dyDescent="0.5">
      <c r="N19" s="1">
        <f>(0.0002034+0.0000734504)*1000000</f>
        <v>276.85040000000004</v>
      </c>
      <c r="O19" s="4">
        <f>(0.0002147+0.0000372904)*1000000</f>
        <v>251.99039999999997</v>
      </c>
      <c r="P19" s="4">
        <f>(0.00020227+0.00012204)*1000000</f>
        <v>324.31</v>
      </c>
    </row>
    <row r="23" spans="2:29" x14ac:dyDescent="0.5">
      <c r="AC23" s="1" t="s">
        <v>124</v>
      </c>
    </row>
    <row r="24" spans="2:29" x14ac:dyDescent="0.5">
      <c r="AC24" s="1">
        <v>1.71</v>
      </c>
    </row>
    <row r="25" spans="2:29" x14ac:dyDescent="0.5">
      <c r="AC25" s="1">
        <v>1.66</v>
      </c>
    </row>
  </sheetData>
  <mergeCells count="4">
    <mergeCell ref="B3:C3"/>
    <mergeCell ref="J3:T3"/>
    <mergeCell ref="U3:Y3"/>
    <mergeCell ref="D3:I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80F7-DA37-4C2C-9166-82F6588CCFAC}">
  <dimension ref="B3:G32"/>
  <sheetViews>
    <sheetView zoomScale="98" workbookViewId="0">
      <selection activeCell="E21" sqref="E21"/>
    </sheetView>
  </sheetViews>
  <sheetFormatPr defaultColWidth="8.3125" defaultRowHeight="14.25" x14ac:dyDescent="0.45"/>
  <cols>
    <col min="1" max="3" width="8.3125" style="33"/>
    <col min="4" max="4" width="8.5" style="33" bestFit="1" customWidth="1"/>
    <col min="5" max="6" width="8.3125" style="33"/>
    <col min="7" max="7" width="8.8125" style="33" bestFit="1" customWidth="1"/>
    <col min="8" max="16384" width="8.3125" style="33"/>
  </cols>
  <sheetData>
    <row r="3" spans="2:7" ht="14.65" thickBot="1" x14ac:dyDescent="0.5"/>
    <row r="4" spans="2:7" ht="14.65" thickBot="1" x14ac:dyDescent="0.5">
      <c r="B4" s="102" t="s">
        <v>51</v>
      </c>
      <c r="C4" s="103"/>
      <c r="D4" s="103"/>
      <c r="E4" s="103"/>
      <c r="F4" s="103"/>
      <c r="G4" s="104"/>
    </row>
    <row r="5" spans="2:7" x14ac:dyDescent="0.45">
      <c r="B5" s="34" t="s">
        <v>39</v>
      </c>
      <c r="C5" s="47">
        <v>5</v>
      </c>
      <c r="D5" s="47">
        <v>25</v>
      </c>
      <c r="E5" s="47">
        <v>50</v>
      </c>
      <c r="F5" s="47">
        <v>100</v>
      </c>
      <c r="G5" s="48">
        <v>200</v>
      </c>
    </row>
    <row r="6" spans="2:7" x14ac:dyDescent="0.45">
      <c r="B6" s="35">
        <v>0.1</v>
      </c>
      <c r="C6" s="36">
        <v>2.3478348100633198E-3</v>
      </c>
      <c r="D6" s="36">
        <v>1.9955787603624102E-3</v>
      </c>
      <c r="E6" s="36">
        <v>1.7820024121730301E-3</v>
      </c>
      <c r="F6" s="36">
        <v>1.5694576530822599E-3</v>
      </c>
      <c r="G6" s="37">
        <v>1.3718172767980101E-3</v>
      </c>
    </row>
    <row r="7" spans="2:7" x14ac:dyDescent="0.45">
      <c r="B7" s="35">
        <v>0.2</v>
      </c>
      <c r="C7" s="36">
        <v>2.3394404849428098E-3</v>
      </c>
      <c r="D7" s="36">
        <v>1.98434376581171E-3</v>
      </c>
      <c r="E7" s="36">
        <v>1.7711769880264601E-3</v>
      </c>
      <c r="F7" s="36">
        <v>1.5596375331642599E-3</v>
      </c>
      <c r="G7" s="37">
        <v>1.3631794859288E-3</v>
      </c>
    </row>
    <row r="8" spans="2:7" x14ac:dyDescent="0.45">
      <c r="B8" s="35">
        <v>0.3</v>
      </c>
      <c r="C8" s="36">
        <v>2.32464610063569E-3</v>
      </c>
      <c r="D8" s="36">
        <v>1.9648933392996401E-3</v>
      </c>
      <c r="E8" s="36">
        <v>1.7524451909427701E-3</v>
      </c>
      <c r="F8" s="36">
        <v>1.5426744704321301E-3</v>
      </c>
      <c r="G8" s="37">
        <v>1.3483557321667301E-3</v>
      </c>
    </row>
    <row r="9" spans="2:7" x14ac:dyDescent="0.45">
      <c r="B9" s="35">
        <v>0.4</v>
      </c>
      <c r="C9" s="36">
        <v>2.3023397656270999E-3</v>
      </c>
      <c r="D9" s="36">
        <v>1.9358334976590601E-3</v>
      </c>
      <c r="E9" s="36">
        <v>1.7247572871193599E-3</v>
      </c>
      <c r="F9" s="36">
        <v>1.51776845222711E-3</v>
      </c>
      <c r="G9" s="37">
        <v>1.3265591896317601E-3</v>
      </c>
    </row>
    <row r="10" spans="2:7" ht="14.65" thickBot="1" x14ac:dyDescent="0.5">
      <c r="B10" s="38">
        <v>0.5</v>
      </c>
      <c r="C10" s="39">
        <v>2.27007750668263E-3</v>
      </c>
      <c r="D10" s="39">
        <v>1.89502062975498E-3</v>
      </c>
      <c r="E10" s="39">
        <v>1.68607013178486E-3</v>
      </c>
      <c r="F10" s="39">
        <v>1.48321064757378E-3</v>
      </c>
      <c r="G10" s="40">
        <v>1.2964257444793301E-3</v>
      </c>
    </row>
    <row r="12" spans="2:7" ht="14.65" thickBot="1" x14ac:dyDescent="0.5"/>
    <row r="13" spans="2:7" ht="14.65" thickBot="1" x14ac:dyDescent="0.5">
      <c r="B13" s="105" t="s">
        <v>52</v>
      </c>
      <c r="C13" s="106"/>
      <c r="D13" s="41">
        <v>0.12</v>
      </c>
      <c r="E13" s="105" t="s">
        <v>53</v>
      </c>
      <c r="F13" s="106"/>
      <c r="G13" s="33">
        <f>0.00136*1</f>
        <v>1.3600000000000001E-3</v>
      </c>
    </row>
    <row r="14" spans="2:7" ht="14.65" thickBot="1" x14ac:dyDescent="0.5">
      <c r="B14" s="42"/>
      <c r="C14" s="42"/>
      <c r="E14" s="42"/>
      <c r="F14" s="42"/>
    </row>
    <row r="15" spans="2:7" ht="14.65" thickBot="1" x14ac:dyDescent="0.5">
      <c r="B15" s="105" t="s">
        <v>54</v>
      </c>
      <c r="C15" s="107"/>
      <c r="D15" s="107"/>
      <c r="E15" s="107"/>
      <c r="F15" s="107"/>
      <c r="G15" s="106"/>
    </row>
    <row r="16" spans="2:7" x14ac:dyDescent="0.45">
      <c r="B16" s="43">
        <f>D13</f>
        <v>0.12</v>
      </c>
      <c r="C16" s="43">
        <f>_xlfn.FORECAST.LINEAR($D$13,C6:C7,$B$6:$B$7)</f>
        <v>2.3461559450392178E-3</v>
      </c>
      <c r="D16" s="43">
        <f t="shared" ref="D16:G16" si="0">_xlfn.FORECAST.LINEAR($D$13,D6:D7,$B$6:$B$7)</f>
        <v>1.9933317614522703E-3</v>
      </c>
      <c r="E16" s="43">
        <f t="shared" si="0"/>
        <v>1.779837327343716E-3</v>
      </c>
      <c r="F16" s="43">
        <f t="shared" si="0"/>
        <v>1.5674936290986602E-3</v>
      </c>
      <c r="G16" s="62">
        <f t="shared" si="0"/>
        <v>1.3700897186241681E-3</v>
      </c>
    </row>
    <row r="17" spans="2:7" ht="14.65" thickBot="1" x14ac:dyDescent="0.5"/>
    <row r="18" spans="2:7" x14ac:dyDescent="0.45">
      <c r="B18" s="108" t="s">
        <v>55</v>
      </c>
      <c r="C18" s="109"/>
      <c r="D18" s="109"/>
      <c r="E18" s="109"/>
      <c r="F18" s="109"/>
      <c r="G18" s="110"/>
    </row>
    <row r="19" spans="2:7" x14ac:dyDescent="0.45">
      <c r="B19" s="100" t="s">
        <v>56</v>
      </c>
      <c r="C19" s="101"/>
      <c r="D19" s="45">
        <f>_xlfn.FORECAST.LINEAR(G13,F5:G5,F16:G16)</f>
        <v>205.11120504143798</v>
      </c>
      <c r="E19" s="44" t="s">
        <v>39</v>
      </c>
      <c r="F19" s="45"/>
      <c r="G19" s="46"/>
    </row>
    <row r="20" spans="2:7" x14ac:dyDescent="0.45">
      <c r="D20" s="33">
        <v>191.33234932646235</v>
      </c>
    </row>
    <row r="22" spans="2:7" x14ac:dyDescent="0.45">
      <c r="D22" s="33">
        <f>D20*100/D19</f>
        <v>93.282251102667971</v>
      </c>
    </row>
    <row r="24" spans="2:7" x14ac:dyDescent="0.45">
      <c r="E24" s="33">
        <v>2.15E-3</v>
      </c>
      <c r="F24" s="33">
        <v>15.72565571049573</v>
      </c>
    </row>
    <row r="25" spans="2:7" x14ac:dyDescent="0.45">
      <c r="E25" s="33">
        <v>1.89E-3</v>
      </c>
      <c r="F25" s="33">
        <v>36.194160632216551</v>
      </c>
    </row>
    <row r="26" spans="2:7" x14ac:dyDescent="0.45">
      <c r="E26" s="33">
        <v>1.5200000000000001E-3</v>
      </c>
      <c r="F26" s="33">
        <v>120.66350280260713</v>
      </c>
    </row>
    <row r="27" spans="2:7" x14ac:dyDescent="0.45">
      <c r="E27" s="33">
        <v>1.6066666666666666E-3</v>
      </c>
      <c r="F27" s="33">
        <v>89.121355908103624</v>
      </c>
    </row>
    <row r="28" spans="2:7" x14ac:dyDescent="0.45">
      <c r="E28" s="33">
        <v>1.6733333333333301E-3</v>
      </c>
      <c r="F28" s="33">
        <v>73.371339063018695</v>
      </c>
    </row>
    <row r="29" spans="2:7" x14ac:dyDescent="0.45">
      <c r="E29" s="33">
        <v>1.3600000000000001E-3</v>
      </c>
      <c r="F29" s="33">
        <v>202.05684277514774</v>
      </c>
    </row>
    <row r="30" spans="2:7" x14ac:dyDescent="0.45">
      <c r="E30" s="33">
        <v>1.66666666666667E-3</v>
      </c>
      <c r="F30" s="33">
        <v>74.946340747525653</v>
      </c>
    </row>
    <row r="31" spans="2:7" x14ac:dyDescent="0.45">
      <c r="E31" s="33">
        <v>1.4366666666666701E-3</v>
      </c>
      <c r="F31" s="33">
        <v>163.05586737163708</v>
      </c>
    </row>
    <row r="32" spans="2:7" x14ac:dyDescent="0.45">
      <c r="E32" s="33">
        <v>2.32666666666667E-3</v>
      </c>
      <c r="F32" s="33">
        <v>5.7673486672045158</v>
      </c>
    </row>
  </sheetData>
  <mergeCells count="6">
    <mergeCell ref="B19:C19"/>
    <mergeCell ref="B4:G4"/>
    <mergeCell ref="B13:C13"/>
    <mergeCell ref="E13:F13"/>
    <mergeCell ref="B15:G15"/>
    <mergeCell ref="B18:G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1D95-78E6-441A-BB1C-21737EF2A277}">
  <dimension ref="B3:AP24"/>
  <sheetViews>
    <sheetView topLeftCell="H1" zoomScale="67" workbookViewId="0">
      <selection activeCell="N7" sqref="N7"/>
    </sheetView>
  </sheetViews>
  <sheetFormatPr defaultColWidth="11" defaultRowHeight="15.75" x14ac:dyDescent="0.5"/>
  <cols>
    <col min="1" max="1" width="11.5" style="1" customWidth="1"/>
    <col min="2" max="3" width="11" style="1"/>
    <col min="4" max="4" width="13.4375" style="1" customWidth="1"/>
    <col min="5" max="5" width="14.125" style="1" customWidth="1"/>
    <col min="6" max="6" width="14.1875" style="1" customWidth="1"/>
    <col min="7" max="15" width="11" style="1"/>
    <col min="16" max="16" width="13.5625" style="1" customWidth="1"/>
    <col min="17" max="18" width="11" style="1"/>
    <col min="19" max="22" width="11" style="1" customWidth="1"/>
    <col min="23" max="23" width="12.375" style="1" customWidth="1"/>
    <col min="24" max="24" width="11.6875" style="1" customWidth="1"/>
    <col min="25" max="26" width="11" style="1" customWidth="1"/>
    <col min="27" max="27" width="13.0625" style="1" customWidth="1"/>
    <col min="28" max="28" width="11" style="1"/>
    <col min="29" max="29" width="17" style="1" customWidth="1"/>
    <col min="30" max="30" width="11" style="1"/>
    <col min="31" max="31" width="14" style="1" customWidth="1"/>
    <col min="32" max="37" width="11" style="1"/>
    <col min="38" max="38" width="13.4375" style="1" customWidth="1"/>
    <col min="39" max="39" width="12" style="1" bestFit="1" customWidth="1"/>
    <col min="40" max="40" width="12.1875" style="1" bestFit="1" customWidth="1"/>
    <col min="41" max="16384" width="11" style="1"/>
  </cols>
  <sheetData>
    <row r="3" spans="2:42" x14ac:dyDescent="0.5">
      <c r="B3" s="92" t="s">
        <v>83</v>
      </c>
      <c r="C3" s="93"/>
      <c r="D3" s="93"/>
      <c r="E3" s="93"/>
      <c r="F3" s="93"/>
      <c r="G3" s="93"/>
      <c r="H3" s="93"/>
      <c r="J3" s="92" t="s">
        <v>87</v>
      </c>
      <c r="K3" s="93"/>
      <c r="L3" s="93"/>
      <c r="M3" s="93"/>
      <c r="O3" s="92" t="s">
        <v>95</v>
      </c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E3" s="92" t="s">
        <v>108</v>
      </c>
      <c r="AF3" s="93"/>
      <c r="AG3" s="93"/>
      <c r="AH3" s="93"/>
      <c r="AI3" s="93"/>
      <c r="AJ3" s="93"/>
      <c r="AK3" s="93"/>
      <c r="AL3" s="93"/>
    </row>
    <row r="4" spans="2:42" s="2" customFormat="1" x14ac:dyDescent="0.5">
      <c r="F4" s="2" t="s">
        <v>84</v>
      </c>
      <c r="G4" s="2" t="s">
        <v>85</v>
      </c>
      <c r="H4" s="2" t="s">
        <v>59</v>
      </c>
      <c r="U4" s="2" t="s">
        <v>11</v>
      </c>
      <c r="V4" s="2" t="s">
        <v>93</v>
      </c>
      <c r="AA4" s="2" t="s">
        <v>84</v>
      </c>
      <c r="AB4" s="2" t="s">
        <v>84</v>
      </c>
    </row>
    <row r="5" spans="2:42" s="17" customFormat="1" ht="40.049999999999997" customHeight="1" x14ac:dyDescent="0.5">
      <c r="B5" s="18" t="s">
        <v>3</v>
      </c>
      <c r="C5" s="66" t="s">
        <v>26</v>
      </c>
      <c r="D5" s="18" t="s">
        <v>4</v>
      </c>
      <c r="E5" s="65" t="s">
        <v>81</v>
      </c>
      <c r="F5" s="20" t="s">
        <v>86</v>
      </c>
      <c r="G5" s="18" t="s">
        <v>7</v>
      </c>
      <c r="H5" s="18" t="s">
        <v>60</v>
      </c>
      <c r="J5" s="18" t="s">
        <v>88</v>
      </c>
      <c r="K5" s="65" t="s">
        <v>89</v>
      </c>
      <c r="L5" s="18" t="s">
        <v>90</v>
      </c>
      <c r="M5" s="65" t="s">
        <v>91</v>
      </c>
      <c r="O5" s="18" t="s">
        <v>3</v>
      </c>
      <c r="P5" s="19" t="s">
        <v>26</v>
      </c>
      <c r="Q5" s="18" t="s">
        <v>4</v>
      </c>
      <c r="R5" s="20" t="s">
        <v>57</v>
      </c>
      <c r="S5" s="20" t="s">
        <v>105</v>
      </c>
      <c r="T5" s="20" t="s">
        <v>98</v>
      </c>
      <c r="U5" s="21" t="s">
        <v>96</v>
      </c>
      <c r="V5" s="21" t="s">
        <v>97</v>
      </c>
      <c r="W5" s="20" t="s">
        <v>99</v>
      </c>
      <c r="X5" s="20" t="s">
        <v>100</v>
      </c>
      <c r="Y5" s="20" t="s">
        <v>101</v>
      </c>
      <c r="Z5" s="71" t="s">
        <v>94</v>
      </c>
      <c r="AA5" s="71" t="s">
        <v>102</v>
      </c>
      <c r="AB5" s="71" t="s">
        <v>103</v>
      </c>
      <c r="AC5" s="71" t="s">
        <v>104</v>
      </c>
      <c r="AE5" s="73" t="s">
        <v>110</v>
      </c>
      <c r="AF5" s="71" t="s">
        <v>82</v>
      </c>
      <c r="AG5" s="71" t="s">
        <v>109</v>
      </c>
      <c r="AH5" s="71" t="s">
        <v>60</v>
      </c>
      <c r="AI5" s="71" t="s">
        <v>92</v>
      </c>
      <c r="AJ5" s="71" t="s">
        <v>120</v>
      </c>
      <c r="AK5" s="71" t="s">
        <v>122</v>
      </c>
      <c r="AL5" s="71" t="s">
        <v>121</v>
      </c>
    </row>
    <row r="6" spans="2:42" ht="40.049999999999997" customHeight="1" x14ac:dyDescent="0.5">
      <c r="B6" s="13">
        <v>1</v>
      </c>
      <c r="C6" s="4" t="s">
        <v>77</v>
      </c>
      <c r="D6" s="64">
        <v>45260</v>
      </c>
      <c r="E6" s="4">
        <f>AVERAGE(116.3,117.4,117.4)</f>
        <v>117.03333333333335</v>
      </c>
      <c r="F6" s="4">
        <v>3579</v>
      </c>
      <c r="G6" s="4">
        <v>101</v>
      </c>
      <c r="H6" s="5">
        <f>(E6/10)*(PI()/4*(G6/10)^2)</f>
        <v>937.6531213391263</v>
      </c>
      <c r="J6" s="67">
        <v>68.3</v>
      </c>
      <c r="K6" s="67">
        <v>286.92</v>
      </c>
      <c r="L6" s="67">
        <v>268.88</v>
      </c>
      <c r="M6" s="68">
        <f>(K6-L6)/(L6-J6)</f>
        <v>8.9939176388473541E-2</v>
      </c>
      <c r="O6" s="13">
        <v>1</v>
      </c>
      <c r="P6" s="74" t="s">
        <v>112</v>
      </c>
      <c r="Q6" s="64">
        <v>45260</v>
      </c>
      <c r="R6" s="54">
        <v>25</v>
      </c>
      <c r="S6" s="54" t="s">
        <v>106</v>
      </c>
      <c r="T6" s="54" t="str">
        <f>$C$6</f>
        <v>Cilindro #1</v>
      </c>
      <c r="U6" s="74">
        <v>1.8</v>
      </c>
      <c r="V6" s="75">
        <v>0.12</v>
      </c>
      <c r="W6" s="4">
        <f>U6*(1+V6)</f>
        <v>2.0160000000000005</v>
      </c>
      <c r="X6" s="70">
        <f>W6*H6</f>
        <v>1890.3086926196791</v>
      </c>
      <c r="Y6" s="70">
        <f>W6*H6/(1+V6)</f>
        <v>1687.7756184104276</v>
      </c>
      <c r="Z6" s="5">
        <f>X6-Y6</f>
        <v>202.53307420925148</v>
      </c>
      <c r="AA6" s="72">
        <f>Y6*(1+$M$6)</f>
        <v>1839.5727674588081</v>
      </c>
      <c r="AB6" s="72">
        <f>Z6-Y6*$M$6</f>
        <v>50.735925160871034</v>
      </c>
      <c r="AC6" s="69">
        <f>(AA6+AB6)/H6</f>
        <v>2.0160000000000009</v>
      </c>
      <c r="AE6" s="59">
        <v>5318.2</v>
      </c>
      <c r="AF6" s="5">
        <f>$F$6</f>
        <v>3579</v>
      </c>
      <c r="AG6" s="5">
        <f t="shared" ref="AG6:AG13" si="0">AE6-AF6</f>
        <v>1739.1999999999998</v>
      </c>
      <c r="AH6" s="5">
        <f>H6</f>
        <v>937.6531213391263</v>
      </c>
      <c r="AI6" s="5">
        <f t="shared" ref="AI6:AI13" si="1">AG6/AH6</f>
        <v>1.8548437161027416</v>
      </c>
      <c r="AJ6" s="58">
        <f>CurvaCompactaciónProbetas!K22</f>
        <v>0.11843409316154611</v>
      </c>
      <c r="AK6" s="58">
        <f>ABS(W6-AI6)/W6</f>
        <v>7.9938632885545063E-2</v>
      </c>
      <c r="AL6" s="58">
        <f>ABS(V6-AJ6)/V6</f>
        <v>1.3049223653782346E-2</v>
      </c>
    </row>
    <row r="7" spans="2:42" ht="40.049999999999997" customHeight="1" x14ac:dyDescent="0.5">
      <c r="B7" s="13">
        <v>2</v>
      </c>
      <c r="C7" s="4" t="s">
        <v>78</v>
      </c>
      <c r="D7" s="64">
        <v>45260</v>
      </c>
      <c r="E7" s="16"/>
      <c r="F7" s="16"/>
      <c r="G7" s="16"/>
      <c r="H7" s="5"/>
      <c r="J7" s="94" t="s">
        <v>132</v>
      </c>
      <c r="K7" s="94"/>
      <c r="L7" s="94"/>
      <c r="M7" s="94"/>
      <c r="O7" s="13">
        <v>2</v>
      </c>
      <c r="P7" s="74" t="s">
        <v>113</v>
      </c>
      <c r="Q7" s="64">
        <v>45260</v>
      </c>
      <c r="R7" s="54">
        <v>56</v>
      </c>
      <c r="S7" s="54" t="s">
        <v>106</v>
      </c>
      <c r="T7" s="54" t="str">
        <f>$C$9</f>
        <v>Cilindro #4</v>
      </c>
      <c r="U7" s="74">
        <v>1.86</v>
      </c>
      <c r="V7" s="75">
        <v>0.12</v>
      </c>
      <c r="W7" s="4">
        <f t="shared" ref="W7:W13" si="2">U7*(1+V7)</f>
        <v>2.0832000000000002</v>
      </c>
      <c r="X7" s="70">
        <f>W7*H9</f>
        <v>1941.9139584093671</v>
      </c>
      <c r="Y7" s="70">
        <f>W7*H9/(1+V7)</f>
        <v>1733.8517485797918</v>
      </c>
      <c r="Z7" s="5">
        <f t="shared" ref="Z7:Z13" si="3">X7-Y7</f>
        <v>208.06220982957529</v>
      </c>
      <c r="AA7" s="72">
        <f t="shared" ref="AA7:AA13" si="4">Y7*(1+$M$6)</f>
        <v>1889.792946826773</v>
      </c>
      <c r="AB7" s="72">
        <f t="shared" ref="AB7:AB13" si="5">Z7-Y7*$M$6</f>
        <v>52.121011582594122</v>
      </c>
      <c r="AC7" s="69">
        <f>(AA7+AB7)/H9</f>
        <v>2.0832000000000002</v>
      </c>
      <c r="AE7" s="59">
        <v>5415.8</v>
      </c>
      <c r="AF7" s="5">
        <f>$F$9</f>
        <v>3577.6</v>
      </c>
      <c r="AG7" s="5">
        <f t="shared" si="0"/>
        <v>1838.2000000000003</v>
      </c>
      <c r="AH7" s="5">
        <f>H9</f>
        <v>932.17835945150102</v>
      </c>
      <c r="AI7" s="5">
        <f t="shared" si="1"/>
        <v>1.9719402208410066</v>
      </c>
      <c r="AJ7" s="58">
        <f>CurvaCompactaciónProbetas!K23</f>
        <v>0.11805225653206648</v>
      </c>
      <c r="AK7" s="58">
        <f t="shared" ref="AK7:AK13" si="6">ABS(W7-AI7)/W7</f>
        <v>5.340811211549229E-2</v>
      </c>
      <c r="AL7" s="58">
        <f t="shared" ref="AL7:AL13" si="7">ABS(V7-AJ7)/V7</f>
        <v>1.6231195566112612E-2</v>
      </c>
    </row>
    <row r="8" spans="2:42" ht="40.049999999999997" customHeight="1" x14ac:dyDescent="0.5">
      <c r="B8" s="13">
        <v>3</v>
      </c>
      <c r="C8" s="4" t="s">
        <v>80</v>
      </c>
      <c r="D8" s="64">
        <v>45260</v>
      </c>
      <c r="E8" s="4">
        <f>AVERAGE(116.3,116.7,116.5)</f>
        <v>116.5</v>
      </c>
      <c r="F8" s="4">
        <v>3584.6</v>
      </c>
      <c r="G8" s="4">
        <v>101</v>
      </c>
      <c r="H8" s="5">
        <f>(E8/10)*(PI()/4*(G8/10)^2)</f>
        <v>933.38013645122362</v>
      </c>
      <c r="J8" s="67">
        <v>68.67</v>
      </c>
      <c r="K8" s="67">
        <v>386.72</v>
      </c>
      <c r="L8" s="67">
        <v>368.69</v>
      </c>
      <c r="M8" s="68">
        <f>(K8-L8)/(L8-J8)</f>
        <v>6.0095993600426743E-2</v>
      </c>
      <c r="O8" s="13">
        <v>3</v>
      </c>
      <c r="P8" s="74" t="s">
        <v>114</v>
      </c>
      <c r="Q8" s="64">
        <v>45260</v>
      </c>
      <c r="R8" s="54">
        <v>56</v>
      </c>
      <c r="S8" s="54" t="s">
        <v>106</v>
      </c>
      <c r="T8" s="54" t="str">
        <f>$C$8</f>
        <v>Cilindro #3</v>
      </c>
      <c r="U8" s="74">
        <v>1.9</v>
      </c>
      <c r="V8" s="75">
        <v>0.1</v>
      </c>
      <c r="W8" s="4">
        <f t="shared" si="2"/>
        <v>2.09</v>
      </c>
      <c r="X8" s="70">
        <f>W8*$H$8</f>
        <v>1950.7644851830573</v>
      </c>
      <c r="Y8" s="70">
        <f>W8*$H$8/(1+V8)</f>
        <v>1773.4222592573246</v>
      </c>
      <c r="Z8" s="5">
        <f t="shared" si="3"/>
        <v>177.34222592573269</v>
      </c>
      <c r="AA8" s="72">
        <f t="shared" si="4"/>
        <v>1932.9223966439145</v>
      </c>
      <c r="AB8" s="72">
        <f t="shared" si="5"/>
        <v>17.842088539142907</v>
      </c>
      <c r="AC8" s="69">
        <f>(AA8+AB8)/$H$8</f>
        <v>2.09</v>
      </c>
      <c r="AE8" s="59">
        <v>5299.6</v>
      </c>
      <c r="AF8" s="5">
        <f>F9</f>
        <v>3577.6</v>
      </c>
      <c r="AG8" s="5">
        <f t="shared" si="0"/>
        <v>1722.0000000000005</v>
      </c>
      <c r="AH8" s="5">
        <f>$H$9</f>
        <v>932.17835945150102</v>
      </c>
      <c r="AI8" s="5">
        <f t="shared" si="1"/>
        <v>1.8472859646873103</v>
      </c>
      <c r="AJ8" s="58">
        <f>CurvaCompactaciónProbetas!K24</f>
        <v>9.6678107984795758E-2</v>
      </c>
      <c r="AK8" s="58">
        <f t="shared" si="6"/>
        <v>0.11613111737449261</v>
      </c>
      <c r="AL8" s="58">
        <f t="shared" si="7"/>
        <v>3.3218920152042475E-2</v>
      </c>
    </row>
    <row r="9" spans="2:42" ht="40.049999999999997" customHeight="1" x14ac:dyDescent="0.5">
      <c r="B9" s="13">
        <v>4</v>
      </c>
      <c r="C9" s="4" t="s">
        <v>79</v>
      </c>
      <c r="D9" s="64">
        <v>45260</v>
      </c>
      <c r="E9" s="4">
        <f>AVERAGE(116.5,116.2,116.4,116.3)</f>
        <v>116.35000000000001</v>
      </c>
      <c r="F9" s="4">
        <v>3577.6</v>
      </c>
      <c r="G9" s="4">
        <v>101</v>
      </c>
      <c r="H9" s="5">
        <f>(E9/10)*(PI()/4*(G9/10)^2)</f>
        <v>932.17835945150102</v>
      </c>
      <c r="M9" s="33"/>
      <c r="O9" s="13">
        <v>4</v>
      </c>
      <c r="P9" s="74" t="s">
        <v>115</v>
      </c>
      <c r="Q9" s="64">
        <v>45260</v>
      </c>
      <c r="R9" s="54">
        <v>56</v>
      </c>
      <c r="S9" s="54" t="s">
        <v>106</v>
      </c>
      <c r="T9" s="54" t="str">
        <f>$C$9</f>
        <v>Cilindro #4</v>
      </c>
      <c r="U9" s="74">
        <v>1.95</v>
      </c>
      <c r="V9" s="75">
        <v>0.08</v>
      </c>
      <c r="W9" s="4">
        <f t="shared" si="2"/>
        <v>2.1059999999999999</v>
      </c>
      <c r="X9" s="70">
        <f>W9*$H$9</f>
        <v>1963.1676250048611</v>
      </c>
      <c r="Y9" s="70">
        <f>W9*$H$9/(1+V9)</f>
        <v>1817.7478009304268</v>
      </c>
      <c r="Z9" s="5">
        <f t="shared" si="3"/>
        <v>145.41982407443425</v>
      </c>
      <c r="AA9" s="72">
        <f t="shared" si="4"/>
        <v>1981.2345410280684</v>
      </c>
      <c r="AB9" s="72">
        <f t="shared" si="5"/>
        <v>-18.066916023207312</v>
      </c>
      <c r="AC9" s="69">
        <f>(AA9+AB9)/$H$9</f>
        <v>2.1059999999999999</v>
      </c>
      <c r="AE9" s="59">
        <v>5245.2</v>
      </c>
      <c r="AF9" s="5">
        <f>F8</f>
        <v>3584.6</v>
      </c>
      <c r="AG9" s="5">
        <f t="shared" si="0"/>
        <v>1660.6</v>
      </c>
      <c r="AH9" s="5">
        <f>H8</f>
        <v>933.38013645122362</v>
      </c>
      <c r="AI9" s="5">
        <f t="shared" si="1"/>
        <v>1.7791250693567542</v>
      </c>
      <c r="AJ9" s="58">
        <f>CurvaCompactaciónProbetas!K25</f>
        <v>8.0713111267325499E-2</v>
      </c>
      <c r="AK9" s="58">
        <f t="shared" si="6"/>
        <v>0.1552112681117026</v>
      </c>
      <c r="AL9" s="58">
        <f t="shared" si="7"/>
        <v>8.9138908415687182E-3</v>
      </c>
    </row>
    <row r="10" spans="2:42" ht="40.049999999999997" customHeight="1" x14ac:dyDescent="0.5">
      <c r="M10" s="33"/>
      <c r="O10" s="13">
        <v>5</v>
      </c>
      <c r="P10" s="74" t="s">
        <v>116</v>
      </c>
      <c r="Q10" s="64">
        <v>45260</v>
      </c>
      <c r="R10" s="54">
        <v>25</v>
      </c>
      <c r="S10" s="54" t="s">
        <v>107</v>
      </c>
      <c r="T10" s="54" t="str">
        <f>$C$8</f>
        <v>Cilindro #3</v>
      </c>
      <c r="U10" s="74">
        <v>1.6</v>
      </c>
      <c r="V10" s="75">
        <v>0.12</v>
      </c>
      <c r="W10" s="4">
        <f t="shared" si="2"/>
        <v>1.7920000000000003</v>
      </c>
      <c r="X10" s="70">
        <f>W10*$H$8</f>
        <v>1672.6172045205931</v>
      </c>
      <c r="Y10" s="70">
        <f>W10*$H$8/(1+V10)</f>
        <v>1493.408218321958</v>
      </c>
      <c r="Z10" s="5">
        <f t="shared" si="3"/>
        <v>179.2089861986351</v>
      </c>
      <c r="AA10" s="72">
        <f t="shared" si="4"/>
        <v>1627.7241234896126</v>
      </c>
      <c r="AB10" s="72">
        <f t="shared" si="5"/>
        <v>44.893081030980511</v>
      </c>
      <c r="AC10" s="69">
        <f>(AA10+AB10)/$H$8</f>
        <v>1.7920000000000005</v>
      </c>
      <c r="AE10" s="59">
        <v>5119.8</v>
      </c>
      <c r="AF10" s="5">
        <f>F9</f>
        <v>3577.6</v>
      </c>
      <c r="AG10" s="5">
        <f t="shared" si="0"/>
        <v>1542.2000000000003</v>
      </c>
      <c r="AH10" s="5">
        <f>H9</f>
        <v>932.17835945150102</v>
      </c>
      <c r="AI10" s="5">
        <f t="shared" si="1"/>
        <v>1.6544044220329674</v>
      </c>
      <c r="AJ10" s="58">
        <f>CurvaCompactaciónProbetas!K26</f>
        <v>0.11589041095890402</v>
      </c>
      <c r="AK10" s="58">
        <f t="shared" si="6"/>
        <v>7.6783246633388841E-2</v>
      </c>
      <c r="AL10" s="58">
        <f t="shared" si="7"/>
        <v>3.4246575342466425E-2</v>
      </c>
    </row>
    <row r="11" spans="2:42" ht="40.049999999999997" customHeight="1" x14ac:dyDescent="0.5">
      <c r="M11" s="33"/>
      <c r="O11" s="13">
        <v>6</v>
      </c>
      <c r="P11" s="74" t="s">
        <v>117</v>
      </c>
      <c r="Q11" s="64">
        <v>45260</v>
      </c>
      <c r="R11" s="54">
        <v>25</v>
      </c>
      <c r="S11" s="54" t="s">
        <v>107</v>
      </c>
      <c r="T11" s="54" t="str">
        <f>$C$9</f>
        <v>Cilindro #4</v>
      </c>
      <c r="U11" s="74">
        <v>1.75</v>
      </c>
      <c r="V11" s="75">
        <v>0.14000000000000001</v>
      </c>
      <c r="W11" s="4">
        <f t="shared" si="2"/>
        <v>1.9950000000000001</v>
      </c>
      <c r="X11" s="70">
        <f>W11*$H$9</f>
        <v>1859.6958271057447</v>
      </c>
      <c r="Y11" s="70">
        <f>W11*$H$9/(1+V11)</f>
        <v>1631.3121290401268</v>
      </c>
      <c r="Z11" s="5">
        <f t="shared" si="3"/>
        <v>228.38369806561786</v>
      </c>
      <c r="AA11" s="72">
        <f t="shared" si="4"/>
        <v>1778.0309983585232</v>
      </c>
      <c r="AB11" s="72">
        <f t="shared" si="5"/>
        <v>81.664828747221577</v>
      </c>
      <c r="AC11" s="69">
        <f>(AA11+AB11)/$H$9</f>
        <v>1.9950000000000001</v>
      </c>
      <c r="AE11" s="59">
        <v>5161</v>
      </c>
      <c r="AF11" s="5">
        <f>F8</f>
        <v>3584.6</v>
      </c>
      <c r="AG11" s="5">
        <f t="shared" si="0"/>
        <v>1576.4</v>
      </c>
      <c r="AH11" s="5">
        <f>H8</f>
        <v>933.38013645122362</v>
      </c>
      <c r="AI11" s="5">
        <f t="shared" si="1"/>
        <v>1.6889153073190339</v>
      </c>
      <c r="AJ11" s="58">
        <f>CurvaCompactaciónProbetas!K27</f>
        <v>0.13460442691211932</v>
      </c>
      <c r="AK11" s="58">
        <f t="shared" si="6"/>
        <v>0.15342591111827877</v>
      </c>
      <c r="AL11" s="58">
        <f t="shared" si="7"/>
        <v>3.8539807770576348E-2</v>
      </c>
    </row>
    <row r="12" spans="2:42" ht="40.049999999999997" customHeight="1" x14ac:dyDescent="0.5">
      <c r="M12" s="33"/>
      <c r="O12" s="13">
        <v>7</v>
      </c>
      <c r="P12" s="74" t="s">
        <v>118</v>
      </c>
      <c r="Q12" s="64">
        <v>45260</v>
      </c>
      <c r="R12" s="54">
        <v>25</v>
      </c>
      <c r="S12" s="54" t="s">
        <v>107</v>
      </c>
      <c r="T12" s="54" t="str">
        <f>$C$8</f>
        <v>Cilindro #3</v>
      </c>
      <c r="U12" s="74">
        <v>1.7</v>
      </c>
      <c r="V12" s="75">
        <v>0.15</v>
      </c>
      <c r="W12" s="4">
        <f t="shared" si="2"/>
        <v>1.9549999999999998</v>
      </c>
      <c r="X12" s="70">
        <f>W12*$H$8</f>
        <v>1824.7581667621421</v>
      </c>
      <c r="Y12" s="70">
        <f>W12*$H$8/(1+V12)</f>
        <v>1586.7462319670801</v>
      </c>
      <c r="Z12" s="5">
        <f t="shared" si="3"/>
        <v>238.01193479506196</v>
      </c>
      <c r="AA12" s="72">
        <f t="shared" si="4"/>
        <v>1729.4568812077132</v>
      </c>
      <c r="AB12" s="72">
        <f t="shared" si="5"/>
        <v>95.301285554429001</v>
      </c>
      <c r="AC12" s="69">
        <f>(AA12+AB12)/$H$8</f>
        <v>1.9549999999999998</v>
      </c>
      <c r="AE12" s="59">
        <v>5205.3999999999996</v>
      </c>
      <c r="AF12" s="5">
        <f>F9</f>
        <v>3577.6</v>
      </c>
      <c r="AG12" s="5">
        <f t="shared" si="0"/>
        <v>1627.7999999999997</v>
      </c>
      <c r="AH12" s="5">
        <f>H9</f>
        <v>932.17835945150102</v>
      </c>
      <c r="AI12" s="5">
        <f t="shared" si="1"/>
        <v>1.7462323422288053</v>
      </c>
      <c r="AJ12" s="58">
        <f>CurvaCompactaciónProbetas!K28</f>
        <v>0.14028029887536533</v>
      </c>
      <c r="AK12" s="58">
        <f t="shared" si="6"/>
        <v>0.10678652571416601</v>
      </c>
      <c r="AL12" s="58">
        <f t="shared" si="7"/>
        <v>6.4798007497564411E-2</v>
      </c>
    </row>
    <row r="13" spans="2:42" ht="40.049999999999997" customHeight="1" x14ac:dyDescent="0.5">
      <c r="M13" s="33"/>
      <c r="O13" s="13">
        <v>8</v>
      </c>
      <c r="P13" s="74" t="s">
        <v>119</v>
      </c>
      <c r="Q13" s="64">
        <v>45260</v>
      </c>
      <c r="R13" s="54">
        <v>25</v>
      </c>
      <c r="S13" s="54" t="s">
        <v>107</v>
      </c>
      <c r="T13" s="54" t="str">
        <f>$C$9</f>
        <v>Cilindro #4</v>
      </c>
      <c r="U13" s="74">
        <v>1.6</v>
      </c>
      <c r="V13" s="75">
        <v>0.16</v>
      </c>
      <c r="W13" s="4">
        <f t="shared" si="2"/>
        <v>1.8559999999999999</v>
      </c>
      <c r="X13" s="70">
        <f>W13*$H$9</f>
        <v>1730.1230351419858</v>
      </c>
      <c r="Y13" s="70">
        <f>W13*$H$9/(1+V13)</f>
        <v>1491.4853751224016</v>
      </c>
      <c r="Z13" s="5">
        <f t="shared" si="3"/>
        <v>238.63766001958425</v>
      </c>
      <c r="AA13" s="72">
        <f t="shared" si="4"/>
        <v>1625.628341356364</v>
      </c>
      <c r="AB13" s="72">
        <f t="shared" si="5"/>
        <v>104.49469378562193</v>
      </c>
      <c r="AC13" s="69">
        <f>(AA13+AB13)/$H$9</f>
        <v>1.8559999999999999</v>
      </c>
      <c r="AE13" s="59">
        <v>5245.8</v>
      </c>
      <c r="AF13" s="5">
        <f>F8</f>
        <v>3584.6</v>
      </c>
      <c r="AG13" s="5">
        <f t="shared" si="0"/>
        <v>1661.2000000000003</v>
      </c>
      <c r="AH13" s="5">
        <f>H8</f>
        <v>933.38013645122362</v>
      </c>
      <c r="AI13" s="5">
        <f t="shared" si="1"/>
        <v>1.7797678942643869</v>
      </c>
      <c r="AJ13" s="58">
        <f>CurvaCompactaciónProbetas!K29</f>
        <v>0.15156950672645753</v>
      </c>
      <c r="AK13" s="58">
        <f t="shared" si="6"/>
        <v>4.1073332831688049E-2</v>
      </c>
      <c r="AL13" s="58">
        <f t="shared" si="7"/>
        <v>5.2690582959640485E-2</v>
      </c>
    </row>
    <row r="14" spans="2:42" ht="40.049999999999997" customHeight="1" x14ac:dyDescent="0.5">
      <c r="M14" s="33"/>
      <c r="O14" s="95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7"/>
      <c r="AE14" s="78"/>
      <c r="AF14" s="79"/>
      <c r="AG14" s="79"/>
      <c r="AH14" s="79"/>
      <c r="AI14" s="79"/>
      <c r="AJ14" s="80"/>
      <c r="AK14" s="80"/>
      <c r="AL14" s="80"/>
      <c r="AM14" s="83" t="s">
        <v>28</v>
      </c>
      <c r="AN14" s="51"/>
      <c r="AO14" s="4" t="s">
        <v>141</v>
      </c>
      <c r="AP14" s="4"/>
    </row>
    <row r="15" spans="2:42" ht="40.049999999999997" customHeight="1" x14ac:dyDescent="0.5">
      <c r="M15" s="33"/>
      <c r="O15" s="13">
        <v>9</v>
      </c>
      <c r="P15" s="76" t="s">
        <v>126</v>
      </c>
      <c r="Q15" s="64">
        <v>45267</v>
      </c>
      <c r="R15" s="54">
        <v>56</v>
      </c>
      <c r="S15" s="54" t="s">
        <v>106</v>
      </c>
      <c r="T15" s="54" t="str">
        <f>$C$8</f>
        <v>Cilindro #3</v>
      </c>
      <c r="U15" s="76">
        <v>1.82</v>
      </c>
      <c r="V15" s="77">
        <v>0.14499999999999999</v>
      </c>
      <c r="W15" s="4">
        <f>U15*(1+V15)</f>
        <v>2.0839000000000003</v>
      </c>
      <c r="X15" s="70">
        <f>W15*$H$8</f>
        <v>1945.0708663507053</v>
      </c>
      <c r="Y15" s="70">
        <f>W15*$H$8/(1+V15)</f>
        <v>1698.7518483412273</v>
      </c>
      <c r="Z15" s="5">
        <f>X15-Y15</f>
        <v>246.31901800947799</v>
      </c>
      <c r="AA15" s="72">
        <f>Y15*(1+$M$6)</f>
        <v>1851.5361904694346</v>
      </c>
      <c r="AB15" s="72">
        <f t="shared" ref="AB15:AB23" si="8">Z15-Y15*$M$6</f>
        <v>93.534675881270886</v>
      </c>
      <c r="AC15" s="69">
        <f>(AA15+AB15)/$H$8</f>
        <v>2.0839000000000008</v>
      </c>
      <c r="AE15" s="59">
        <v>5475</v>
      </c>
      <c r="AF15" s="5">
        <f>F8</f>
        <v>3584.6</v>
      </c>
      <c r="AG15" s="84">
        <f t="shared" ref="AG15:AG21" si="9">AE15-AF15</f>
        <v>1890.4</v>
      </c>
      <c r="AH15" s="5">
        <f t="shared" ref="AH15:AH23" si="10">$H$9</f>
        <v>932.17835945150102</v>
      </c>
      <c r="AI15" s="5">
        <f t="shared" ref="AI15:AI23" si="11">AG15/AH15</f>
        <v>2.0279380880632352</v>
      </c>
      <c r="AJ15" s="58">
        <f>CurvaCompactaciónProbetas!K31</f>
        <v>0.1430861723446894</v>
      </c>
      <c r="AK15" s="58">
        <f>ABS(W15-AI15)/W15</f>
        <v>2.6854413329221716E-2</v>
      </c>
      <c r="AL15" s="58">
        <f>ABS(V15-AJ15)/V15</f>
        <v>1.3198811415935107E-2</v>
      </c>
      <c r="AM15" s="85">
        <v>1896.2</v>
      </c>
      <c r="AN15" s="4" t="str">
        <f>P15</f>
        <v>M4 - 56 - Mod</v>
      </c>
      <c r="AO15" s="5">
        <f>AG15-AM15</f>
        <v>-5.7999999999999545</v>
      </c>
      <c r="AP15" s="4"/>
    </row>
    <row r="16" spans="2:42" ht="40.049999999999997" customHeight="1" x14ac:dyDescent="0.5">
      <c r="M16" s="33"/>
      <c r="O16" s="13">
        <v>10</v>
      </c>
      <c r="P16" s="76" t="s">
        <v>127</v>
      </c>
      <c r="Q16" s="64">
        <v>45267</v>
      </c>
      <c r="R16" s="54">
        <v>56</v>
      </c>
      <c r="S16" s="54" t="s">
        <v>106</v>
      </c>
      <c r="T16" s="54" t="str">
        <f>$C$9</f>
        <v>Cilindro #4</v>
      </c>
      <c r="U16" s="76">
        <v>1.7649999999999999</v>
      </c>
      <c r="V16" s="81">
        <v>0.17</v>
      </c>
      <c r="W16" s="4">
        <f t="shared" ref="W16:W20" si="12">U16*(1+V16)</f>
        <v>2.0650499999999998</v>
      </c>
      <c r="X16" s="70">
        <f>W16*$H$9</f>
        <v>1924.994921185322</v>
      </c>
      <c r="Y16" s="70">
        <f>W16*$H$9/(1+V16)</f>
        <v>1645.2948044318994</v>
      </c>
      <c r="Z16" s="5">
        <f t="shared" ref="Z16:Z20" si="13">X16-Y16</f>
        <v>279.70011675342266</v>
      </c>
      <c r="AA16" s="72">
        <f t="shared" ref="AA16:AA20" si="14">Y16*(1+$M$6)</f>
        <v>1793.2712640587392</v>
      </c>
      <c r="AB16" s="72">
        <f t="shared" si="8"/>
        <v>131.72365712658299</v>
      </c>
      <c r="AC16" s="69">
        <f>(AA16+AB16)/$H$9</f>
        <v>2.0650500000000003</v>
      </c>
      <c r="AE16" s="59">
        <v>5476.4</v>
      </c>
      <c r="AF16" s="5">
        <f>F9</f>
        <v>3577.6</v>
      </c>
      <c r="AG16" s="84">
        <f t="shared" si="9"/>
        <v>1898.7999999999997</v>
      </c>
      <c r="AH16" s="5">
        <f t="shared" si="10"/>
        <v>932.17835945150102</v>
      </c>
      <c r="AI16" s="5">
        <f t="shared" si="11"/>
        <v>2.03694923911049</v>
      </c>
      <c r="AJ16" s="58">
        <f>CurvaCompactaciónProbetas!K32</f>
        <v>0.17279256442754556</v>
      </c>
      <c r="AK16" s="58">
        <f t="shared" ref="AK16:AK23" si="15">ABS(W16-AI16)/W16</f>
        <v>1.3607787167143585E-2</v>
      </c>
      <c r="AL16" s="58">
        <f t="shared" ref="AL16:AL23" si="16">ABS(V16-AJ16)/V16</f>
        <v>1.6426849573797364E-2</v>
      </c>
      <c r="AM16" s="85">
        <v>1853.2</v>
      </c>
      <c r="AN16" s="4" t="str">
        <f t="shared" ref="AN16:AN23" si="17">P16</f>
        <v>M5 - 56 - Mod</v>
      </c>
      <c r="AO16" s="5">
        <f>AG16-AM16</f>
        <v>45.599999999999682</v>
      </c>
      <c r="AP16" s="4" t="s">
        <v>140</v>
      </c>
    </row>
    <row r="17" spans="13:42" ht="40.049999999999997" customHeight="1" x14ac:dyDescent="0.5">
      <c r="M17" s="33"/>
      <c r="O17" s="13">
        <v>11</v>
      </c>
      <c r="P17" s="76" t="s">
        <v>128</v>
      </c>
      <c r="Q17" s="64">
        <v>45267</v>
      </c>
      <c r="R17" s="54">
        <v>56</v>
      </c>
      <c r="S17" s="54" t="s">
        <v>106</v>
      </c>
      <c r="T17" s="54" t="str">
        <f>C6</f>
        <v>Cilindro #1</v>
      </c>
      <c r="U17" s="76">
        <v>1.68</v>
      </c>
      <c r="V17" s="81">
        <v>0.19</v>
      </c>
      <c r="W17" s="4">
        <f t="shared" si="12"/>
        <v>1.9991999999999999</v>
      </c>
      <c r="X17" s="70">
        <f>W17*$H$8</f>
        <v>1866.0135687932861</v>
      </c>
      <c r="Y17" s="70">
        <f>W17*$H$8/(1+V17)</f>
        <v>1568.0786292380556</v>
      </c>
      <c r="Z17" s="5">
        <f t="shared" si="13"/>
        <v>297.93493955523059</v>
      </c>
      <c r="AA17" s="72">
        <f t="shared" si="14"/>
        <v>1709.1103296640929</v>
      </c>
      <c r="AB17" s="72">
        <f t="shared" si="8"/>
        <v>156.90323912919331</v>
      </c>
      <c r="AC17" s="69">
        <f>(AA17+AB17)/$H$8</f>
        <v>1.9991999999999999</v>
      </c>
      <c r="AE17" s="59">
        <v>5415.8</v>
      </c>
      <c r="AF17" s="5">
        <v>3579</v>
      </c>
      <c r="AG17" s="84">
        <f t="shared" si="9"/>
        <v>1836.8000000000002</v>
      </c>
      <c r="AH17" s="5">
        <f t="shared" si="10"/>
        <v>932.17835945150102</v>
      </c>
      <c r="AI17" s="5">
        <f t="shared" si="11"/>
        <v>1.9704383623331307</v>
      </c>
      <c r="AJ17" s="58">
        <f>CurvaCompactaciónProbetas!K33</f>
        <v>0.1863437537080784</v>
      </c>
      <c r="AK17" s="58">
        <f t="shared" si="15"/>
        <v>1.438657346281969E-2</v>
      </c>
      <c r="AL17" s="58">
        <f t="shared" si="16"/>
        <v>1.9243401536429474E-2</v>
      </c>
      <c r="AM17" s="85">
        <v>1805</v>
      </c>
      <c r="AN17" s="4" t="str">
        <f t="shared" si="17"/>
        <v>M6 - 56 - Mod</v>
      </c>
      <c r="AO17" s="5">
        <f>AG17-AM17</f>
        <v>31.800000000000182</v>
      </c>
      <c r="AP17" s="4" t="s">
        <v>140</v>
      </c>
    </row>
    <row r="18" spans="13:42" ht="40.049999999999997" customHeight="1" x14ac:dyDescent="0.5">
      <c r="M18" s="33"/>
      <c r="O18" s="13">
        <v>12</v>
      </c>
      <c r="P18" s="76" t="s">
        <v>133</v>
      </c>
      <c r="Q18" s="64">
        <v>45267</v>
      </c>
      <c r="R18" s="54">
        <v>25</v>
      </c>
      <c r="S18" s="54" t="s">
        <v>107</v>
      </c>
      <c r="T18" s="54" t="str">
        <f>C7</f>
        <v>Cilindro #2</v>
      </c>
      <c r="U18" s="76">
        <v>1.65</v>
      </c>
      <c r="V18" s="77">
        <v>0.17</v>
      </c>
      <c r="W18" s="4">
        <f t="shared" si="12"/>
        <v>1.9304999999999999</v>
      </c>
      <c r="X18" s="70">
        <f>W18*$H$9</f>
        <v>1799.5703229211226</v>
      </c>
      <c r="Y18" s="70">
        <f>W18*$H$9/(1+V18)</f>
        <v>1538.0942930949766</v>
      </c>
      <c r="Z18" s="5">
        <f t="shared" si="13"/>
        <v>261.47602982614603</v>
      </c>
      <c r="AA18" s="72">
        <f t="shared" si="14"/>
        <v>1676.4292270237504</v>
      </c>
      <c r="AB18" s="72">
        <f t="shared" si="8"/>
        <v>123.14109589737242</v>
      </c>
      <c r="AC18" s="69">
        <f>(AA18+AB18)/$H$9</f>
        <v>1.9305000000000001</v>
      </c>
      <c r="AD18" s="82"/>
      <c r="AE18" s="59">
        <v>5323.4</v>
      </c>
      <c r="AF18" s="5">
        <v>3575.2</v>
      </c>
      <c r="AG18" s="84">
        <f t="shared" si="9"/>
        <v>1748.1999999999998</v>
      </c>
      <c r="AH18" s="5">
        <f t="shared" si="10"/>
        <v>932.17835945150102</v>
      </c>
      <c r="AI18" s="5">
        <f t="shared" si="11"/>
        <v>1.8753921739061294</v>
      </c>
      <c r="AJ18" s="58">
        <f>CurvaCompactaciónProbetas!K34</f>
        <v>0.16556028504471754</v>
      </c>
      <c r="AK18" s="58">
        <f t="shared" si="15"/>
        <v>2.854588246250735E-2</v>
      </c>
      <c r="AL18" s="58">
        <f t="shared" si="16"/>
        <v>2.6115970325191029E-2</v>
      </c>
      <c r="AM18" s="85">
        <v>1745.8</v>
      </c>
      <c r="AN18" s="4" t="str">
        <f t="shared" si="17"/>
        <v>M5 - 25 - Est</v>
      </c>
      <c r="AO18" s="5">
        <f>AG18-AM18</f>
        <v>2.3999999999998636</v>
      </c>
      <c r="AP18" s="4"/>
    </row>
    <row r="19" spans="13:42" ht="40.15" customHeight="1" x14ac:dyDescent="0.5">
      <c r="O19" s="13">
        <v>13</v>
      </c>
      <c r="P19" s="76" t="s">
        <v>134</v>
      </c>
      <c r="Q19" s="64">
        <v>45267</v>
      </c>
      <c r="R19" s="54">
        <v>25</v>
      </c>
      <c r="S19" s="54" t="s">
        <v>107</v>
      </c>
      <c r="T19" s="54" t="s">
        <v>139</v>
      </c>
      <c r="U19" s="76">
        <v>1.63</v>
      </c>
      <c r="V19" s="77">
        <v>0.2</v>
      </c>
      <c r="W19" s="4">
        <f t="shared" si="12"/>
        <v>1.9559999999999997</v>
      </c>
      <c r="X19" s="70">
        <f>W19*$H$8</f>
        <v>1825.6915468985931</v>
      </c>
      <c r="Y19" s="70">
        <f>W19*$H$8/(1+V19)</f>
        <v>1521.4096224154944</v>
      </c>
      <c r="Z19" s="5">
        <f t="shared" si="13"/>
        <v>304.28192448309869</v>
      </c>
      <c r="AA19" s="72">
        <f t="shared" si="14"/>
        <v>1658.2439508050425</v>
      </c>
      <c r="AB19" s="72">
        <f t="shared" si="8"/>
        <v>167.44759609355063</v>
      </c>
      <c r="AC19" s="69">
        <f>(AA19+AB19)/$H$8</f>
        <v>1.9559999999999997</v>
      </c>
      <c r="AE19" s="59">
        <v>5363.4</v>
      </c>
      <c r="AF19" s="5"/>
      <c r="AG19" s="84">
        <f t="shared" si="9"/>
        <v>5363.4</v>
      </c>
      <c r="AH19" s="5">
        <f t="shared" si="10"/>
        <v>932.17835945150102</v>
      </c>
      <c r="AI19" s="5">
        <f>AM19/AH19</f>
        <v>1.9187315194191186</v>
      </c>
      <c r="AJ19" s="58">
        <f>CurvaCompactaciónProbetas!K35</f>
        <v>0.19470446643487566</v>
      </c>
      <c r="AK19" s="58">
        <f t="shared" si="15"/>
        <v>1.905341542989835E-2</v>
      </c>
      <c r="AL19" s="58">
        <f t="shared" si="16"/>
        <v>2.6477667825621776E-2</v>
      </c>
      <c r="AM19" s="85">
        <v>1788.6</v>
      </c>
      <c r="AN19" s="4" t="str">
        <f t="shared" si="17"/>
        <v>M6 - 25 - Est</v>
      </c>
      <c r="AO19" s="5"/>
      <c r="AP19" s="4"/>
    </row>
    <row r="20" spans="13:42" ht="40.15" customHeight="1" x14ac:dyDescent="0.5">
      <c r="O20" s="13">
        <v>14</v>
      </c>
      <c r="P20" s="76" t="s">
        <v>135</v>
      </c>
      <c r="Q20" s="64">
        <v>45267</v>
      </c>
      <c r="R20" s="54">
        <v>25</v>
      </c>
      <c r="S20" s="54" t="s">
        <v>107</v>
      </c>
      <c r="T20" s="54"/>
      <c r="U20" s="76">
        <v>1.55</v>
      </c>
      <c r="V20" s="77">
        <v>0.22</v>
      </c>
      <c r="W20" s="4">
        <f t="shared" si="12"/>
        <v>1.891</v>
      </c>
      <c r="X20" s="70">
        <f>W20*$H$9</f>
        <v>1762.7492777227885</v>
      </c>
      <c r="Y20" s="70">
        <f>W20*$H$9/(1+V20)</f>
        <v>1444.8764571498266</v>
      </c>
      <c r="Z20" s="5">
        <f t="shared" si="13"/>
        <v>317.87282057296193</v>
      </c>
      <c r="AA20" s="72">
        <f t="shared" si="14"/>
        <v>1574.8274556889776</v>
      </c>
      <c r="AB20" s="72">
        <f t="shared" si="8"/>
        <v>187.92182203381094</v>
      </c>
      <c r="AC20" s="69">
        <f>(AA20+AB20)/$H$9</f>
        <v>1.891</v>
      </c>
      <c r="AE20" s="59"/>
      <c r="AF20" s="5"/>
      <c r="AG20" s="84"/>
      <c r="AH20" s="5"/>
      <c r="AI20" s="5"/>
      <c r="AJ20" s="58"/>
      <c r="AK20" s="58"/>
      <c r="AL20" s="58"/>
      <c r="AM20" s="85"/>
      <c r="AN20" s="4" t="str">
        <f t="shared" si="17"/>
        <v>M7 - 25 - Est</v>
      </c>
      <c r="AO20" s="5">
        <f>AG20-AM20</f>
        <v>0</v>
      </c>
      <c r="AP20" s="4"/>
    </row>
    <row r="21" spans="13:42" ht="40.15" customHeight="1" x14ac:dyDescent="0.5">
      <c r="O21" s="13">
        <v>15</v>
      </c>
      <c r="P21" s="76" t="s">
        <v>129</v>
      </c>
      <c r="Q21" s="64">
        <v>45267</v>
      </c>
      <c r="R21" s="54">
        <v>25</v>
      </c>
      <c r="S21" s="54" t="s">
        <v>106</v>
      </c>
      <c r="T21" s="54" t="s">
        <v>136</v>
      </c>
      <c r="U21" s="76">
        <v>1.75</v>
      </c>
      <c r="V21" s="77">
        <v>0.14000000000000001</v>
      </c>
      <c r="W21" s="4">
        <f>U21*(1+V21)</f>
        <v>1.9950000000000001</v>
      </c>
      <c r="X21" s="70">
        <f>W21*$H$8</f>
        <v>1862.0933722201912</v>
      </c>
      <c r="Y21" s="70">
        <f>W21*$H$8/(1+V21)</f>
        <v>1633.4152387896413</v>
      </c>
      <c r="Z21" s="5">
        <f>X21-Y21</f>
        <v>228.67813343054991</v>
      </c>
      <c r="AA21" s="72">
        <f>Y21*(1+$M$6)</f>
        <v>1780.3232600667636</v>
      </c>
      <c r="AB21" s="72">
        <f t="shared" si="8"/>
        <v>81.770112153427732</v>
      </c>
      <c r="AC21" s="69">
        <f>(AA21+AB21)/$H$8</f>
        <v>1.9950000000000003</v>
      </c>
      <c r="AE21" s="59">
        <v>5346.8</v>
      </c>
      <c r="AF21" s="5">
        <v>3573.4</v>
      </c>
      <c r="AG21" s="84">
        <f t="shared" si="9"/>
        <v>1773.4</v>
      </c>
      <c r="AH21" s="5">
        <f t="shared" si="10"/>
        <v>932.17835945150102</v>
      </c>
      <c r="AI21" s="5">
        <f t="shared" si="11"/>
        <v>1.9024256270478952</v>
      </c>
      <c r="AJ21" s="58">
        <f>CurvaCompactaciónProbetas!K37</f>
        <v>0.13297332509443671</v>
      </c>
      <c r="AK21" s="58">
        <f t="shared" si="15"/>
        <v>4.6403194462207975E-2</v>
      </c>
      <c r="AL21" s="58">
        <f t="shared" si="16"/>
        <v>5.019053503973786E-2</v>
      </c>
      <c r="AM21" s="85">
        <v>1781.4</v>
      </c>
      <c r="AN21" s="4" t="str">
        <f t="shared" si="17"/>
        <v>M2 - 25 - Mod</v>
      </c>
      <c r="AO21" s="5">
        <f>AG21-AM21</f>
        <v>-8</v>
      </c>
      <c r="AP21" s="4"/>
    </row>
    <row r="22" spans="13:42" ht="40.15" customHeight="1" x14ac:dyDescent="0.5">
      <c r="O22" s="13">
        <v>16</v>
      </c>
      <c r="P22" s="76" t="s">
        <v>130</v>
      </c>
      <c r="Q22" s="64">
        <v>45267</v>
      </c>
      <c r="R22" s="54">
        <v>25</v>
      </c>
      <c r="S22" s="54" t="s">
        <v>106</v>
      </c>
      <c r="T22" s="54" t="s">
        <v>137</v>
      </c>
      <c r="U22" s="76">
        <v>1.72</v>
      </c>
      <c r="V22" s="81">
        <v>0.16</v>
      </c>
      <c r="W22" s="4">
        <f t="shared" ref="W22:W23" si="18">U22*(1+V22)</f>
        <v>1.9951999999999999</v>
      </c>
      <c r="X22" s="70">
        <f>W22*$H$9</f>
        <v>1859.8822627776347</v>
      </c>
      <c r="Y22" s="70">
        <f>W22*$H$9/(1+V22)</f>
        <v>1603.3467782565817</v>
      </c>
      <c r="Z22" s="5">
        <f t="shared" ref="Z22:Z23" si="19">X22-Y22</f>
        <v>256.53548452105292</v>
      </c>
      <c r="AA22" s="72">
        <f t="shared" ref="AA22:AA23" si="20">Y22*(1+$M$6)</f>
        <v>1747.5504669580912</v>
      </c>
      <c r="AB22" s="72">
        <f t="shared" si="8"/>
        <v>112.33179581954346</v>
      </c>
      <c r="AC22" s="69">
        <f>(AA22+AB22)/$H$9</f>
        <v>1.9951999999999999</v>
      </c>
      <c r="AE22" s="59">
        <v>5390</v>
      </c>
      <c r="AF22" s="5">
        <v>3573</v>
      </c>
      <c r="AG22" s="84">
        <f>AE22-AF22</f>
        <v>1817</v>
      </c>
      <c r="AH22" s="5">
        <f t="shared" si="10"/>
        <v>932.17835945150102</v>
      </c>
      <c r="AI22" s="5">
        <f t="shared" si="11"/>
        <v>1.9491977920074577</v>
      </c>
      <c r="AJ22" s="58">
        <f>CurvaCompactaciónProbetas!K38</f>
        <v>0.15578764142732804</v>
      </c>
      <c r="AK22" s="58">
        <f t="shared" si="15"/>
        <v>2.3056439450953377E-2</v>
      </c>
      <c r="AL22" s="58">
        <f t="shared" si="16"/>
        <v>2.632724107919978E-2</v>
      </c>
      <c r="AM22" s="85">
        <v>1808.4</v>
      </c>
      <c r="AN22" s="4" t="str">
        <f t="shared" si="17"/>
        <v>M3 - 25 - Mod</v>
      </c>
      <c r="AO22" s="5">
        <f>AG22-AM22</f>
        <v>8.5999999999999091</v>
      </c>
      <c r="AP22" s="4"/>
    </row>
    <row r="23" spans="13:42" ht="40.15" customHeight="1" x14ac:dyDescent="0.5">
      <c r="O23" s="13">
        <v>17</v>
      </c>
      <c r="P23" s="76" t="s">
        <v>131</v>
      </c>
      <c r="Q23" s="64">
        <v>45267</v>
      </c>
      <c r="R23" s="54">
        <v>25</v>
      </c>
      <c r="S23" s="54" t="s">
        <v>106</v>
      </c>
      <c r="T23" s="54" t="s">
        <v>138</v>
      </c>
      <c r="U23" s="76">
        <v>1.66</v>
      </c>
      <c r="V23" s="81">
        <v>0.18</v>
      </c>
      <c r="W23" s="4">
        <f t="shared" si="18"/>
        <v>1.9587999999999999</v>
      </c>
      <c r="X23" s="70">
        <f>W23*$H$8</f>
        <v>1828.3050112806568</v>
      </c>
      <c r="Y23" s="70">
        <f>W23*$H$8/(1+V23)</f>
        <v>1549.4110265090312</v>
      </c>
      <c r="Z23" s="5">
        <f t="shared" si="19"/>
        <v>278.89398477162558</v>
      </c>
      <c r="AA23" s="72">
        <f t="shared" si="20"/>
        <v>1688.7637781204728</v>
      </c>
      <c r="AB23" s="72">
        <f t="shared" si="8"/>
        <v>139.54123316018396</v>
      </c>
      <c r="AC23" s="69">
        <f>(AA23+AB23)/$H$8</f>
        <v>1.9587999999999999</v>
      </c>
      <c r="AE23" s="59">
        <v>5378.8</v>
      </c>
      <c r="AF23" s="5">
        <v>3576.8</v>
      </c>
      <c r="AG23" s="84">
        <f>AE23-AF23</f>
        <v>1802</v>
      </c>
      <c r="AH23" s="5">
        <f t="shared" si="10"/>
        <v>932.17835945150102</v>
      </c>
      <c r="AI23" s="5">
        <f t="shared" si="11"/>
        <v>1.9331064508516449</v>
      </c>
      <c r="AJ23" s="58">
        <f>CurvaCompactaciónProbetas!K39</f>
        <v>0.16935064935064942</v>
      </c>
      <c r="AK23" s="58">
        <f t="shared" si="15"/>
        <v>1.3116984453928414E-2</v>
      </c>
      <c r="AL23" s="58">
        <f t="shared" si="16"/>
        <v>5.9163059163058751E-2</v>
      </c>
      <c r="AM23" s="85">
        <v>1746.2</v>
      </c>
      <c r="AN23" s="4" t="str">
        <f t="shared" si="17"/>
        <v>M4 - 25 - Mod</v>
      </c>
      <c r="AO23" s="5">
        <f>AG23-AM23</f>
        <v>55.799999999999955</v>
      </c>
      <c r="AP23" s="4" t="s">
        <v>140</v>
      </c>
    </row>
    <row r="24" spans="13:42" ht="40.15" customHeight="1" x14ac:dyDescent="0.5">
      <c r="U24" s="52"/>
    </row>
  </sheetData>
  <mergeCells count="6">
    <mergeCell ref="AE3:AL3"/>
    <mergeCell ref="J7:M7"/>
    <mergeCell ref="O14:AC14"/>
    <mergeCell ref="B3:H3"/>
    <mergeCell ref="J3:M3"/>
    <mergeCell ref="O3:A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ObtenciónProbetas</vt:lpstr>
      <vt:lpstr>CurvaCompactaciónProbetas</vt:lpstr>
      <vt:lpstr>ProcesamientoDatos</vt:lpstr>
      <vt:lpstr>SSW_CalibrationCurve</vt:lpstr>
      <vt:lpstr>ObtenciónProbetasJuanCa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Hernan Paredes Palomo</dc:creator>
  <cp:lastModifiedBy>Pablo Sebastián Alvarado Sarmiento</cp:lastModifiedBy>
  <dcterms:created xsi:type="dcterms:W3CDTF">2023-09-26T20:46:41Z</dcterms:created>
  <dcterms:modified xsi:type="dcterms:W3CDTF">2024-05-02T20:08:42Z</dcterms:modified>
</cp:coreProperties>
</file>