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blo\Desktop\InvestigacionUSFQ\SSWCompleteAnalysis\SingleSolitaryWaveAnalysis\"/>
    </mc:Choice>
  </mc:AlternateContent>
  <xr:revisionPtr revIDLastSave="0" documentId="13_ncr:1_{5A8B0A8A-0114-401F-B1E8-5251657DF34A}" xr6:coauthVersionLast="47" xr6:coauthVersionMax="47" xr10:uidLastSave="{00000000-0000-0000-0000-000000000000}"/>
  <bookViews>
    <workbookView xWindow="-98" yWindow="-98" windowWidth="21795" windowHeight="12975" firstSheet="6" activeTab="8" xr2:uid="{962DEB9F-0C1D-4D7F-86BB-6D8AADC7BE8E}"/>
  </bookViews>
  <sheets>
    <sheet name="E vs K" sheetId="9" r:id="rId1"/>
    <sheet name="SawBones_TOF" sheetId="3" r:id="rId2"/>
    <sheet name="ConPlaca#1" sheetId="12" r:id="rId3"/>
    <sheet name="SinPlaca#1 " sheetId="13" r:id="rId4"/>
    <sheet name="CurvasCompactación" sheetId="15" r:id="rId5"/>
    <sheet name="Ceramica_TOFvsOndaP" sheetId="14" r:id="rId6"/>
    <sheet name="RAW_Ceramica_TOFvsOndaP (2)" sheetId="20" r:id="rId7"/>
    <sheet name="SawBown_Calibration" sheetId="11" r:id="rId8"/>
    <sheet name="SSW_CalibrationCurve" sheetId="4" r:id="rId9"/>
    <sheet name="TOF vs density (LC)" sheetId="17" r:id="rId10"/>
    <sheet name="ProctorsCuadrilla" sheetId="21" r:id="rId11"/>
    <sheet name="TOF vs D. density" sheetId="18" r:id="rId12"/>
    <sheet name="MedicionesCuadrillaProctor" sheetId="19" r:id="rId13"/>
    <sheet name="ModMSWMalchingui" sheetId="16" r:id="rId14"/>
  </sheets>
  <externalReferences>
    <externalReference r:id="rId15"/>
    <externalReference r:id="rId1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4" l="1"/>
  <c r="D17" i="4"/>
  <c r="G11" i="4"/>
  <c r="D6" i="4"/>
  <c r="E6" i="4"/>
  <c r="F6" i="4"/>
  <c r="G6" i="4"/>
  <c r="H6" i="4"/>
  <c r="F14" i="4"/>
  <c r="E14" i="4"/>
  <c r="D14" i="4"/>
  <c r="C14" i="4"/>
  <c r="D21" i="4"/>
  <c r="D27" i="4"/>
  <c r="D26" i="4"/>
  <c r="U24" i="11"/>
  <c r="V24" i="11"/>
  <c r="W24" i="11"/>
  <c r="X24" i="11"/>
  <c r="Y24" i="11"/>
  <c r="Z24" i="11"/>
  <c r="T24" i="11"/>
  <c r="B14" i="4"/>
  <c r="D23" i="4"/>
  <c r="D22" i="4"/>
  <c r="Q7" i="11"/>
  <c r="AM22" i="21"/>
  <c r="AM21" i="21"/>
  <c r="AH17" i="21"/>
  <c r="AI17" i="21"/>
  <c r="AK18" i="21"/>
  <c r="AK19" i="21"/>
  <c r="AK20" i="21"/>
  <c r="AK21" i="21"/>
  <c r="AK22" i="21"/>
  <c r="AK23" i="21"/>
  <c r="AK24" i="21"/>
  <c r="AK25" i="21"/>
  <c r="AK26" i="21"/>
  <c r="AK27" i="21"/>
  <c r="AK28" i="21"/>
  <c r="AK29" i="21"/>
  <c r="AK30" i="21"/>
  <c r="AK31" i="21"/>
  <c r="AK32" i="21"/>
  <c r="AK17" i="21"/>
  <c r="AE17" i="21"/>
  <c r="AH18" i="21"/>
  <c r="AH19" i="21"/>
  <c r="AH20" i="21"/>
  <c r="AJ20" i="21" s="1"/>
  <c r="AH21" i="21"/>
  <c r="AH22" i="21"/>
  <c r="AJ22" i="21" s="1"/>
  <c r="AH23" i="21"/>
  <c r="AH24" i="21"/>
  <c r="AH25" i="21"/>
  <c r="AH26" i="21"/>
  <c r="AH27" i="21"/>
  <c r="AH28" i="21"/>
  <c r="AH29" i="21"/>
  <c r="AH30" i="21"/>
  <c r="AJ30" i="21" s="1"/>
  <c r="AH31" i="21"/>
  <c r="AJ31" i="21" s="1"/>
  <c r="AH32" i="21"/>
  <c r="AE32" i="21"/>
  <c r="AE31" i="21"/>
  <c r="AE30" i="21"/>
  <c r="AE29" i="21"/>
  <c r="AE28" i="21"/>
  <c r="AE27" i="21"/>
  <c r="AE26" i="21"/>
  <c r="AE25" i="21"/>
  <c r="AE24" i="21"/>
  <c r="AE23" i="21"/>
  <c r="AE22" i="21"/>
  <c r="AE21" i="21"/>
  <c r="AE20" i="21"/>
  <c r="AE19" i="21"/>
  <c r="AE18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K9" i="21"/>
  <c r="V9" i="21"/>
  <c r="G70" i="17"/>
  <c r="AI32" i="21"/>
  <c r="AI31" i="21"/>
  <c r="AI30" i="21"/>
  <c r="AI29" i="21"/>
  <c r="AJ29" i="21" s="1"/>
  <c r="AI28" i="21"/>
  <c r="AI27" i="21"/>
  <c r="AI26" i="21"/>
  <c r="AI25" i="21"/>
  <c r="AI24" i="21"/>
  <c r="AI23" i="21"/>
  <c r="AI22" i="21"/>
  <c r="AI21" i="21"/>
  <c r="AI20" i="21"/>
  <c r="AI19" i="21"/>
  <c r="L19" i="21"/>
  <c r="J19" i="21"/>
  <c r="AI18" i="21"/>
  <c r="L18" i="21"/>
  <c r="K18" i="21"/>
  <c r="J18" i="21"/>
  <c r="L17" i="21"/>
  <c r="J17" i="21"/>
  <c r="L16" i="21"/>
  <c r="J16" i="21"/>
  <c r="L15" i="21"/>
  <c r="J15" i="21"/>
  <c r="L14" i="21"/>
  <c r="J14" i="21"/>
  <c r="L13" i="21"/>
  <c r="J13" i="21"/>
  <c r="AK12" i="21"/>
  <c r="AJ12" i="21"/>
  <c r="AI12" i="21"/>
  <c r="AH12" i="21"/>
  <c r="AG12" i="21"/>
  <c r="AF12" i="21"/>
  <c r="AE12" i="21"/>
  <c r="AD12" i="21"/>
  <c r="AC12" i="21"/>
  <c r="AB12" i="21"/>
  <c r="AA12" i="21"/>
  <c r="Z12" i="21"/>
  <c r="Y12" i="21"/>
  <c r="X12" i="21"/>
  <c r="W12" i="21"/>
  <c r="V12" i="21"/>
  <c r="L12" i="21"/>
  <c r="J12" i="21"/>
  <c r="L11" i="21"/>
  <c r="K11" i="21"/>
  <c r="M11" i="21" s="1"/>
  <c r="N11" i="21" s="1"/>
  <c r="J11" i="21"/>
  <c r="L10" i="21"/>
  <c r="J10" i="21"/>
  <c r="T9" i="21"/>
  <c r="K10" i="21" s="1"/>
  <c r="L9" i="21"/>
  <c r="J9" i="21"/>
  <c r="AK8" i="21"/>
  <c r="AJ8" i="21"/>
  <c r="AI8" i="21"/>
  <c r="AH8" i="21"/>
  <c r="AG8" i="21"/>
  <c r="AF8" i="21"/>
  <c r="AE8" i="21"/>
  <c r="AD8" i="21"/>
  <c r="AC8" i="21"/>
  <c r="AB8" i="21"/>
  <c r="AA8" i="21"/>
  <c r="Z8" i="21"/>
  <c r="Y8" i="21"/>
  <c r="X8" i="21"/>
  <c r="W8" i="21"/>
  <c r="V8" i="21"/>
  <c r="L8" i="21"/>
  <c r="J8" i="21"/>
  <c r="T7" i="21"/>
  <c r="T5" i="21" s="1"/>
  <c r="L7" i="21"/>
  <c r="J7" i="21"/>
  <c r="T6" i="21"/>
  <c r="K13" i="21" s="1"/>
  <c r="M13" i="21" s="1"/>
  <c r="L6" i="21"/>
  <c r="J6" i="21"/>
  <c r="L5" i="21"/>
  <c r="K5" i="21"/>
  <c r="J5" i="21"/>
  <c r="T4" i="21"/>
  <c r="K17" i="21" s="1"/>
  <c r="L4" i="21"/>
  <c r="J4" i="21"/>
  <c r="T3" i="21"/>
  <c r="K4" i="21" s="1"/>
  <c r="AJ21" i="21" l="1"/>
  <c r="AJ19" i="21"/>
  <c r="AJ25" i="21"/>
  <c r="AJ27" i="21"/>
  <c r="AJ26" i="21"/>
  <c r="AJ17" i="21"/>
  <c r="AJ24" i="21"/>
  <c r="K6" i="21"/>
  <c r="T8" i="21"/>
  <c r="K9" i="21" s="1"/>
  <c r="M8" i="21"/>
  <c r="N8" i="21" s="1"/>
  <c r="M18" i="21"/>
  <c r="N18" i="21" s="1"/>
  <c r="K19" i="21"/>
  <c r="AJ28" i="21"/>
  <c r="M19" i="21"/>
  <c r="N19" i="21" s="1"/>
  <c r="M17" i="21"/>
  <c r="N17" i="21" s="1"/>
  <c r="K8" i="21"/>
  <c r="M9" i="21"/>
  <c r="N9" i="21" s="1"/>
  <c r="K14" i="21"/>
  <c r="M5" i="21"/>
  <c r="N5" i="21" s="1"/>
  <c r="M14" i="21"/>
  <c r="N14" i="21" s="1"/>
  <c r="N13" i="21"/>
  <c r="AJ18" i="21"/>
  <c r="AJ23" i="21"/>
  <c r="AJ32" i="21"/>
  <c r="M10" i="21"/>
  <c r="N10" i="21" s="1"/>
  <c r="M4" i="21"/>
  <c r="N4" i="21" s="1"/>
  <c r="M6" i="21"/>
  <c r="N6" i="21" s="1"/>
  <c r="K15" i="21"/>
  <c r="M15" i="21" s="1"/>
  <c r="N15" i="21" s="1"/>
  <c r="K7" i="21"/>
  <c r="M7" i="21" s="1"/>
  <c r="N7" i="21" s="1"/>
  <c r="K16" i="21"/>
  <c r="M16" i="21" s="1"/>
  <c r="N16" i="21" s="1"/>
  <c r="K12" i="21"/>
  <c r="M12" i="21" s="1"/>
  <c r="N12" i="21" s="1"/>
  <c r="AI34" i="21" l="1"/>
  <c r="AJ34" i="21"/>
  <c r="L12" i="15"/>
  <c r="Z86" i="20"/>
  <c r="Z87" i="20"/>
  <c r="Z88" i="20"/>
  <c r="Z89" i="20"/>
  <c r="Z90" i="20"/>
  <c r="Y86" i="20"/>
  <c r="Y87" i="20"/>
  <c r="Y88" i="20"/>
  <c r="Y89" i="20"/>
  <c r="Y90" i="20"/>
  <c r="Z76" i="20"/>
  <c r="Z77" i="20"/>
  <c r="Z78" i="20"/>
  <c r="Z79" i="20"/>
  <c r="Z80" i="20"/>
  <c r="Z81" i="20"/>
  <c r="Z82" i="20"/>
  <c r="Y76" i="20"/>
  <c r="Y77" i="20"/>
  <c r="Y78" i="20"/>
  <c r="Y79" i="20"/>
  <c r="Y80" i="20"/>
  <c r="Y81" i="20"/>
  <c r="Y82" i="20"/>
  <c r="Z83" i="20"/>
  <c r="Y83" i="20"/>
  <c r="Z75" i="20"/>
  <c r="Y75" i="20"/>
  <c r="W90" i="20"/>
  <c r="W86" i="20"/>
  <c r="W87" i="20"/>
  <c r="W88" i="20"/>
  <c r="W89" i="20"/>
  <c r="W83" i="20"/>
  <c r="V86" i="20"/>
  <c r="V87" i="20"/>
  <c r="V88" i="20"/>
  <c r="V89" i="20"/>
  <c r="V90" i="20"/>
  <c r="V83" i="20"/>
  <c r="W76" i="20"/>
  <c r="W77" i="20"/>
  <c r="W78" i="20"/>
  <c r="W79" i="20"/>
  <c r="W80" i="20"/>
  <c r="W81" i="20"/>
  <c r="W82" i="20"/>
  <c r="W75" i="20"/>
  <c r="V76" i="20"/>
  <c r="V77" i="20"/>
  <c r="V78" i="20"/>
  <c r="V79" i="20"/>
  <c r="V80" i="20"/>
  <c r="V81" i="20"/>
  <c r="V82" i="20"/>
  <c r="V75" i="20"/>
  <c r="AD35" i="20"/>
  <c r="AD37" i="20"/>
  <c r="AD38" i="20"/>
  <c r="AU56" i="20"/>
  <c r="AS56" i="20"/>
  <c r="AM56" i="20"/>
  <c r="AC56" i="20"/>
  <c r="AB56" i="20"/>
  <c r="D56" i="20"/>
  <c r="AU55" i="20"/>
  <c r="AS55" i="20"/>
  <c r="AM55" i="20"/>
  <c r="AC55" i="20"/>
  <c r="AB55" i="20"/>
  <c r="F55" i="20"/>
  <c r="H55" i="20" s="1"/>
  <c r="V55" i="20" s="1"/>
  <c r="D55" i="20"/>
  <c r="X55" i="20" s="1"/>
  <c r="AU54" i="20"/>
  <c r="AS54" i="20"/>
  <c r="AM54" i="20"/>
  <c r="AC54" i="20"/>
  <c r="AB54" i="20"/>
  <c r="F54" i="20"/>
  <c r="H54" i="20" s="1"/>
  <c r="D54" i="20"/>
  <c r="X54" i="20" s="1"/>
  <c r="AU53" i="20"/>
  <c r="AS53" i="20"/>
  <c r="AM53" i="20"/>
  <c r="AC53" i="20"/>
  <c r="AB53" i="20"/>
  <c r="D53" i="20"/>
  <c r="AU52" i="20"/>
  <c r="AS52" i="20"/>
  <c r="AM52" i="20"/>
  <c r="AC52" i="20"/>
  <c r="AB52" i="20"/>
  <c r="D52" i="20"/>
  <c r="AU51" i="20"/>
  <c r="AS51" i="20"/>
  <c r="AM51" i="20"/>
  <c r="AC51" i="20"/>
  <c r="AB51" i="20"/>
  <c r="AD51" i="20" s="1"/>
  <c r="AW51" i="20" s="1"/>
  <c r="AX51" i="20" s="1"/>
  <c r="F51" i="20"/>
  <c r="H51" i="20" s="1"/>
  <c r="D51" i="20"/>
  <c r="X51" i="20" s="1"/>
  <c r="AU50" i="20"/>
  <c r="AS50" i="20"/>
  <c r="AM50" i="20"/>
  <c r="AC50" i="20"/>
  <c r="AB50" i="20"/>
  <c r="D50" i="20"/>
  <c r="AU49" i="20"/>
  <c r="AS49" i="20"/>
  <c r="AM49" i="20"/>
  <c r="AC49" i="20"/>
  <c r="AB49" i="20"/>
  <c r="D49" i="20"/>
  <c r="AU42" i="20"/>
  <c r="AS42" i="20"/>
  <c r="AM42" i="20"/>
  <c r="AC42" i="20"/>
  <c r="AB42" i="20"/>
  <c r="D42" i="20"/>
  <c r="AU41" i="20"/>
  <c r="AS41" i="20"/>
  <c r="AM41" i="20"/>
  <c r="AC41" i="20"/>
  <c r="AB41" i="20"/>
  <c r="D41" i="20"/>
  <c r="AU40" i="20"/>
  <c r="AS40" i="20"/>
  <c r="AM40" i="20"/>
  <c r="AC40" i="20"/>
  <c r="AB40" i="20"/>
  <c r="D40" i="20"/>
  <c r="AU39" i="20"/>
  <c r="AS39" i="20"/>
  <c r="AM39" i="20"/>
  <c r="AC39" i="20"/>
  <c r="AB39" i="20"/>
  <c r="D39" i="20"/>
  <c r="AU38" i="20"/>
  <c r="AS38" i="20"/>
  <c r="AM38" i="20"/>
  <c r="AC38" i="20"/>
  <c r="AB38" i="20"/>
  <c r="D38" i="20"/>
  <c r="AU37" i="20"/>
  <c r="AS37" i="20"/>
  <c r="AM37" i="20"/>
  <c r="AC37" i="20"/>
  <c r="AB37" i="20"/>
  <c r="D37" i="20"/>
  <c r="AU36" i="20"/>
  <c r="AS36" i="20"/>
  <c r="AM36" i="20"/>
  <c r="AC36" i="20"/>
  <c r="AB36" i="20"/>
  <c r="D36" i="20"/>
  <c r="AU35" i="20"/>
  <c r="AS35" i="20"/>
  <c r="AM35" i="20"/>
  <c r="AC35" i="20"/>
  <c r="AB35" i="20"/>
  <c r="D35" i="20"/>
  <c r="H28" i="20"/>
  <c r="J28" i="20" s="1"/>
  <c r="L28" i="20" s="1"/>
  <c r="M28" i="20" s="1"/>
  <c r="F28" i="20"/>
  <c r="H27" i="20"/>
  <c r="J27" i="20" s="1"/>
  <c r="L27" i="20" s="1"/>
  <c r="M27" i="20" s="1"/>
  <c r="F27" i="20"/>
  <c r="F26" i="20"/>
  <c r="H26" i="20" s="1"/>
  <c r="J26" i="20" s="1"/>
  <c r="L26" i="20" s="1"/>
  <c r="M26" i="20" s="1"/>
  <c r="F25" i="20"/>
  <c r="H25" i="20" s="1"/>
  <c r="J25" i="20" s="1"/>
  <c r="L25" i="20" s="1"/>
  <c r="M25" i="20" s="1"/>
  <c r="H24" i="20"/>
  <c r="J24" i="20" s="1"/>
  <c r="L24" i="20" s="1"/>
  <c r="M24" i="20" s="1"/>
  <c r="F24" i="20"/>
  <c r="H23" i="20"/>
  <c r="J23" i="20" s="1"/>
  <c r="L23" i="20" s="1"/>
  <c r="M23" i="20" s="1"/>
  <c r="F23" i="20"/>
  <c r="F22" i="20"/>
  <c r="H22" i="20" s="1"/>
  <c r="J22" i="20" s="1"/>
  <c r="L22" i="20" s="1"/>
  <c r="M22" i="20" s="1"/>
  <c r="F21" i="20"/>
  <c r="H21" i="20" s="1"/>
  <c r="J21" i="20" s="1"/>
  <c r="L21" i="20" s="1"/>
  <c r="M21" i="20" s="1"/>
  <c r="H20" i="20"/>
  <c r="J20" i="20" s="1"/>
  <c r="L20" i="20" s="1"/>
  <c r="M20" i="20" s="1"/>
  <c r="F20" i="20"/>
  <c r="H13" i="20"/>
  <c r="J13" i="20" s="1"/>
  <c r="L13" i="20" s="1"/>
  <c r="M13" i="20" s="1"/>
  <c r="F13" i="20"/>
  <c r="F12" i="20"/>
  <c r="H12" i="20" s="1"/>
  <c r="J12" i="20" s="1"/>
  <c r="L12" i="20" s="1"/>
  <c r="M12" i="20" s="1"/>
  <c r="F11" i="20"/>
  <c r="H11" i="20" s="1"/>
  <c r="J11" i="20" s="1"/>
  <c r="L11" i="20" s="1"/>
  <c r="M11" i="20" s="1"/>
  <c r="D10" i="20"/>
  <c r="F10" i="20" s="1"/>
  <c r="H10" i="20" s="1"/>
  <c r="J10" i="20" s="1"/>
  <c r="L10" i="20" s="1"/>
  <c r="M10" i="20" s="1"/>
  <c r="F9" i="20"/>
  <c r="H9" i="20" s="1"/>
  <c r="J9" i="20" s="1"/>
  <c r="L9" i="20" s="1"/>
  <c r="M9" i="20" s="1"/>
  <c r="F8" i="20"/>
  <c r="H8" i="20" s="1"/>
  <c r="J8" i="20" s="1"/>
  <c r="L8" i="20" s="1"/>
  <c r="M8" i="20" s="1"/>
  <c r="F7" i="20"/>
  <c r="H7" i="20" s="1"/>
  <c r="J7" i="20" s="1"/>
  <c r="L7" i="20" s="1"/>
  <c r="M7" i="20" s="1"/>
  <c r="L11" i="15"/>
  <c r="L19" i="19"/>
  <c r="J19" i="19"/>
  <c r="L18" i="19"/>
  <c r="J18" i="19"/>
  <c r="AG17" i="19"/>
  <c r="L17" i="19"/>
  <c r="M17" i="19" s="1"/>
  <c r="N17" i="19" s="1"/>
  <c r="K17" i="19"/>
  <c r="J17" i="19"/>
  <c r="L16" i="19"/>
  <c r="J16" i="19"/>
  <c r="L15" i="19"/>
  <c r="J15" i="19"/>
  <c r="L14" i="19"/>
  <c r="J14" i="19"/>
  <c r="L13" i="19"/>
  <c r="J13" i="19"/>
  <c r="AK12" i="19"/>
  <c r="AJ12" i="19"/>
  <c r="AI12" i="19"/>
  <c r="AH12" i="19"/>
  <c r="AG12" i="19"/>
  <c r="AF12" i="19"/>
  <c r="AE12" i="19"/>
  <c r="AD12" i="19"/>
  <c r="AC12" i="19"/>
  <c r="AB12" i="19"/>
  <c r="AA12" i="19"/>
  <c r="Z12" i="19"/>
  <c r="Y12" i="19"/>
  <c r="X12" i="19"/>
  <c r="W12" i="19"/>
  <c r="V12" i="19"/>
  <c r="L12" i="19"/>
  <c r="M12" i="19" s="1"/>
  <c r="N12" i="19" s="1"/>
  <c r="K12" i="19"/>
  <c r="J12" i="19"/>
  <c r="L11" i="19"/>
  <c r="M11" i="19" s="1"/>
  <c r="N11" i="19" s="1"/>
  <c r="J11" i="19"/>
  <c r="L10" i="19"/>
  <c r="J10" i="19"/>
  <c r="T9" i="19"/>
  <c r="K15" i="19" s="1"/>
  <c r="L9" i="19"/>
  <c r="J9" i="19"/>
  <c r="AK8" i="19"/>
  <c r="AJ8" i="19"/>
  <c r="AI8" i="19"/>
  <c r="AH8" i="19"/>
  <c r="AG8" i="19"/>
  <c r="AF8" i="19"/>
  <c r="AE8" i="19"/>
  <c r="AD8" i="19"/>
  <c r="AC8" i="19"/>
  <c r="AB8" i="19"/>
  <c r="AA8" i="19"/>
  <c r="Z8" i="19"/>
  <c r="Y8" i="19"/>
  <c r="X8" i="19"/>
  <c r="W8" i="19"/>
  <c r="V8" i="19"/>
  <c r="L8" i="19"/>
  <c r="J8" i="19"/>
  <c r="T7" i="19"/>
  <c r="K19" i="19" s="1"/>
  <c r="L7" i="19"/>
  <c r="J7" i="19"/>
  <c r="T6" i="19"/>
  <c r="K18" i="19" s="1"/>
  <c r="L6" i="19"/>
  <c r="J6" i="19"/>
  <c r="T5" i="19"/>
  <c r="T8" i="19" s="1"/>
  <c r="K9" i="19" s="1"/>
  <c r="M9" i="19" s="1"/>
  <c r="N9" i="19" s="1"/>
  <c r="L5" i="19"/>
  <c r="J5" i="19"/>
  <c r="T4" i="19"/>
  <c r="K5" i="19" s="1"/>
  <c r="M5" i="19" s="1"/>
  <c r="N5" i="19" s="1"/>
  <c r="L4" i="19"/>
  <c r="J4" i="19"/>
  <c r="T3" i="19"/>
  <c r="K11" i="19" s="1"/>
  <c r="G38" i="18"/>
  <c r="F38" i="18"/>
  <c r="G37" i="18"/>
  <c r="F37" i="18"/>
  <c r="G36" i="18"/>
  <c r="F36" i="18"/>
  <c r="G34" i="18"/>
  <c r="F34" i="18"/>
  <c r="G32" i="18"/>
  <c r="F32" i="18"/>
  <c r="G31" i="18"/>
  <c r="F31" i="18"/>
  <c r="G29" i="18"/>
  <c r="F29" i="18"/>
  <c r="G28" i="18"/>
  <c r="F28" i="18"/>
  <c r="G27" i="18"/>
  <c r="F27" i="18"/>
  <c r="G26" i="18"/>
  <c r="F26" i="18"/>
  <c r="G25" i="18"/>
  <c r="F25" i="18"/>
  <c r="G24" i="18"/>
  <c r="F24" i="18"/>
  <c r="G23" i="18"/>
  <c r="F23" i="18"/>
  <c r="G21" i="18"/>
  <c r="E21" i="18"/>
  <c r="D21" i="18"/>
  <c r="F21" i="18" s="1"/>
  <c r="C21" i="18"/>
  <c r="B21" i="18"/>
  <c r="E20" i="18"/>
  <c r="G20" i="18" s="1"/>
  <c r="D20" i="18"/>
  <c r="F20" i="18" s="1"/>
  <c r="C20" i="18"/>
  <c r="B20" i="18"/>
  <c r="G19" i="18"/>
  <c r="F19" i="18"/>
  <c r="E19" i="18"/>
  <c r="D19" i="18"/>
  <c r="C19" i="18"/>
  <c r="B19" i="18"/>
  <c r="F18" i="18"/>
  <c r="E18" i="18"/>
  <c r="G18" i="18" s="1"/>
  <c r="D18" i="18"/>
  <c r="C18" i="18"/>
  <c r="B18" i="18"/>
  <c r="E17" i="18"/>
  <c r="G17" i="18" s="1"/>
  <c r="D17" i="18"/>
  <c r="F17" i="18" s="1"/>
  <c r="C17" i="18"/>
  <c r="B17" i="18"/>
  <c r="E16" i="18"/>
  <c r="G16" i="18" s="1"/>
  <c r="D16" i="18"/>
  <c r="F16" i="18" s="1"/>
  <c r="C16" i="18"/>
  <c r="B16" i="18"/>
  <c r="E15" i="18"/>
  <c r="G15" i="18" s="1"/>
  <c r="D15" i="18"/>
  <c r="F15" i="18" s="1"/>
  <c r="C15" i="18"/>
  <c r="B15" i="18"/>
  <c r="E14" i="18"/>
  <c r="G14" i="18" s="1"/>
  <c r="D14" i="18"/>
  <c r="F14" i="18" s="1"/>
  <c r="C14" i="18"/>
  <c r="B14" i="18"/>
  <c r="E12" i="18"/>
  <c r="G12" i="18" s="1"/>
  <c r="D12" i="18"/>
  <c r="F12" i="18" s="1"/>
  <c r="C12" i="18"/>
  <c r="B12" i="18"/>
  <c r="E11" i="18"/>
  <c r="G11" i="18" s="1"/>
  <c r="D11" i="18"/>
  <c r="F11" i="18" s="1"/>
  <c r="C11" i="18"/>
  <c r="B11" i="18"/>
  <c r="G10" i="18"/>
  <c r="E10" i="18"/>
  <c r="D10" i="18"/>
  <c r="F10" i="18" s="1"/>
  <c r="C10" i="18"/>
  <c r="B10" i="18"/>
  <c r="E9" i="18"/>
  <c r="G9" i="18" s="1"/>
  <c r="D9" i="18"/>
  <c r="F9" i="18" s="1"/>
  <c r="C9" i="18"/>
  <c r="B9" i="18"/>
  <c r="G8" i="18"/>
  <c r="F8" i="18"/>
  <c r="E8" i="18"/>
  <c r="D8" i="18"/>
  <c r="C8" i="18"/>
  <c r="B8" i="18"/>
  <c r="F7" i="18"/>
  <c r="E7" i="18"/>
  <c r="G7" i="18" s="1"/>
  <c r="D7" i="18"/>
  <c r="C7" i="18"/>
  <c r="B7" i="18"/>
  <c r="E6" i="18"/>
  <c r="G6" i="18" s="1"/>
  <c r="D6" i="18"/>
  <c r="F6" i="18" s="1"/>
  <c r="C6" i="18"/>
  <c r="B6" i="18"/>
  <c r="E5" i="18"/>
  <c r="G5" i="18" s="1"/>
  <c r="D5" i="18"/>
  <c r="F5" i="18" s="1"/>
  <c r="C5" i="18"/>
  <c r="B5" i="18"/>
  <c r="D64" i="17"/>
  <c r="C64" i="17"/>
  <c r="D63" i="17"/>
  <c r="C63" i="17"/>
  <c r="D62" i="17"/>
  <c r="C62" i="17"/>
  <c r="D61" i="17"/>
  <c r="C61" i="17"/>
  <c r="D60" i="17"/>
  <c r="C60" i="17"/>
  <c r="D59" i="17"/>
  <c r="C59" i="17"/>
  <c r="D58" i="17"/>
  <c r="C58" i="17"/>
  <c r="D57" i="17"/>
  <c r="C57" i="17"/>
  <c r="D56" i="17"/>
  <c r="C56" i="17"/>
  <c r="D55" i="17"/>
  <c r="C55" i="17"/>
  <c r="D54" i="17"/>
  <c r="C54" i="17"/>
  <c r="D53" i="17"/>
  <c r="C53" i="17"/>
  <c r="D52" i="17"/>
  <c r="C52" i="17"/>
  <c r="D51" i="17"/>
  <c r="C51" i="17"/>
  <c r="D50" i="17"/>
  <c r="C50" i="17"/>
  <c r="D49" i="17"/>
  <c r="C49" i="17"/>
  <c r="D44" i="17"/>
  <c r="C40" i="17"/>
  <c r="B40" i="17"/>
  <c r="D40" i="17" s="1"/>
  <c r="C39" i="17"/>
  <c r="B39" i="17"/>
  <c r="D39" i="17" s="1"/>
  <c r="C38" i="17"/>
  <c r="B38" i="17"/>
  <c r="D38" i="17" s="1"/>
  <c r="D37" i="17"/>
  <c r="C37" i="17"/>
  <c r="E37" i="17" s="1"/>
  <c r="B37" i="17"/>
  <c r="C36" i="17"/>
  <c r="B36" i="17"/>
  <c r="D36" i="17" s="1"/>
  <c r="C35" i="17"/>
  <c r="B35" i="17"/>
  <c r="D35" i="17" s="1"/>
  <c r="C34" i="17"/>
  <c r="B34" i="17"/>
  <c r="D34" i="17" s="1"/>
  <c r="C33" i="17"/>
  <c r="B33" i="17"/>
  <c r="D33" i="17" s="1"/>
  <c r="D32" i="17"/>
  <c r="C32" i="17"/>
  <c r="B32" i="17"/>
  <c r="C31" i="17"/>
  <c r="B31" i="17"/>
  <c r="D31" i="17" s="1"/>
  <c r="C30" i="17"/>
  <c r="B30" i="17"/>
  <c r="D30" i="17" s="1"/>
  <c r="C29" i="17"/>
  <c r="B29" i="17"/>
  <c r="D29" i="17" s="1"/>
  <c r="C28" i="17"/>
  <c r="B28" i="17"/>
  <c r="D28" i="17" s="1"/>
  <c r="C27" i="17"/>
  <c r="B27" i="17"/>
  <c r="D27" i="17" s="1"/>
  <c r="C26" i="17"/>
  <c r="B26" i="17"/>
  <c r="D26" i="17" s="1"/>
  <c r="C25" i="17"/>
  <c r="B25" i="17"/>
  <c r="D20" i="17"/>
  <c r="C20" i="17"/>
  <c r="B20" i="17"/>
  <c r="D19" i="17"/>
  <c r="C19" i="17"/>
  <c r="B19" i="17"/>
  <c r="D18" i="17"/>
  <c r="C18" i="17"/>
  <c r="B18" i="17"/>
  <c r="D17" i="17"/>
  <c r="C17" i="17"/>
  <c r="B17" i="17"/>
  <c r="D16" i="17"/>
  <c r="C16" i="17"/>
  <c r="B16" i="17"/>
  <c r="D15" i="17"/>
  <c r="C15" i="17"/>
  <c r="B15" i="17"/>
  <c r="D14" i="17"/>
  <c r="C14" i="17"/>
  <c r="B14" i="17"/>
  <c r="D13" i="17"/>
  <c r="C13" i="17"/>
  <c r="B13" i="17"/>
  <c r="D12" i="17"/>
  <c r="C12" i="17"/>
  <c r="B12" i="17"/>
  <c r="D11" i="17"/>
  <c r="C11" i="17"/>
  <c r="B11" i="17"/>
  <c r="D10" i="17"/>
  <c r="C10" i="17"/>
  <c r="B10" i="17"/>
  <c r="D9" i="17"/>
  <c r="C9" i="17"/>
  <c r="B9" i="17"/>
  <c r="D8" i="17"/>
  <c r="C8" i="17"/>
  <c r="B8" i="17"/>
  <c r="D7" i="17"/>
  <c r="C7" i="17"/>
  <c r="B7" i="17"/>
  <c r="D6" i="17"/>
  <c r="C6" i="17"/>
  <c r="B6" i="17"/>
  <c r="D5" i="17"/>
  <c r="C5" i="17"/>
  <c r="B5" i="17"/>
  <c r="E27" i="17" l="1"/>
  <c r="E28" i="17"/>
  <c r="D46" i="17"/>
  <c r="E32" i="17"/>
  <c r="AD55" i="20"/>
  <c r="AW55" i="20" s="1"/>
  <c r="AX55" i="20" s="1"/>
  <c r="W51" i="20"/>
  <c r="J51" i="20"/>
  <c r="L51" i="20" s="1"/>
  <c r="M51" i="20" s="1"/>
  <c r="Z51" i="20"/>
  <c r="Z35" i="20"/>
  <c r="V51" i="20"/>
  <c r="Z38" i="20"/>
  <c r="Z49" i="20"/>
  <c r="Y51" i="20"/>
  <c r="W56" i="20"/>
  <c r="AD50" i="20"/>
  <c r="AW50" i="20" s="1"/>
  <c r="AX50" i="20" s="1"/>
  <c r="AD56" i="20"/>
  <c r="AW56" i="20" s="1"/>
  <c r="AX56" i="20" s="1"/>
  <c r="W54" i="20"/>
  <c r="AF54" i="20" s="1"/>
  <c r="J54" i="20"/>
  <c r="L54" i="20" s="1"/>
  <c r="M54" i="20" s="1"/>
  <c r="Z54" i="20"/>
  <c r="AD54" i="20"/>
  <c r="AW54" i="20" s="1"/>
  <c r="AX54" i="20" s="1"/>
  <c r="W55" i="20"/>
  <c r="AF55" i="20" s="1"/>
  <c r="J55" i="20"/>
  <c r="L55" i="20" s="1"/>
  <c r="M55" i="20" s="1"/>
  <c r="Y55" i="20"/>
  <c r="Z55" i="20"/>
  <c r="V54" i="20"/>
  <c r="AE54" i="20" s="1"/>
  <c r="AD52" i="20"/>
  <c r="AW52" i="20" s="1"/>
  <c r="AX52" i="20" s="1"/>
  <c r="F41" i="20"/>
  <c r="H41" i="20" s="1"/>
  <c r="F42" i="20"/>
  <c r="H42" i="20" s="1"/>
  <c r="V42" i="20" s="1"/>
  <c r="F37" i="20"/>
  <c r="H37" i="20" s="1"/>
  <c r="J37" i="20" s="1"/>
  <c r="L37" i="20" s="1"/>
  <c r="M37" i="20" s="1"/>
  <c r="F49" i="20"/>
  <c r="H49" i="20" s="1"/>
  <c r="F35" i="20"/>
  <c r="H35" i="20" s="1"/>
  <c r="F38" i="20"/>
  <c r="H38" i="20" s="1"/>
  <c r="J38" i="20" s="1"/>
  <c r="L38" i="20" s="1"/>
  <c r="M38" i="20" s="1"/>
  <c r="F40" i="20"/>
  <c r="H40" i="20" s="1"/>
  <c r="V35" i="20"/>
  <c r="W35" i="20"/>
  <c r="V37" i="20"/>
  <c r="V38" i="20"/>
  <c r="F50" i="20"/>
  <c r="H50" i="20" s="1"/>
  <c r="Y50" i="20" s="1"/>
  <c r="F36" i="20"/>
  <c r="H36" i="20" s="1"/>
  <c r="J36" i="20" s="1"/>
  <c r="L36" i="20" s="1"/>
  <c r="M36" i="20" s="1"/>
  <c r="F39" i="20"/>
  <c r="H39" i="20" s="1"/>
  <c r="AD39" i="20" s="1"/>
  <c r="X35" i="20"/>
  <c r="X36" i="20"/>
  <c r="W37" i="20"/>
  <c r="X38" i="20"/>
  <c r="W39" i="20"/>
  <c r="Y37" i="20"/>
  <c r="F52" i="20"/>
  <c r="H52" i="20" s="1"/>
  <c r="W52" i="20" s="1"/>
  <c r="F56" i="20"/>
  <c r="H56" i="20" s="1"/>
  <c r="X40" i="20"/>
  <c r="F53" i="20"/>
  <c r="H53" i="20" s="1"/>
  <c r="AD53" i="20" s="1"/>
  <c r="AW53" i="20" s="1"/>
  <c r="AX53" i="20" s="1"/>
  <c r="V52" i="20"/>
  <c r="V56" i="20"/>
  <c r="M15" i="19"/>
  <c r="N15" i="19" s="1"/>
  <c r="M18" i="19"/>
  <c r="N18" i="19" s="1"/>
  <c r="M19" i="19"/>
  <c r="N19" i="19" s="1"/>
  <c r="K6" i="19"/>
  <c r="M6" i="19" s="1"/>
  <c r="N6" i="19" s="1"/>
  <c r="K7" i="19"/>
  <c r="M7" i="19" s="1"/>
  <c r="N7" i="19" s="1"/>
  <c r="K16" i="19"/>
  <c r="M16" i="19" s="1"/>
  <c r="N16" i="19" s="1"/>
  <c r="K4" i="19"/>
  <c r="M4" i="19" s="1"/>
  <c r="N4" i="19" s="1"/>
  <c r="K13" i="19"/>
  <c r="M13" i="19" s="1"/>
  <c r="N13" i="19" s="1"/>
  <c r="K8" i="19"/>
  <c r="M8" i="19" s="1"/>
  <c r="N8" i="19" s="1"/>
  <c r="K14" i="19"/>
  <c r="M14" i="19" s="1"/>
  <c r="N14" i="19" s="1"/>
  <c r="K10" i="19"/>
  <c r="M10" i="19" s="1"/>
  <c r="N10" i="19" s="1"/>
  <c r="E29" i="17"/>
  <c r="E30" i="17"/>
  <c r="E34" i="17"/>
  <c r="E26" i="17"/>
  <c r="E35" i="17"/>
  <c r="E36" i="17"/>
  <c r="E39" i="17"/>
  <c r="E31" i="17"/>
  <c r="E33" i="17"/>
  <c r="E38" i="17"/>
  <c r="E40" i="17"/>
  <c r="D25" i="17"/>
  <c r="E25" i="17" s="1"/>
  <c r="D42" i="17" s="1"/>
  <c r="D45" i="17"/>
  <c r="AE39" i="20" l="1"/>
  <c r="AW39" i="20"/>
  <c r="AX39" i="20" s="1"/>
  <c r="AE51" i="20"/>
  <c r="AF51" i="20"/>
  <c r="J53" i="20"/>
  <c r="L53" i="20" s="1"/>
  <c r="M53" i="20" s="1"/>
  <c r="W53" i="20"/>
  <c r="AF35" i="20"/>
  <c r="Z40" i="20"/>
  <c r="J40" i="20"/>
  <c r="L40" i="20" s="1"/>
  <c r="M40" i="20" s="1"/>
  <c r="Y40" i="20"/>
  <c r="AE37" i="20"/>
  <c r="AW37" i="20"/>
  <c r="AX37" i="20" s="1"/>
  <c r="X42" i="20"/>
  <c r="AD42" i="20"/>
  <c r="J42" i="20"/>
  <c r="L42" i="20" s="1"/>
  <c r="M42" i="20" s="1"/>
  <c r="Y42" i="20"/>
  <c r="W42" i="20"/>
  <c r="AF42" i="20" s="1"/>
  <c r="Z42" i="20"/>
  <c r="AE55" i="20"/>
  <c r="Y41" i="20"/>
  <c r="J41" i="20"/>
  <c r="L41" i="20" s="1"/>
  <c r="M41" i="20" s="1"/>
  <c r="Z41" i="20"/>
  <c r="AD41" i="20"/>
  <c r="X41" i="20"/>
  <c r="W41" i="20"/>
  <c r="J39" i="20"/>
  <c r="L39" i="20" s="1"/>
  <c r="M39" i="20" s="1"/>
  <c r="Z39" i="20"/>
  <c r="Y39" i="20"/>
  <c r="Z56" i="20"/>
  <c r="Y56" i="20"/>
  <c r="X56" i="20"/>
  <c r="AE56" i="20" s="1"/>
  <c r="J56" i="20"/>
  <c r="L56" i="20" s="1"/>
  <c r="M56" i="20" s="1"/>
  <c r="W36" i="20"/>
  <c r="V41" i="20"/>
  <c r="Z36" i="20"/>
  <c r="W40" i="20"/>
  <c r="AD40" i="20"/>
  <c r="J35" i="20"/>
  <c r="L35" i="20" s="1"/>
  <c r="M35" i="20" s="1"/>
  <c r="V53" i="20"/>
  <c r="X50" i="20"/>
  <c r="V50" i="20"/>
  <c r="J50" i="20"/>
  <c r="L50" i="20" s="1"/>
  <c r="M50" i="20" s="1"/>
  <c r="Z50" i="20"/>
  <c r="W50" i="20"/>
  <c r="V39" i="20"/>
  <c r="Y52" i="20"/>
  <c r="Z52" i="20"/>
  <c r="X52" i="20"/>
  <c r="AF52" i="20" s="1"/>
  <c r="J52" i="20"/>
  <c r="L52" i="20" s="1"/>
  <c r="M52" i="20" s="1"/>
  <c r="X39" i="20"/>
  <c r="Y38" i="20"/>
  <c r="AF38" i="20" s="1"/>
  <c r="Y49" i="20"/>
  <c r="W49" i="20"/>
  <c r="J49" i="20"/>
  <c r="L49" i="20" s="1"/>
  <c r="M49" i="20" s="1"/>
  <c r="V49" i="20"/>
  <c r="X49" i="20"/>
  <c r="AD49" i="20"/>
  <c r="Y36" i="20"/>
  <c r="V36" i="20"/>
  <c r="V40" i="20"/>
  <c r="Z37" i="20"/>
  <c r="AF37" i="20" s="1"/>
  <c r="AD36" i="20"/>
  <c r="E64" i="17"/>
  <c r="E60" i="17"/>
  <c r="E56" i="17"/>
  <c r="E52" i="17"/>
  <c r="E63" i="17"/>
  <c r="E59" i="17"/>
  <c r="E55" i="17"/>
  <c r="E51" i="17"/>
  <c r="E62" i="17"/>
  <c r="E58" i="17"/>
  <c r="E54" i="17"/>
  <c r="E50" i="17"/>
  <c r="E61" i="17"/>
  <c r="E57" i="17"/>
  <c r="E53" i="17"/>
  <c r="E49" i="17"/>
  <c r="AE38" i="20" l="1"/>
  <c r="AW38" i="20"/>
  <c r="AX38" i="20" s="1"/>
  <c r="AF39" i="20"/>
  <c r="AE52" i="20"/>
  <c r="AF56" i="20"/>
  <c r="AE49" i="20"/>
  <c r="AF49" i="20"/>
  <c r="AW40" i="20"/>
  <c r="AX40" i="20" s="1"/>
  <c r="AE40" i="20"/>
  <c r="AF40" i="20"/>
  <c r="AF36" i="20"/>
  <c r="AE42" i="20"/>
  <c r="AW42" i="20"/>
  <c r="AX42" i="20" s="1"/>
  <c r="AE41" i="20"/>
  <c r="AW41" i="20"/>
  <c r="AX41" i="20" s="1"/>
  <c r="AF50" i="20"/>
  <c r="AE50" i="20"/>
  <c r="AW49" i="20"/>
  <c r="AX49" i="20" s="1"/>
  <c r="AW35" i="20"/>
  <c r="AX35" i="20" s="1"/>
  <c r="AE35" i="20"/>
  <c r="AE36" i="20"/>
  <c r="AW36" i="20"/>
  <c r="AX36" i="20" s="1"/>
  <c r="AF53" i="20"/>
  <c r="AE53" i="20"/>
  <c r="AF41" i="20"/>
  <c r="E65" i="17"/>
  <c r="G49" i="17" s="1"/>
  <c r="G59" i="17" l="1"/>
  <c r="F60" i="17"/>
  <c r="F56" i="17"/>
  <c r="G51" i="17"/>
  <c r="G50" i="17"/>
  <c r="G61" i="17"/>
  <c r="F58" i="17"/>
  <c r="F54" i="17"/>
  <c r="G58" i="17"/>
  <c r="G56" i="17"/>
  <c r="F57" i="17"/>
  <c r="G53" i="17"/>
  <c r="F53" i="17"/>
  <c r="F49" i="17"/>
  <c r="G64" i="17"/>
  <c r="F52" i="17"/>
  <c r="G55" i="17"/>
  <c r="G63" i="17"/>
  <c r="F63" i="17"/>
  <c r="G62" i="17"/>
  <c r="F64" i="17"/>
  <c r="G60" i="17"/>
  <c r="G52" i="17"/>
  <c r="F59" i="17"/>
  <c r="F55" i="17"/>
  <c r="F62" i="17"/>
  <c r="F51" i="17"/>
  <c r="G54" i="17"/>
  <c r="F50" i="17"/>
  <c r="F61" i="17"/>
  <c r="G57" i="17"/>
  <c r="L10" i="15" l="1"/>
  <c r="Y38" i="14"/>
  <c r="Z38" i="14"/>
  <c r="AF38" i="14" s="1"/>
  <c r="AF53" i="14"/>
  <c r="AF50" i="14"/>
  <c r="AF49" i="14"/>
  <c r="AB56" i="14"/>
  <c r="AB51" i="14"/>
  <c r="AB50" i="14"/>
  <c r="AB49" i="14"/>
  <c r="AB41" i="14"/>
  <c r="AB38" i="14"/>
  <c r="AB37" i="14"/>
  <c r="AB36" i="14"/>
  <c r="AW35" i="14"/>
  <c r="AB35" i="14"/>
  <c r="AB39" i="14"/>
  <c r="AB40" i="14"/>
  <c r="AB42" i="14"/>
  <c r="AS41" i="14"/>
  <c r="AS56" i="14"/>
  <c r="AS50" i="14"/>
  <c r="AS51" i="14"/>
  <c r="AS52" i="14"/>
  <c r="AS53" i="14"/>
  <c r="AS54" i="14"/>
  <c r="AS55" i="14"/>
  <c r="AS49" i="14"/>
  <c r="AS36" i="14"/>
  <c r="AS37" i="14"/>
  <c r="AS38" i="14"/>
  <c r="AS39" i="14"/>
  <c r="AS40" i="14"/>
  <c r="AS42" i="14"/>
  <c r="AS35" i="14"/>
  <c r="AM35" i="14"/>
  <c r="D30" i="4" s="1"/>
  <c r="AU35" i="14"/>
  <c r="G14" i="4"/>
  <c r="H14" i="4"/>
  <c r="C45" i="4"/>
  <c r="E45" i="4"/>
  <c r="C39" i="4"/>
  <c r="E39" i="4"/>
  <c r="C40" i="4"/>
  <c r="E40" i="4"/>
  <c r="C41" i="4"/>
  <c r="E41" i="4"/>
  <c r="C42" i="4"/>
  <c r="E42" i="4"/>
  <c r="C43" i="4"/>
  <c r="E43" i="4"/>
  <c r="C44" i="4"/>
  <c r="E44" i="4"/>
  <c r="E38" i="4"/>
  <c r="C38" i="4"/>
  <c r="E31" i="4"/>
  <c r="E32" i="4"/>
  <c r="E33" i="4"/>
  <c r="E34" i="4"/>
  <c r="E35" i="4"/>
  <c r="E36" i="4"/>
  <c r="E37" i="4"/>
  <c r="E30" i="4"/>
  <c r="C37" i="4"/>
  <c r="C31" i="4"/>
  <c r="C32" i="4"/>
  <c r="C33" i="4"/>
  <c r="C34" i="4"/>
  <c r="C35" i="4"/>
  <c r="C36" i="4"/>
  <c r="C30" i="4"/>
  <c r="AM37" i="14"/>
  <c r="D32" i="4" s="1"/>
  <c r="AM36" i="14"/>
  <c r="D31" i="4" s="1"/>
  <c r="AC6" i="13"/>
  <c r="AC7" i="13"/>
  <c r="AC8" i="13"/>
  <c r="AC9" i="13"/>
  <c r="AC10" i="13"/>
  <c r="AC11" i="13"/>
  <c r="AC12" i="13"/>
  <c r="AC13" i="13"/>
  <c r="AC14" i="13"/>
  <c r="AC15" i="13"/>
  <c r="AC16" i="13"/>
  <c r="AC17" i="13"/>
  <c r="AC18" i="13"/>
  <c r="AC19" i="13"/>
  <c r="AC20" i="13"/>
  <c r="AC21" i="13"/>
  <c r="AC22" i="13"/>
  <c r="AC23" i="13"/>
  <c r="AC24" i="13"/>
  <c r="AC25" i="13"/>
  <c r="AC26" i="13"/>
  <c r="AC27" i="13"/>
  <c r="AC28" i="13"/>
  <c r="AC29" i="13"/>
  <c r="AC30" i="13"/>
  <c r="AC31" i="13"/>
  <c r="AC32" i="13"/>
  <c r="AC33" i="13"/>
  <c r="AC34" i="13"/>
  <c r="AC35" i="13"/>
  <c r="AC36" i="13"/>
  <c r="AC37" i="13"/>
  <c r="AC38" i="13"/>
  <c r="AC39" i="13"/>
  <c r="AC40" i="13"/>
  <c r="AC41" i="13"/>
  <c r="AC42" i="13"/>
  <c r="AC43" i="13"/>
  <c r="AC44" i="13"/>
  <c r="AC45" i="13"/>
  <c r="AC46" i="13"/>
  <c r="AC47" i="13"/>
  <c r="AC48" i="13"/>
  <c r="AC49" i="13"/>
  <c r="AC50" i="13"/>
  <c r="AC51" i="13"/>
  <c r="AC52" i="13"/>
  <c r="AC53" i="13"/>
  <c r="AC54" i="13"/>
  <c r="AC55" i="13"/>
  <c r="AC56" i="13"/>
  <c r="AC57" i="13"/>
  <c r="AC58" i="13"/>
  <c r="AC59" i="13"/>
  <c r="AC60" i="13"/>
  <c r="AC61" i="13"/>
  <c r="AC62" i="13"/>
  <c r="AC63" i="13"/>
  <c r="AC64" i="13"/>
  <c r="AC65" i="13"/>
  <c r="AC66" i="13"/>
  <c r="AC67" i="13"/>
  <c r="AC68" i="13"/>
  <c r="AC69" i="13"/>
  <c r="AC70" i="13"/>
  <c r="AC71" i="13"/>
  <c r="AC72" i="13"/>
  <c r="AC73" i="13"/>
  <c r="AC74" i="13"/>
  <c r="AC75" i="13"/>
  <c r="AC76" i="13"/>
  <c r="AC77" i="13"/>
  <c r="AC78" i="13"/>
  <c r="AC79" i="13"/>
  <c r="AC80" i="13"/>
  <c r="AC81" i="13"/>
  <c r="AC82" i="13"/>
  <c r="AC83" i="13"/>
  <c r="AC84" i="13"/>
  <c r="AC85" i="13"/>
  <c r="AC86" i="13"/>
  <c r="AC87" i="13"/>
  <c r="AC88" i="13"/>
  <c r="AC89" i="13"/>
  <c r="AC90" i="13"/>
  <c r="AC91" i="13"/>
  <c r="AC92" i="13"/>
  <c r="AC93" i="13"/>
  <c r="AC94" i="13"/>
  <c r="AC95" i="13"/>
  <c r="AC96" i="13"/>
  <c r="AC97" i="13"/>
  <c r="AC98" i="13"/>
  <c r="AC99" i="13"/>
  <c r="AC100" i="13"/>
  <c r="AC101" i="13"/>
  <c r="AC102" i="13"/>
  <c r="AC103" i="13"/>
  <c r="AC104" i="13"/>
  <c r="AC105" i="13"/>
  <c r="AC106" i="13"/>
  <c r="AC107" i="13"/>
  <c r="AC108" i="13"/>
  <c r="AC109" i="13"/>
  <c r="AC110" i="13"/>
  <c r="AC111" i="13"/>
  <c r="AC112" i="13"/>
  <c r="AC113" i="13"/>
  <c r="AC114" i="13"/>
  <c r="AC115" i="13"/>
  <c r="AC116" i="13"/>
  <c r="AC117" i="13"/>
  <c r="AC118" i="13"/>
  <c r="AC119" i="13"/>
  <c r="AC120" i="13"/>
  <c r="AC121" i="13"/>
  <c r="AC122" i="13"/>
  <c r="AC123" i="13"/>
  <c r="AC124" i="13"/>
  <c r="AC125" i="13"/>
  <c r="AC126" i="13"/>
  <c r="AC127" i="13"/>
  <c r="AC128" i="13"/>
  <c r="AC129" i="13"/>
  <c r="AC130" i="13"/>
  <c r="AC131" i="13"/>
  <c r="AC132" i="13"/>
  <c r="AC133" i="13"/>
  <c r="AC134" i="13"/>
  <c r="AC135" i="13"/>
  <c r="AC136" i="13"/>
  <c r="AC137" i="13"/>
  <c r="AC138" i="13"/>
  <c r="AC139" i="13"/>
  <c r="AC140" i="13"/>
  <c r="AC141" i="13"/>
  <c r="AC142" i="13"/>
  <c r="AC143" i="13"/>
  <c r="AC144" i="13"/>
  <c r="AC145" i="13"/>
  <c r="AC146" i="13"/>
  <c r="AC147" i="13"/>
  <c r="AC148" i="13"/>
  <c r="AC149" i="13"/>
  <c r="AC150" i="13"/>
  <c r="AC151" i="13"/>
  <c r="AC152" i="13"/>
  <c r="AC153" i="13"/>
  <c r="AC154" i="13"/>
  <c r="AC155" i="13"/>
  <c r="AC156" i="13"/>
  <c r="AC157" i="13"/>
  <c r="AC158" i="13"/>
  <c r="AC159" i="13"/>
  <c r="AC160" i="13"/>
  <c r="AC161" i="13"/>
  <c r="AC162" i="13"/>
  <c r="AC163" i="13"/>
  <c r="AC164" i="13"/>
  <c r="AC165" i="13"/>
  <c r="AC166" i="13"/>
  <c r="AC167" i="13"/>
  <c r="AC168" i="13"/>
  <c r="AC169" i="13"/>
  <c r="AC170" i="13"/>
  <c r="AC171" i="13"/>
  <c r="AC172" i="13"/>
  <c r="AC173" i="13"/>
  <c r="AC174" i="13"/>
  <c r="AC175" i="13"/>
  <c r="AC176" i="13"/>
  <c r="AC177" i="13"/>
  <c r="AC178" i="13"/>
  <c r="AC179" i="13"/>
  <c r="AC180" i="13"/>
  <c r="AC181" i="13"/>
  <c r="AC182" i="13"/>
  <c r="AC183" i="13"/>
  <c r="AC184" i="13"/>
  <c r="AC185" i="13"/>
  <c r="AC186" i="13"/>
  <c r="AC187" i="13"/>
  <c r="AC188" i="13"/>
  <c r="AC189" i="13"/>
  <c r="AC190" i="13"/>
  <c r="AC191" i="13"/>
  <c r="AC192" i="13"/>
  <c r="AC193" i="13"/>
  <c r="AC194" i="13"/>
  <c r="AC195" i="13"/>
  <c r="AC196" i="13"/>
  <c r="AC197" i="13"/>
  <c r="AC198" i="13"/>
  <c r="AC199" i="13"/>
  <c r="AC200" i="13"/>
  <c r="AC201" i="13"/>
  <c r="AC202" i="13"/>
  <c r="AC203" i="13"/>
  <c r="AC204" i="13"/>
  <c r="AC205" i="13"/>
  <c r="AC206" i="13"/>
  <c r="AC207" i="13"/>
  <c r="AC208" i="13"/>
  <c r="AC209" i="13"/>
  <c r="AC210" i="13"/>
  <c r="AC211" i="13"/>
  <c r="AC212" i="13"/>
  <c r="AC213" i="13"/>
  <c r="AC214" i="13"/>
  <c r="AC215" i="13"/>
  <c r="AC216" i="13"/>
  <c r="AC217" i="13"/>
  <c r="AC218" i="13"/>
  <c r="AC219" i="13"/>
  <c r="AC220" i="13"/>
  <c r="AC221" i="13"/>
  <c r="AC222" i="13"/>
  <c r="AC223" i="13"/>
  <c r="AC224" i="13"/>
  <c r="AC225" i="13"/>
  <c r="AC226" i="13"/>
  <c r="AC227" i="13"/>
  <c r="AC228" i="13"/>
  <c r="AC229" i="13"/>
  <c r="AC230" i="13"/>
  <c r="AC231" i="13"/>
  <c r="AC232" i="13"/>
  <c r="AC233" i="13"/>
  <c r="AC234" i="13"/>
  <c r="AC235" i="13"/>
  <c r="AC236" i="13"/>
  <c r="AC237" i="13"/>
  <c r="AC238" i="13"/>
  <c r="AC239" i="13"/>
  <c r="AC240" i="13"/>
  <c r="AC241" i="13"/>
  <c r="AC242" i="13"/>
  <c r="AC243" i="13"/>
  <c r="AC244" i="13"/>
  <c r="AC245" i="13"/>
  <c r="AC246" i="13"/>
  <c r="AC247" i="13"/>
  <c r="AC248" i="13"/>
  <c r="AC249" i="13"/>
  <c r="AC250" i="13"/>
  <c r="AC251" i="13"/>
  <c r="AC252" i="13"/>
  <c r="AC253" i="13"/>
  <c r="AC254" i="13"/>
  <c r="AC255" i="13"/>
  <c r="AC256" i="13"/>
  <c r="AC257" i="13"/>
  <c r="AC258" i="13"/>
  <c r="AC259" i="13"/>
  <c r="AC260" i="13"/>
  <c r="AC261" i="13"/>
  <c r="AC262" i="13"/>
  <c r="AC263" i="13"/>
  <c r="AC264" i="13"/>
  <c r="AC265" i="13"/>
  <c r="AC266" i="13"/>
  <c r="AC267" i="13"/>
  <c r="AC268" i="13"/>
  <c r="AC269" i="13"/>
  <c r="AC270" i="13"/>
  <c r="AC271" i="13"/>
  <c r="AC272" i="13"/>
  <c r="AC273" i="13"/>
  <c r="AC274" i="13"/>
  <c r="AC275" i="13"/>
  <c r="AC276" i="13"/>
  <c r="AC277" i="13"/>
  <c r="AC278" i="13"/>
  <c r="AC279" i="13"/>
  <c r="AC280" i="13"/>
  <c r="AC281" i="13"/>
  <c r="AC282" i="13"/>
  <c r="AC283" i="13"/>
  <c r="AC284" i="13"/>
  <c r="AC285" i="13"/>
  <c r="AC286" i="13"/>
  <c r="AC287" i="13"/>
  <c r="AC288" i="13"/>
  <c r="AC289" i="13"/>
  <c r="AC290" i="13"/>
  <c r="AC291" i="13"/>
  <c r="AC292" i="13"/>
  <c r="AC293" i="13"/>
  <c r="AC294" i="13"/>
  <c r="AC295" i="13"/>
  <c r="AC296" i="13"/>
  <c r="AC297" i="13"/>
  <c r="AC298" i="13"/>
  <c r="AC299" i="13"/>
  <c r="AC300" i="13"/>
  <c r="AC301" i="13"/>
  <c r="AC302" i="13"/>
  <c r="AC303" i="13"/>
  <c r="AC304" i="13"/>
  <c r="AC305" i="13"/>
  <c r="AC306" i="13"/>
  <c r="AC307" i="13"/>
  <c r="AC308" i="13"/>
  <c r="AC309" i="13"/>
  <c r="AC310" i="13"/>
  <c r="AC311" i="13"/>
  <c r="AC312" i="13"/>
  <c r="AC313" i="13"/>
  <c r="AC314" i="13"/>
  <c r="AC315" i="13"/>
  <c r="AC316" i="13"/>
  <c r="AC317" i="13"/>
  <c r="AC318" i="13"/>
  <c r="AC319" i="13"/>
  <c r="AC320" i="13"/>
  <c r="AC321" i="13"/>
  <c r="AC322" i="13"/>
  <c r="AC323" i="13"/>
  <c r="AC324" i="13"/>
  <c r="AC325" i="13"/>
  <c r="AC326" i="13"/>
  <c r="AC327" i="13"/>
  <c r="AC328" i="13"/>
  <c r="AC329" i="13"/>
  <c r="AC330" i="13"/>
  <c r="AC331" i="13"/>
  <c r="AC332" i="13"/>
  <c r="AC333" i="13"/>
  <c r="AC334" i="13"/>
  <c r="AC335" i="13"/>
  <c r="AC336" i="13"/>
  <c r="AC337" i="13"/>
  <c r="AC338" i="13"/>
  <c r="AC339" i="13"/>
  <c r="AC340" i="13"/>
  <c r="AC341" i="13"/>
  <c r="AC342" i="13"/>
  <c r="AC343" i="13"/>
  <c r="AC344" i="13"/>
  <c r="AC345" i="13"/>
  <c r="AC346" i="13"/>
  <c r="AC347" i="13"/>
  <c r="AC348" i="13"/>
  <c r="AC349" i="13"/>
  <c r="AC350" i="13"/>
  <c r="AC351" i="13"/>
  <c r="AC352" i="13"/>
  <c r="AC353" i="13"/>
  <c r="AC354" i="13"/>
  <c r="AC355" i="13"/>
  <c r="AC356" i="13"/>
  <c r="AC357" i="13"/>
  <c r="AC358" i="13"/>
  <c r="AC359" i="13"/>
  <c r="AC360" i="13"/>
  <c r="AC361" i="13"/>
  <c r="AC362" i="13"/>
  <c r="AC363" i="13"/>
  <c r="AC364" i="13"/>
  <c r="AC365" i="13"/>
  <c r="AC366" i="13"/>
  <c r="AC367" i="13"/>
  <c r="AC368" i="13"/>
  <c r="AC369" i="13"/>
  <c r="AC370" i="13"/>
  <c r="AC371" i="13"/>
  <c r="AC372" i="13"/>
  <c r="AC373" i="13"/>
  <c r="AC374" i="13"/>
  <c r="AC375" i="13"/>
  <c r="AC376" i="13"/>
  <c r="AC377" i="13"/>
  <c r="AC378" i="13"/>
  <c r="AC379" i="13"/>
  <c r="AC380" i="13"/>
  <c r="AC381" i="13"/>
  <c r="AC382" i="13"/>
  <c r="AC383" i="13"/>
  <c r="AC384" i="13"/>
  <c r="AC385" i="13"/>
  <c r="Y6" i="13"/>
  <c r="Y7" i="13"/>
  <c r="Y8" i="13"/>
  <c r="Y9" i="13"/>
  <c r="Y10" i="13"/>
  <c r="Y11" i="13"/>
  <c r="Y12" i="13"/>
  <c r="Y13" i="13"/>
  <c r="Y14" i="13"/>
  <c r="Y15" i="13"/>
  <c r="Y16" i="13"/>
  <c r="Y17" i="13"/>
  <c r="Y18" i="13"/>
  <c r="Y19" i="13"/>
  <c r="Y20" i="13"/>
  <c r="Y21" i="13"/>
  <c r="Y22" i="13"/>
  <c r="Y23" i="13"/>
  <c r="Y24" i="13"/>
  <c r="Y25" i="13"/>
  <c r="Y26" i="13"/>
  <c r="Y27" i="13"/>
  <c r="Y28" i="13"/>
  <c r="Y29" i="13"/>
  <c r="Y30" i="13"/>
  <c r="Y31" i="13"/>
  <c r="Y32" i="13"/>
  <c r="Y33" i="13"/>
  <c r="Y34" i="13"/>
  <c r="Y35" i="13"/>
  <c r="Y36" i="13"/>
  <c r="Y37" i="13"/>
  <c r="Y38" i="13"/>
  <c r="Y39" i="13"/>
  <c r="Y40" i="13"/>
  <c r="Y41" i="13"/>
  <c r="Y42" i="13"/>
  <c r="Y43" i="13"/>
  <c r="Y44" i="13"/>
  <c r="Y45" i="13"/>
  <c r="Y46" i="13"/>
  <c r="Y47" i="13"/>
  <c r="Y48" i="13"/>
  <c r="Y49" i="13"/>
  <c r="Y50" i="13"/>
  <c r="Y51" i="13"/>
  <c r="Y52" i="13"/>
  <c r="Y53" i="13"/>
  <c r="Y54" i="13"/>
  <c r="Y55" i="13"/>
  <c r="Y56" i="13"/>
  <c r="Y57" i="13"/>
  <c r="Y58" i="13"/>
  <c r="Y59" i="13"/>
  <c r="Y60" i="13"/>
  <c r="Y61" i="13"/>
  <c r="Y62" i="13"/>
  <c r="Y63" i="13"/>
  <c r="Y64" i="13"/>
  <c r="Y65" i="13"/>
  <c r="Y66" i="13"/>
  <c r="Y67" i="13"/>
  <c r="Y68" i="13"/>
  <c r="Y69" i="13"/>
  <c r="Y70" i="13"/>
  <c r="Y71" i="13"/>
  <c r="Y72" i="13"/>
  <c r="Y73" i="13"/>
  <c r="Y74" i="13"/>
  <c r="Y75" i="13"/>
  <c r="Y76" i="13"/>
  <c r="Y77" i="13"/>
  <c r="Y78" i="13"/>
  <c r="Y79" i="13"/>
  <c r="Y80" i="13"/>
  <c r="Y81" i="13"/>
  <c r="Y82" i="13"/>
  <c r="Y83" i="13"/>
  <c r="Y84" i="13"/>
  <c r="Y85" i="13"/>
  <c r="Y86" i="13"/>
  <c r="Y87" i="13"/>
  <c r="Y88" i="13"/>
  <c r="Y89" i="13"/>
  <c r="Y90" i="13"/>
  <c r="Y91" i="13"/>
  <c r="Y92" i="13"/>
  <c r="Y93" i="13"/>
  <c r="Y94" i="13"/>
  <c r="Y95" i="13"/>
  <c r="Y96" i="13"/>
  <c r="Y97" i="13"/>
  <c r="Y98" i="13"/>
  <c r="Y99" i="13"/>
  <c r="Y100" i="13"/>
  <c r="Y101" i="13"/>
  <c r="Y102" i="13"/>
  <c r="Y103" i="13"/>
  <c r="Y104" i="13"/>
  <c r="Y105" i="13"/>
  <c r="Y106" i="13"/>
  <c r="Y107" i="13"/>
  <c r="Y108" i="13"/>
  <c r="Y109" i="13"/>
  <c r="Y110" i="13"/>
  <c r="Y111" i="13"/>
  <c r="Y112" i="13"/>
  <c r="Y113" i="13"/>
  <c r="Y114" i="13"/>
  <c r="Y115" i="13"/>
  <c r="Y116" i="13"/>
  <c r="Y117" i="13"/>
  <c r="Y118" i="13"/>
  <c r="Y119" i="13"/>
  <c r="Y120" i="13"/>
  <c r="Y121" i="13"/>
  <c r="Y122" i="13"/>
  <c r="Y123" i="13"/>
  <c r="Y124" i="13"/>
  <c r="Y125" i="13"/>
  <c r="Y126" i="13"/>
  <c r="Y127" i="13"/>
  <c r="Y128" i="13"/>
  <c r="Y129" i="13"/>
  <c r="Y130" i="13"/>
  <c r="Y131" i="13"/>
  <c r="Y132" i="13"/>
  <c r="Y133" i="13"/>
  <c r="Y134" i="13"/>
  <c r="Y135" i="13"/>
  <c r="Y136" i="13"/>
  <c r="Y137" i="13"/>
  <c r="Y138" i="13"/>
  <c r="Y139" i="13"/>
  <c r="Y140" i="13"/>
  <c r="Y141" i="13"/>
  <c r="Y142" i="13"/>
  <c r="Y143" i="13"/>
  <c r="Y144" i="13"/>
  <c r="Y145" i="13"/>
  <c r="Y146" i="13"/>
  <c r="Y147" i="13"/>
  <c r="Y148" i="13"/>
  <c r="Y149" i="13"/>
  <c r="Y150" i="13"/>
  <c r="Y151" i="13"/>
  <c r="Y152" i="13"/>
  <c r="Y153" i="13"/>
  <c r="Y154" i="13"/>
  <c r="Y155" i="13"/>
  <c r="Y156" i="13"/>
  <c r="Y157" i="13"/>
  <c r="Y158" i="13"/>
  <c r="Y159" i="13"/>
  <c r="Y160" i="13"/>
  <c r="Y161" i="13"/>
  <c r="Y162" i="13"/>
  <c r="Y163" i="13"/>
  <c r="Y164" i="13"/>
  <c r="Y165" i="13"/>
  <c r="Y166" i="13"/>
  <c r="Y167" i="13"/>
  <c r="Y168" i="13"/>
  <c r="Y169" i="13"/>
  <c r="Y170" i="13"/>
  <c r="Y171" i="13"/>
  <c r="Y172" i="13"/>
  <c r="Y173" i="13"/>
  <c r="Y174" i="13"/>
  <c r="Y175" i="13"/>
  <c r="Y176" i="13"/>
  <c r="Y177" i="13"/>
  <c r="Y178" i="13"/>
  <c r="Y179" i="13"/>
  <c r="Y180" i="13"/>
  <c r="Y181" i="13"/>
  <c r="Y182" i="13"/>
  <c r="Y183" i="13"/>
  <c r="Y184" i="13"/>
  <c r="Y185" i="13"/>
  <c r="Y186" i="13"/>
  <c r="Y187" i="13"/>
  <c r="Y188" i="13"/>
  <c r="Y189" i="13"/>
  <c r="Y190" i="13"/>
  <c r="Y191" i="13"/>
  <c r="Y192" i="13"/>
  <c r="Y193" i="13"/>
  <c r="Y194" i="13"/>
  <c r="Y195" i="13"/>
  <c r="Y196" i="13"/>
  <c r="Y197" i="13"/>
  <c r="Y198" i="13"/>
  <c r="Y199" i="13"/>
  <c r="Y200" i="13"/>
  <c r="Y201" i="13"/>
  <c r="Y202" i="13"/>
  <c r="Y203" i="13"/>
  <c r="Y204" i="13"/>
  <c r="Y205" i="13"/>
  <c r="Y206" i="13"/>
  <c r="Y207" i="13"/>
  <c r="Y208" i="13"/>
  <c r="Y209" i="13"/>
  <c r="Y210" i="13"/>
  <c r="Y211" i="13"/>
  <c r="Y212" i="13"/>
  <c r="Y213" i="13"/>
  <c r="Y214" i="13"/>
  <c r="Y215" i="13"/>
  <c r="Y216" i="13"/>
  <c r="Y217" i="13"/>
  <c r="Y218" i="13"/>
  <c r="Y219" i="13"/>
  <c r="Y220" i="13"/>
  <c r="Y221" i="13"/>
  <c r="Y222" i="13"/>
  <c r="Y223" i="13"/>
  <c r="Y224" i="13"/>
  <c r="Y225" i="13"/>
  <c r="Y226" i="13"/>
  <c r="Y227" i="13"/>
  <c r="Y228" i="13"/>
  <c r="Y229" i="13"/>
  <c r="Y230" i="13"/>
  <c r="Y231" i="13"/>
  <c r="Y232" i="13"/>
  <c r="Y233" i="13"/>
  <c r="Y234" i="13"/>
  <c r="Y235" i="13"/>
  <c r="Y236" i="13"/>
  <c r="Y237" i="13"/>
  <c r="Y238" i="13"/>
  <c r="Y239" i="13"/>
  <c r="Y240" i="13"/>
  <c r="Y241" i="13"/>
  <c r="Y242" i="13"/>
  <c r="Y243" i="13"/>
  <c r="Y244" i="13"/>
  <c r="Y245" i="13"/>
  <c r="Y246" i="13"/>
  <c r="Y247" i="13"/>
  <c r="Y248" i="13"/>
  <c r="Y249" i="13"/>
  <c r="Y250" i="13"/>
  <c r="Y251" i="13"/>
  <c r="Y252" i="13"/>
  <c r="Y253" i="13"/>
  <c r="Y254" i="13"/>
  <c r="Y255" i="13"/>
  <c r="Y256" i="13"/>
  <c r="Y257" i="13"/>
  <c r="Y258" i="13"/>
  <c r="Y259" i="13"/>
  <c r="Y260" i="13"/>
  <c r="Y261" i="13"/>
  <c r="Y262" i="13"/>
  <c r="Y263" i="13"/>
  <c r="Y264" i="13"/>
  <c r="Y265" i="13"/>
  <c r="Y266" i="13"/>
  <c r="Y267" i="13"/>
  <c r="Y268" i="13"/>
  <c r="Y269" i="13"/>
  <c r="Y270" i="13"/>
  <c r="Y271" i="13"/>
  <c r="Y272" i="13"/>
  <c r="Y273" i="13"/>
  <c r="Y274" i="13"/>
  <c r="Y275" i="13"/>
  <c r="Y276" i="13"/>
  <c r="Y277" i="13"/>
  <c r="Y278" i="13"/>
  <c r="Y279" i="13"/>
  <c r="Y280" i="13"/>
  <c r="Y281" i="13"/>
  <c r="Y282" i="13"/>
  <c r="Y283" i="13"/>
  <c r="Y284" i="13"/>
  <c r="Y285" i="13"/>
  <c r="Y286" i="13"/>
  <c r="Y287" i="13"/>
  <c r="Y288" i="13"/>
  <c r="Y289" i="13"/>
  <c r="Y290" i="13"/>
  <c r="Y291" i="13"/>
  <c r="Y292" i="13"/>
  <c r="Y293" i="13"/>
  <c r="Y294" i="13"/>
  <c r="Y295" i="13"/>
  <c r="Y296" i="13"/>
  <c r="Y297" i="13"/>
  <c r="Y298" i="13"/>
  <c r="Y299" i="13"/>
  <c r="Y300" i="13"/>
  <c r="Y301" i="13"/>
  <c r="Y302" i="13"/>
  <c r="Y303" i="13"/>
  <c r="Y304" i="13"/>
  <c r="Y305" i="13"/>
  <c r="Y306" i="13"/>
  <c r="Y307" i="13"/>
  <c r="Y308" i="13"/>
  <c r="Y309" i="13"/>
  <c r="Y310" i="13"/>
  <c r="Y311" i="13"/>
  <c r="Y312" i="13"/>
  <c r="Y313" i="13"/>
  <c r="Y314" i="13"/>
  <c r="Y315" i="13"/>
  <c r="Y316" i="13"/>
  <c r="Y317" i="13"/>
  <c r="Y318" i="13"/>
  <c r="Y319" i="13"/>
  <c r="Y320" i="13"/>
  <c r="Y321" i="13"/>
  <c r="Y322" i="13"/>
  <c r="Y323" i="13"/>
  <c r="Y324" i="13"/>
  <c r="Y325" i="13"/>
  <c r="Y326" i="13"/>
  <c r="Y327" i="13"/>
  <c r="Y328" i="13"/>
  <c r="Y329" i="13"/>
  <c r="Y330" i="13"/>
  <c r="Y331" i="13"/>
  <c r="Y332" i="13"/>
  <c r="Y333" i="13"/>
  <c r="Y334" i="13"/>
  <c r="Y335" i="13"/>
  <c r="Y336" i="13"/>
  <c r="Y337" i="13"/>
  <c r="Y338" i="13"/>
  <c r="Y339" i="13"/>
  <c r="Y340" i="13"/>
  <c r="Y341" i="13"/>
  <c r="Y342" i="13"/>
  <c r="Y343" i="13"/>
  <c r="Y344" i="13"/>
  <c r="Y345" i="13"/>
  <c r="Y346" i="13"/>
  <c r="Y347" i="13"/>
  <c r="Y348" i="13"/>
  <c r="Y349" i="13"/>
  <c r="Y350" i="13"/>
  <c r="Y351" i="13"/>
  <c r="Y352" i="13"/>
  <c r="Y353" i="13"/>
  <c r="Y354" i="13"/>
  <c r="Y355" i="13"/>
  <c r="Y356" i="13"/>
  <c r="Y357" i="13"/>
  <c r="Y358" i="13"/>
  <c r="Y359" i="13"/>
  <c r="Y360" i="13"/>
  <c r="Y361" i="13"/>
  <c r="Y362" i="13"/>
  <c r="Y363" i="13"/>
  <c r="Y364" i="13"/>
  <c r="Y365" i="13"/>
  <c r="Y366" i="13"/>
  <c r="Y367" i="13"/>
  <c r="Y368" i="13"/>
  <c r="Y369" i="13"/>
  <c r="Y370" i="13"/>
  <c r="Y371" i="13"/>
  <c r="Y372" i="13"/>
  <c r="Y373" i="13"/>
  <c r="Y374" i="13"/>
  <c r="Y375" i="13"/>
  <c r="Y376" i="13"/>
  <c r="Y377" i="13"/>
  <c r="Y378" i="13"/>
  <c r="Y379" i="13"/>
  <c r="Y380" i="13"/>
  <c r="Y381" i="13"/>
  <c r="Y382" i="13"/>
  <c r="Y383" i="13"/>
  <c r="Y384" i="13"/>
  <c r="Y385" i="13"/>
  <c r="U6" i="13"/>
  <c r="U7" i="13"/>
  <c r="U8" i="13"/>
  <c r="U9" i="13"/>
  <c r="U10" i="13"/>
  <c r="U11" i="13"/>
  <c r="U12" i="13"/>
  <c r="U13" i="13"/>
  <c r="U14" i="13"/>
  <c r="U15" i="13"/>
  <c r="U16" i="13"/>
  <c r="U17" i="13"/>
  <c r="U18" i="13"/>
  <c r="U19" i="13"/>
  <c r="U20" i="13"/>
  <c r="U21" i="13"/>
  <c r="U22" i="13"/>
  <c r="U23" i="13"/>
  <c r="U24" i="13"/>
  <c r="U25" i="13"/>
  <c r="U26" i="13"/>
  <c r="U27" i="13"/>
  <c r="U28" i="13"/>
  <c r="U29" i="13"/>
  <c r="U30" i="13"/>
  <c r="U31" i="13"/>
  <c r="U32" i="13"/>
  <c r="U33" i="13"/>
  <c r="U34" i="13"/>
  <c r="U35" i="13"/>
  <c r="U36" i="13"/>
  <c r="U37" i="13"/>
  <c r="U38" i="13"/>
  <c r="U39" i="13"/>
  <c r="U40" i="13"/>
  <c r="U41" i="13"/>
  <c r="U42" i="13"/>
  <c r="U43" i="13"/>
  <c r="U44" i="13"/>
  <c r="U45" i="13"/>
  <c r="U46" i="13"/>
  <c r="U47" i="13"/>
  <c r="U48" i="13"/>
  <c r="U49" i="13"/>
  <c r="U50" i="13"/>
  <c r="U51" i="13"/>
  <c r="U52" i="13"/>
  <c r="U53" i="13"/>
  <c r="U54" i="13"/>
  <c r="U55" i="13"/>
  <c r="U56" i="13"/>
  <c r="U57" i="13"/>
  <c r="U58" i="13"/>
  <c r="U59" i="13"/>
  <c r="U60" i="13"/>
  <c r="U61" i="13"/>
  <c r="U62" i="13"/>
  <c r="U63" i="13"/>
  <c r="U64" i="13"/>
  <c r="U65" i="13"/>
  <c r="U66" i="13"/>
  <c r="U67" i="13"/>
  <c r="U68" i="13"/>
  <c r="U69" i="13"/>
  <c r="U70" i="13"/>
  <c r="U71" i="13"/>
  <c r="U72" i="13"/>
  <c r="U73" i="13"/>
  <c r="U74" i="13"/>
  <c r="U75" i="13"/>
  <c r="U76" i="13"/>
  <c r="U77" i="13"/>
  <c r="U78" i="13"/>
  <c r="U79" i="13"/>
  <c r="U80" i="13"/>
  <c r="U81" i="13"/>
  <c r="U82" i="13"/>
  <c r="U83" i="13"/>
  <c r="U84" i="13"/>
  <c r="U85" i="13"/>
  <c r="U86" i="13"/>
  <c r="U87" i="13"/>
  <c r="U88" i="13"/>
  <c r="U89" i="13"/>
  <c r="U90" i="13"/>
  <c r="U91" i="13"/>
  <c r="U92" i="13"/>
  <c r="U93" i="13"/>
  <c r="U94" i="13"/>
  <c r="U95" i="13"/>
  <c r="U96" i="13"/>
  <c r="U97" i="13"/>
  <c r="U98" i="13"/>
  <c r="U99" i="13"/>
  <c r="U100" i="13"/>
  <c r="U101" i="13"/>
  <c r="U102" i="13"/>
  <c r="U103" i="13"/>
  <c r="U104" i="13"/>
  <c r="U105" i="13"/>
  <c r="U106" i="13"/>
  <c r="U107" i="13"/>
  <c r="U108" i="13"/>
  <c r="U109" i="13"/>
  <c r="U110" i="13"/>
  <c r="U111" i="13"/>
  <c r="U112" i="13"/>
  <c r="U113" i="13"/>
  <c r="U114" i="13"/>
  <c r="U115" i="13"/>
  <c r="U116" i="13"/>
  <c r="U117" i="13"/>
  <c r="U118" i="13"/>
  <c r="U119" i="13"/>
  <c r="U120" i="13"/>
  <c r="U121" i="13"/>
  <c r="U122" i="13"/>
  <c r="U123" i="13"/>
  <c r="U124" i="13"/>
  <c r="U125" i="13"/>
  <c r="U126" i="13"/>
  <c r="U127" i="13"/>
  <c r="U128" i="13"/>
  <c r="U129" i="13"/>
  <c r="U130" i="13"/>
  <c r="U131" i="13"/>
  <c r="U132" i="13"/>
  <c r="U133" i="13"/>
  <c r="U134" i="13"/>
  <c r="U135" i="13"/>
  <c r="U136" i="13"/>
  <c r="U137" i="13"/>
  <c r="U138" i="13"/>
  <c r="U139" i="13"/>
  <c r="U140" i="13"/>
  <c r="U141" i="13"/>
  <c r="U142" i="13"/>
  <c r="U143" i="13"/>
  <c r="U144" i="13"/>
  <c r="U145" i="13"/>
  <c r="U146" i="13"/>
  <c r="U147" i="13"/>
  <c r="U148" i="13"/>
  <c r="U149" i="13"/>
  <c r="U150" i="13"/>
  <c r="U151" i="13"/>
  <c r="U152" i="13"/>
  <c r="U153" i="13"/>
  <c r="U154" i="13"/>
  <c r="U155" i="13"/>
  <c r="U156" i="13"/>
  <c r="U157" i="13"/>
  <c r="U158" i="13"/>
  <c r="U159" i="13"/>
  <c r="U160" i="13"/>
  <c r="U161" i="13"/>
  <c r="U162" i="13"/>
  <c r="U163" i="13"/>
  <c r="U164" i="13"/>
  <c r="U165" i="13"/>
  <c r="U166" i="13"/>
  <c r="U167" i="13"/>
  <c r="U168" i="13"/>
  <c r="U169" i="13"/>
  <c r="U170" i="13"/>
  <c r="U171" i="13"/>
  <c r="U172" i="13"/>
  <c r="U173" i="13"/>
  <c r="U174" i="13"/>
  <c r="U175" i="13"/>
  <c r="U176" i="13"/>
  <c r="U177" i="13"/>
  <c r="U178" i="13"/>
  <c r="U179" i="13"/>
  <c r="U180" i="13"/>
  <c r="U181" i="13"/>
  <c r="U182" i="13"/>
  <c r="U183" i="13"/>
  <c r="U184" i="13"/>
  <c r="U185" i="13"/>
  <c r="U186" i="13"/>
  <c r="U187" i="13"/>
  <c r="U188" i="13"/>
  <c r="U189" i="13"/>
  <c r="U190" i="13"/>
  <c r="U191" i="13"/>
  <c r="U192" i="13"/>
  <c r="U193" i="13"/>
  <c r="U194" i="13"/>
  <c r="U195" i="13"/>
  <c r="U196" i="13"/>
  <c r="U197" i="13"/>
  <c r="U198" i="13"/>
  <c r="U199" i="13"/>
  <c r="U200" i="13"/>
  <c r="U201" i="13"/>
  <c r="U202" i="13"/>
  <c r="U203" i="13"/>
  <c r="U204" i="13"/>
  <c r="U205" i="13"/>
  <c r="U206" i="13"/>
  <c r="U207" i="13"/>
  <c r="U208" i="13"/>
  <c r="U209" i="13"/>
  <c r="U210" i="13"/>
  <c r="U211" i="13"/>
  <c r="U212" i="13"/>
  <c r="U213" i="13"/>
  <c r="U214" i="13"/>
  <c r="U215" i="13"/>
  <c r="U216" i="13"/>
  <c r="U217" i="13"/>
  <c r="U218" i="13"/>
  <c r="U219" i="13"/>
  <c r="U220" i="13"/>
  <c r="U221" i="13"/>
  <c r="U222" i="13"/>
  <c r="U223" i="13"/>
  <c r="U224" i="13"/>
  <c r="U225" i="13"/>
  <c r="U226" i="13"/>
  <c r="U227" i="13"/>
  <c r="U228" i="13"/>
  <c r="U229" i="13"/>
  <c r="U230" i="13"/>
  <c r="U231" i="13"/>
  <c r="U232" i="13"/>
  <c r="U233" i="13"/>
  <c r="U234" i="13"/>
  <c r="U235" i="13"/>
  <c r="U236" i="13"/>
  <c r="U237" i="13"/>
  <c r="U238" i="13"/>
  <c r="U239" i="13"/>
  <c r="U240" i="13"/>
  <c r="U241" i="13"/>
  <c r="U242" i="13"/>
  <c r="U243" i="13"/>
  <c r="U244" i="13"/>
  <c r="U245" i="13"/>
  <c r="U246" i="13"/>
  <c r="U247" i="13"/>
  <c r="U248" i="13"/>
  <c r="U249" i="13"/>
  <c r="U250" i="13"/>
  <c r="U251" i="13"/>
  <c r="U252" i="13"/>
  <c r="U253" i="13"/>
  <c r="U254" i="13"/>
  <c r="U255" i="13"/>
  <c r="U256" i="13"/>
  <c r="U257" i="13"/>
  <c r="U258" i="13"/>
  <c r="U259" i="13"/>
  <c r="U260" i="13"/>
  <c r="U261" i="13"/>
  <c r="U262" i="13"/>
  <c r="U263" i="13"/>
  <c r="U264" i="13"/>
  <c r="U265" i="13"/>
  <c r="U266" i="13"/>
  <c r="U267" i="13"/>
  <c r="U268" i="13"/>
  <c r="U269" i="13"/>
  <c r="U270" i="13"/>
  <c r="U271" i="13"/>
  <c r="U272" i="13"/>
  <c r="U273" i="13"/>
  <c r="U274" i="13"/>
  <c r="U275" i="13"/>
  <c r="U276" i="13"/>
  <c r="U277" i="13"/>
  <c r="U278" i="13"/>
  <c r="U279" i="13"/>
  <c r="U280" i="13"/>
  <c r="U281" i="13"/>
  <c r="U282" i="13"/>
  <c r="U283" i="13"/>
  <c r="U284" i="13"/>
  <c r="U285" i="13"/>
  <c r="U286" i="13"/>
  <c r="U287" i="13"/>
  <c r="U288" i="13"/>
  <c r="U289" i="13"/>
  <c r="U290" i="13"/>
  <c r="U291" i="13"/>
  <c r="U292" i="13"/>
  <c r="U293" i="13"/>
  <c r="U294" i="13"/>
  <c r="U295" i="13"/>
  <c r="U296" i="13"/>
  <c r="U297" i="13"/>
  <c r="U298" i="13"/>
  <c r="U299" i="13"/>
  <c r="U300" i="13"/>
  <c r="U301" i="13"/>
  <c r="U302" i="13"/>
  <c r="U303" i="13"/>
  <c r="U304" i="13"/>
  <c r="U305" i="13"/>
  <c r="U306" i="13"/>
  <c r="U307" i="13"/>
  <c r="U308" i="13"/>
  <c r="U309" i="13"/>
  <c r="U310" i="13"/>
  <c r="U311" i="13"/>
  <c r="U312" i="13"/>
  <c r="U313" i="13"/>
  <c r="U314" i="13"/>
  <c r="U315" i="13"/>
  <c r="U316" i="13"/>
  <c r="U317" i="13"/>
  <c r="U318" i="13"/>
  <c r="U319" i="13"/>
  <c r="U320" i="13"/>
  <c r="U321" i="13"/>
  <c r="U322" i="13"/>
  <c r="U323" i="13"/>
  <c r="U324" i="13"/>
  <c r="U325" i="13"/>
  <c r="U326" i="13"/>
  <c r="U327" i="13"/>
  <c r="U328" i="13"/>
  <c r="U329" i="13"/>
  <c r="U330" i="13"/>
  <c r="U331" i="13"/>
  <c r="U332" i="13"/>
  <c r="U333" i="13"/>
  <c r="U334" i="13"/>
  <c r="U335" i="13"/>
  <c r="U336" i="13"/>
  <c r="U337" i="13"/>
  <c r="U338" i="13"/>
  <c r="U339" i="13"/>
  <c r="U340" i="13"/>
  <c r="U341" i="13"/>
  <c r="U342" i="13"/>
  <c r="U343" i="13"/>
  <c r="U344" i="13"/>
  <c r="U345" i="13"/>
  <c r="U346" i="13"/>
  <c r="U347" i="13"/>
  <c r="U348" i="13"/>
  <c r="U349" i="13"/>
  <c r="U350" i="13"/>
  <c r="U351" i="13"/>
  <c r="U352" i="13"/>
  <c r="U353" i="13"/>
  <c r="U354" i="13"/>
  <c r="U355" i="13"/>
  <c r="U356" i="13"/>
  <c r="U357" i="13"/>
  <c r="U358" i="13"/>
  <c r="U359" i="13"/>
  <c r="U360" i="13"/>
  <c r="U361" i="13"/>
  <c r="U362" i="13"/>
  <c r="U363" i="13"/>
  <c r="U364" i="13"/>
  <c r="U365" i="13"/>
  <c r="U366" i="13"/>
  <c r="U367" i="13"/>
  <c r="U368" i="13"/>
  <c r="U369" i="13"/>
  <c r="U370" i="13"/>
  <c r="U371" i="13"/>
  <c r="U372" i="13"/>
  <c r="U373" i="13"/>
  <c r="U374" i="13"/>
  <c r="U375" i="13"/>
  <c r="U376" i="13"/>
  <c r="U377" i="13"/>
  <c r="U378" i="13"/>
  <c r="U379" i="13"/>
  <c r="U380" i="13"/>
  <c r="U381" i="13"/>
  <c r="U382" i="13"/>
  <c r="U383" i="13"/>
  <c r="U384" i="13"/>
  <c r="U385" i="13"/>
  <c r="AC3" i="13"/>
  <c r="AC5" i="13"/>
  <c r="Y3" i="13"/>
  <c r="Y5" i="13"/>
  <c r="U5" i="13"/>
  <c r="U3" i="13"/>
  <c r="Q14" i="13"/>
  <c r="Q15" i="13"/>
  <c r="Q18" i="13"/>
  <c r="Q19" i="13"/>
  <c r="Q22" i="13"/>
  <c r="Q23" i="13"/>
  <c r="Q24" i="13"/>
  <c r="Q25" i="13"/>
  <c r="Q28" i="13"/>
  <c r="Q29" i="13"/>
  <c r="Q30" i="13"/>
  <c r="Q31" i="13"/>
  <c r="Q35" i="13"/>
  <c r="Q40" i="13"/>
  <c r="Q41" i="13"/>
  <c r="Q42" i="13"/>
  <c r="Q43" i="13"/>
  <c r="Q48" i="13"/>
  <c r="Q49" i="13"/>
  <c r="Q50" i="13"/>
  <c r="Q51" i="13"/>
  <c r="Q52" i="13"/>
  <c r="Q53" i="13"/>
  <c r="Q54" i="13"/>
  <c r="Q55" i="13"/>
  <c r="Q61" i="13"/>
  <c r="Q64" i="13"/>
  <c r="Q65" i="13"/>
  <c r="Q68" i="13"/>
  <c r="Q69" i="13"/>
  <c r="Q72" i="13"/>
  <c r="Q73" i="13"/>
  <c r="Q74" i="13"/>
  <c r="Q75" i="13"/>
  <c r="Q78" i="13"/>
  <c r="Q79" i="13"/>
  <c r="Q80" i="13"/>
  <c r="Q81" i="13"/>
  <c r="Q85" i="13"/>
  <c r="Q90" i="13"/>
  <c r="Q91" i="13"/>
  <c r="Q92" i="13"/>
  <c r="Q93" i="13"/>
  <c r="Q98" i="13"/>
  <c r="Q99" i="13"/>
  <c r="Q100" i="13"/>
  <c r="Q101" i="13"/>
  <c r="Q102" i="13"/>
  <c r="Q103" i="13"/>
  <c r="Q104" i="13"/>
  <c r="Q105" i="13"/>
  <c r="Q111" i="13"/>
  <c r="Q114" i="13"/>
  <c r="Q115" i="13"/>
  <c r="Q118" i="13"/>
  <c r="Q119" i="13"/>
  <c r="Q122" i="13"/>
  <c r="Q123" i="13"/>
  <c r="Q124" i="13"/>
  <c r="Q125" i="13"/>
  <c r="Q128" i="13"/>
  <c r="Q129" i="13"/>
  <c r="Q130" i="13"/>
  <c r="Q131" i="13"/>
  <c r="Q135" i="13"/>
  <c r="Q140" i="13"/>
  <c r="Q141" i="13"/>
  <c r="Q142" i="13"/>
  <c r="Q143" i="13"/>
  <c r="Q148" i="13"/>
  <c r="Q149" i="13"/>
  <c r="Q150" i="13"/>
  <c r="Q151" i="13"/>
  <c r="Q152" i="13"/>
  <c r="Q153" i="13"/>
  <c r="Q154" i="13"/>
  <c r="Q155" i="13"/>
  <c r="Q161" i="13"/>
  <c r="Q164" i="13"/>
  <c r="Q165" i="13"/>
  <c r="Q168" i="13"/>
  <c r="Q169" i="13"/>
  <c r="Q172" i="13"/>
  <c r="Q173" i="13"/>
  <c r="Q174" i="13"/>
  <c r="Q175" i="13"/>
  <c r="Q178" i="13"/>
  <c r="Q179" i="13"/>
  <c r="Q180" i="13"/>
  <c r="Q181" i="13"/>
  <c r="Q185" i="13"/>
  <c r="Q190" i="13"/>
  <c r="Q191" i="13"/>
  <c r="Q192" i="13"/>
  <c r="Q193" i="13"/>
  <c r="Q198" i="13"/>
  <c r="Q199" i="13"/>
  <c r="Q200" i="13"/>
  <c r="Q201" i="13"/>
  <c r="Q202" i="13"/>
  <c r="Q203" i="13"/>
  <c r="Q204" i="13"/>
  <c r="Q205" i="13"/>
  <c r="Q211" i="13"/>
  <c r="Q214" i="13"/>
  <c r="Q215" i="13"/>
  <c r="Q218" i="13"/>
  <c r="Q219" i="13"/>
  <c r="Q222" i="13"/>
  <c r="Q223" i="13"/>
  <c r="Q224" i="13"/>
  <c r="Q225" i="13"/>
  <c r="Q228" i="13"/>
  <c r="Q229" i="13"/>
  <c r="Q230" i="13"/>
  <c r="Q231" i="13"/>
  <c r="Q235" i="13"/>
  <c r="Q240" i="13"/>
  <c r="Q241" i="13"/>
  <c r="Q242" i="13"/>
  <c r="Q243" i="13"/>
  <c r="Q248" i="13"/>
  <c r="Q249" i="13"/>
  <c r="Q250" i="13"/>
  <c r="Q251" i="13"/>
  <c r="Q252" i="13"/>
  <c r="Q253" i="13"/>
  <c r="Q254" i="13"/>
  <c r="Q255" i="13"/>
  <c r="Q261" i="13"/>
  <c r="Q264" i="13"/>
  <c r="Q265" i="13"/>
  <c r="Q268" i="13"/>
  <c r="Q269" i="13"/>
  <c r="Q272" i="13"/>
  <c r="Q273" i="13"/>
  <c r="Q274" i="13"/>
  <c r="Q275" i="13"/>
  <c r="Q278" i="13"/>
  <c r="Q279" i="13"/>
  <c r="Q280" i="13"/>
  <c r="Q281" i="13"/>
  <c r="Q285" i="13"/>
  <c r="Q290" i="13"/>
  <c r="Q291" i="13"/>
  <c r="Q292" i="13"/>
  <c r="Q293" i="13"/>
  <c r="Q298" i="13"/>
  <c r="Q299" i="13"/>
  <c r="Q300" i="13"/>
  <c r="Q301" i="13"/>
  <c r="Q302" i="13"/>
  <c r="Q303" i="13"/>
  <c r="Q304" i="13"/>
  <c r="Q305" i="13"/>
  <c r="Q311" i="13"/>
  <c r="Q314" i="13"/>
  <c r="Q315" i="13"/>
  <c r="Q318" i="13"/>
  <c r="Q319" i="13"/>
  <c r="Q322" i="13"/>
  <c r="Q323" i="13"/>
  <c r="Q324" i="13"/>
  <c r="Q325" i="13"/>
  <c r="Q328" i="13"/>
  <c r="Q329" i="13"/>
  <c r="Q330" i="13"/>
  <c r="Q331" i="13"/>
  <c r="Q335" i="13"/>
  <c r="Q340" i="13"/>
  <c r="Q341" i="13"/>
  <c r="Q342" i="13"/>
  <c r="Q343" i="13"/>
  <c r="Q348" i="13"/>
  <c r="Q349" i="13"/>
  <c r="Q350" i="13"/>
  <c r="Q351" i="13"/>
  <c r="Q352" i="13"/>
  <c r="Q353" i="13"/>
  <c r="Q354" i="13"/>
  <c r="Q355" i="13"/>
  <c r="Q361" i="13"/>
  <c r="Q364" i="13"/>
  <c r="Q365" i="13"/>
  <c r="Q368" i="13"/>
  <c r="Q369" i="13"/>
  <c r="Q372" i="13"/>
  <c r="Q373" i="13"/>
  <c r="Q374" i="13"/>
  <c r="Q375" i="13"/>
  <c r="Q378" i="13"/>
  <c r="Q379" i="13"/>
  <c r="Q380" i="13"/>
  <c r="Q381" i="13"/>
  <c r="Q385" i="13"/>
  <c r="Q3" i="13"/>
  <c r="Q6" i="13" s="1"/>
  <c r="O4" i="12"/>
  <c r="AC5" i="12"/>
  <c r="AC6" i="12"/>
  <c r="AC7" i="12"/>
  <c r="AC8" i="12"/>
  <c r="AC9" i="12"/>
  <c r="AC10" i="12"/>
  <c r="AC11" i="12"/>
  <c r="AC12" i="12"/>
  <c r="AC13" i="12"/>
  <c r="AC14" i="12"/>
  <c r="AC15" i="12"/>
  <c r="AC16" i="12"/>
  <c r="AC17" i="12"/>
  <c r="AC18" i="12"/>
  <c r="AC19" i="12"/>
  <c r="AC20" i="12"/>
  <c r="AC21" i="12"/>
  <c r="AC22" i="12"/>
  <c r="AC23" i="12"/>
  <c r="AC24" i="12"/>
  <c r="AC25" i="12"/>
  <c r="AC26" i="12"/>
  <c r="AC27" i="12"/>
  <c r="AC28" i="12"/>
  <c r="AC29" i="12"/>
  <c r="AC30" i="12"/>
  <c r="AC31" i="12"/>
  <c r="AC32" i="12"/>
  <c r="AC33" i="12"/>
  <c r="AC34" i="12"/>
  <c r="AC35" i="12"/>
  <c r="AC36" i="12"/>
  <c r="AC37" i="12"/>
  <c r="AC38" i="12"/>
  <c r="AC39" i="12"/>
  <c r="AC40" i="12"/>
  <c r="AC41" i="12"/>
  <c r="AC42" i="12"/>
  <c r="AC43" i="12"/>
  <c r="AC44" i="12"/>
  <c r="AC45" i="12"/>
  <c r="AC46" i="12"/>
  <c r="AC47" i="12"/>
  <c r="AC48" i="12"/>
  <c r="AC49" i="12"/>
  <c r="AC50" i="12"/>
  <c r="AC51" i="12"/>
  <c r="AC52" i="12"/>
  <c r="AC53" i="12"/>
  <c r="AC54" i="12"/>
  <c r="AC55" i="12"/>
  <c r="AC56" i="12"/>
  <c r="AC57" i="12"/>
  <c r="AC58" i="12"/>
  <c r="AC59" i="12"/>
  <c r="AC60" i="12"/>
  <c r="AC61" i="12"/>
  <c r="AC62" i="12"/>
  <c r="AC63" i="12"/>
  <c r="AC64" i="12"/>
  <c r="AC65" i="12"/>
  <c r="AC66" i="12"/>
  <c r="AC67" i="12"/>
  <c r="AC68" i="12"/>
  <c r="AC69" i="12"/>
  <c r="AC70" i="12"/>
  <c r="AC71" i="12"/>
  <c r="AC72" i="12"/>
  <c r="AC73" i="12"/>
  <c r="AC74" i="12"/>
  <c r="AC75" i="12"/>
  <c r="AC76" i="12"/>
  <c r="AC77" i="12"/>
  <c r="AC78" i="12"/>
  <c r="AC79" i="12"/>
  <c r="AC80" i="12"/>
  <c r="AC81" i="12"/>
  <c r="AC82" i="12"/>
  <c r="AC83" i="12"/>
  <c r="AC84" i="12"/>
  <c r="AC85" i="12"/>
  <c r="AC86" i="12"/>
  <c r="AC87" i="12"/>
  <c r="AC88" i="12"/>
  <c r="AC89" i="12"/>
  <c r="AC90" i="12"/>
  <c r="AC91" i="12"/>
  <c r="AC92" i="12"/>
  <c r="AC93" i="12"/>
  <c r="AC94" i="12"/>
  <c r="AC95" i="12"/>
  <c r="AC96" i="12"/>
  <c r="AC97" i="12"/>
  <c r="AC98" i="12"/>
  <c r="AC99" i="12"/>
  <c r="AC100" i="12"/>
  <c r="AC101" i="12"/>
  <c r="AC102" i="12"/>
  <c r="AC103" i="12"/>
  <c r="AC104" i="12"/>
  <c r="AC105" i="12"/>
  <c r="AC106" i="12"/>
  <c r="AC107" i="12"/>
  <c r="AC108" i="12"/>
  <c r="AC109" i="12"/>
  <c r="AC110" i="12"/>
  <c r="AC111" i="12"/>
  <c r="AC112" i="12"/>
  <c r="AC113" i="12"/>
  <c r="AC114" i="12"/>
  <c r="AC115" i="12"/>
  <c r="AC116" i="12"/>
  <c r="AC117" i="12"/>
  <c r="AC118" i="12"/>
  <c r="AC119" i="12"/>
  <c r="AC120" i="12"/>
  <c r="AC121" i="12"/>
  <c r="AC122" i="12"/>
  <c r="AC123" i="12"/>
  <c r="AC124" i="12"/>
  <c r="AC125" i="12"/>
  <c r="AC126" i="12"/>
  <c r="AC127" i="12"/>
  <c r="AC128" i="12"/>
  <c r="AC129" i="12"/>
  <c r="AC130" i="12"/>
  <c r="AC131" i="12"/>
  <c r="AC132" i="12"/>
  <c r="AC133" i="12"/>
  <c r="AC134" i="12"/>
  <c r="AC135" i="12"/>
  <c r="AC136" i="12"/>
  <c r="AC137" i="12"/>
  <c r="AC138" i="12"/>
  <c r="AC139" i="12"/>
  <c r="AC140" i="12"/>
  <c r="AC141" i="12"/>
  <c r="AC142" i="12"/>
  <c r="AC143" i="12"/>
  <c r="AC144" i="12"/>
  <c r="AC145" i="12"/>
  <c r="AC146" i="12"/>
  <c r="AC147" i="12"/>
  <c r="AC148" i="12"/>
  <c r="AC149" i="12"/>
  <c r="AC150" i="12"/>
  <c r="AC151" i="12"/>
  <c r="AC152" i="12"/>
  <c r="AC153" i="12"/>
  <c r="AC154" i="12"/>
  <c r="AC155" i="12"/>
  <c r="AC156" i="12"/>
  <c r="AC157" i="12"/>
  <c r="AC158" i="12"/>
  <c r="AC159" i="12"/>
  <c r="AC160" i="12"/>
  <c r="AC161" i="12"/>
  <c r="AC162" i="12"/>
  <c r="AC163" i="12"/>
  <c r="AC164" i="12"/>
  <c r="AC165" i="12"/>
  <c r="AC166" i="12"/>
  <c r="AC167" i="12"/>
  <c r="AC168" i="12"/>
  <c r="AC169" i="12"/>
  <c r="AC170" i="12"/>
  <c r="AC171" i="12"/>
  <c r="AC172" i="12"/>
  <c r="AC173" i="12"/>
  <c r="AC174" i="12"/>
  <c r="AC175" i="12"/>
  <c r="AC176" i="12"/>
  <c r="AC177" i="12"/>
  <c r="AC178" i="12"/>
  <c r="AC179" i="12"/>
  <c r="AC180" i="12"/>
  <c r="AC181" i="12"/>
  <c r="AC182" i="12"/>
  <c r="AC183" i="12"/>
  <c r="AC184" i="12"/>
  <c r="AC185" i="12"/>
  <c r="AC186" i="12"/>
  <c r="AC187" i="12"/>
  <c r="AC188" i="12"/>
  <c r="AC189" i="12"/>
  <c r="AC190" i="12"/>
  <c r="AC191" i="12"/>
  <c r="AC192" i="12"/>
  <c r="AC193" i="12"/>
  <c r="AC194" i="12"/>
  <c r="AC195" i="12"/>
  <c r="AC196" i="12"/>
  <c r="AC197" i="12"/>
  <c r="AC198" i="12"/>
  <c r="AC199" i="12"/>
  <c r="AC200" i="12"/>
  <c r="AC201" i="12"/>
  <c r="AC202" i="12"/>
  <c r="AC203" i="12"/>
  <c r="AC204" i="12"/>
  <c r="AC205" i="12"/>
  <c r="AC206" i="12"/>
  <c r="AC207" i="12"/>
  <c r="AC208" i="12"/>
  <c r="AC209" i="12"/>
  <c r="AC210" i="12"/>
  <c r="AC211" i="12"/>
  <c r="AC212" i="12"/>
  <c r="AC213" i="12"/>
  <c r="AC214" i="12"/>
  <c r="AC215" i="12"/>
  <c r="AC216" i="12"/>
  <c r="AC217" i="12"/>
  <c r="AC218" i="12"/>
  <c r="AC219" i="12"/>
  <c r="AC220" i="12"/>
  <c r="AC221" i="12"/>
  <c r="AC222" i="12"/>
  <c r="AC223" i="12"/>
  <c r="AC224" i="12"/>
  <c r="AC225" i="12"/>
  <c r="AC226" i="12"/>
  <c r="AC227" i="12"/>
  <c r="AC228" i="12"/>
  <c r="AC229" i="12"/>
  <c r="AC230" i="12"/>
  <c r="AC231" i="12"/>
  <c r="AC232" i="12"/>
  <c r="AC233" i="12"/>
  <c r="AC234" i="12"/>
  <c r="AC235" i="12"/>
  <c r="AC236" i="12"/>
  <c r="AC237" i="12"/>
  <c r="AC238" i="12"/>
  <c r="AC239" i="12"/>
  <c r="AC240" i="12"/>
  <c r="AC241" i="12"/>
  <c r="AC242" i="12"/>
  <c r="AC243" i="12"/>
  <c r="AC244" i="12"/>
  <c r="AC245" i="12"/>
  <c r="AC246" i="12"/>
  <c r="AC247" i="12"/>
  <c r="AC248" i="12"/>
  <c r="AC249" i="12"/>
  <c r="AC250" i="12"/>
  <c r="AC251" i="12"/>
  <c r="AC252" i="12"/>
  <c r="AC253" i="12"/>
  <c r="AC254" i="12"/>
  <c r="AC255" i="12"/>
  <c r="AC256" i="12"/>
  <c r="AC257" i="12"/>
  <c r="AC258" i="12"/>
  <c r="AC259" i="12"/>
  <c r="AC260" i="12"/>
  <c r="AC261" i="12"/>
  <c r="AC262" i="12"/>
  <c r="AC263" i="12"/>
  <c r="AC264" i="12"/>
  <c r="AC265" i="12"/>
  <c r="AC266" i="12"/>
  <c r="AC267" i="12"/>
  <c r="AC268" i="12"/>
  <c r="AC269" i="12"/>
  <c r="AC270" i="12"/>
  <c r="AC271" i="12"/>
  <c r="AC272" i="12"/>
  <c r="AC273" i="12"/>
  <c r="AC274" i="12"/>
  <c r="AC275" i="12"/>
  <c r="AC276" i="12"/>
  <c r="AC277" i="12"/>
  <c r="AC278" i="12"/>
  <c r="AC279" i="12"/>
  <c r="AC280" i="12"/>
  <c r="AC281" i="12"/>
  <c r="AC282" i="12"/>
  <c r="AC283" i="12"/>
  <c r="AC284" i="12"/>
  <c r="AC285" i="12"/>
  <c r="AC286" i="12"/>
  <c r="AC287" i="12"/>
  <c r="AC288" i="12"/>
  <c r="AC289" i="12"/>
  <c r="AC290" i="12"/>
  <c r="AC291" i="12"/>
  <c r="AC292" i="12"/>
  <c r="AC293" i="12"/>
  <c r="AC294" i="12"/>
  <c r="AC295" i="12"/>
  <c r="AC296" i="12"/>
  <c r="AC297" i="12"/>
  <c r="AC298" i="12"/>
  <c r="AC299" i="12"/>
  <c r="AC300" i="12"/>
  <c r="AC301" i="12"/>
  <c r="AC302" i="12"/>
  <c r="AC303" i="12"/>
  <c r="AC304" i="12"/>
  <c r="AC305" i="12"/>
  <c r="AC306" i="12"/>
  <c r="AC307" i="12"/>
  <c r="AC308" i="12"/>
  <c r="AC309" i="12"/>
  <c r="AC310" i="12"/>
  <c r="AC311" i="12"/>
  <c r="AC312" i="12"/>
  <c r="AC313" i="12"/>
  <c r="AC314" i="12"/>
  <c r="AC315" i="12"/>
  <c r="AC316" i="12"/>
  <c r="AC317" i="12"/>
  <c r="AC318" i="12"/>
  <c r="AC319" i="12"/>
  <c r="AC320" i="12"/>
  <c r="AC321" i="12"/>
  <c r="AC322" i="12"/>
  <c r="AC323" i="12"/>
  <c r="AC324" i="12"/>
  <c r="AC325" i="12"/>
  <c r="AC326" i="12"/>
  <c r="AC327" i="12"/>
  <c r="AC328" i="12"/>
  <c r="AC329" i="12"/>
  <c r="AC330" i="12"/>
  <c r="AC331" i="12"/>
  <c r="AC332" i="12"/>
  <c r="AC333" i="12"/>
  <c r="AC334" i="12"/>
  <c r="AC335" i="12"/>
  <c r="AC336" i="12"/>
  <c r="AC337" i="12"/>
  <c r="AC338" i="12"/>
  <c r="AC339" i="12"/>
  <c r="AC340" i="12"/>
  <c r="AC341" i="12"/>
  <c r="AC342" i="12"/>
  <c r="AC343" i="12"/>
  <c r="AC344" i="12"/>
  <c r="AC345" i="12"/>
  <c r="AC346" i="12"/>
  <c r="AC347" i="12"/>
  <c r="AC348" i="12"/>
  <c r="AC349" i="12"/>
  <c r="AC350" i="12"/>
  <c r="AC351" i="12"/>
  <c r="AC352" i="12"/>
  <c r="AC353" i="12"/>
  <c r="AC354" i="12"/>
  <c r="AC355" i="12"/>
  <c r="AC356" i="12"/>
  <c r="AC357" i="12"/>
  <c r="AC358" i="12"/>
  <c r="AC359" i="12"/>
  <c r="AC360" i="12"/>
  <c r="AC361" i="12"/>
  <c r="AC362" i="12"/>
  <c r="AC363" i="12"/>
  <c r="AC364" i="12"/>
  <c r="AC365" i="12"/>
  <c r="AC366" i="12"/>
  <c r="AC367" i="12"/>
  <c r="AC368" i="12"/>
  <c r="AC369" i="12"/>
  <c r="AC370" i="12"/>
  <c r="AC371" i="12"/>
  <c r="AC372" i="12"/>
  <c r="AC373" i="12"/>
  <c r="AC374" i="12"/>
  <c r="AC375" i="12"/>
  <c r="AC376" i="12"/>
  <c r="AC377" i="12"/>
  <c r="AC378" i="12"/>
  <c r="AC379" i="12"/>
  <c r="AC380" i="12"/>
  <c r="AC381" i="12"/>
  <c r="AC382" i="12"/>
  <c r="AC383" i="12"/>
  <c r="AC384" i="12"/>
  <c r="Y5" i="12"/>
  <c r="Y6" i="12"/>
  <c r="Y7" i="12"/>
  <c r="Y8" i="12"/>
  <c r="Y9" i="12"/>
  <c r="Y10" i="12"/>
  <c r="Y11" i="12"/>
  <c r="Y12" i="12"/>
  <c r="Y13" i="12"/>
  <c r="Y14" i="12"/>
  <c r="Y15" i="12"/>
  <c r="Y16" i="12"/>
  <c r="Y17" i="12"/>
  <c r="Y18" i="12"/>
  <c r="Y19" i="12"/>
  <c r="Y20" i="12"/>
  <c r="Y21" i="12"/>
  <c r="Y22" i="12"/>
  <c r="Y23" i="12"/>
  <c r="Y24" i="12"/>
  <c r="Y25" i="12"/>
  <c r="Y26" i="12"/>
  <c r="Y27" i="12"/>
  <c r="Y28" i="12"/>
  <c r="Y29" i="12"/>
  <c r="Y30" i="12"/>
  <c r="Y31" i="12"/>
  <c r="Y32" i="12"/>
  <c r="Y33" i="12"/>
  <c r="Y34" i="12"/>
  <c r="Y35" i="12"/>
  <c r="Y36" i="12"/>
  <c r="Y37" i="12"/>
  <c r="Y38" i="12"/>
  <c r="Y39" i="12"/>
  <c r="Y40" i="12"/>
  <c r="Y41" i="12"/>
  <c r="Y42" i="12"/>
  <c r="Y43" i="12"/>
  <c r="Y44" i="12"/>
  <c r="Y45" i="12"/>
  <c r="Y46" i="12"/>
  <c r="Y47" i="12"/>
  <c r="Y48" i="12"/>
  <c r="Y49" i="12"/>
  <c r="Y50" i="12"/>
  <c r="Y51" i="12"/>
  <c r="Y52" i="12"/>
  <c r="Y53" i="12"/>
  <c r="Y54" i="12"/>
  <c r="Y55" i="12"/>
  <c r="Y56" i="12"/>
  <c r="Y57" i="12"/>
  <c r="Y58" i="12"/>
  <c r="Y59" i="12"/>
  <c r="Y60" i="12"/>
  <c r="Y61" i="12"/>
  <c r="Y62" i="12"/>
  <c r="Y63" i="12"/>
  <c r="Y64" i="12"/>
  <c r="Y65" i="12"/>
  <c r="Y66" i="12"/>
  <c r="Y67" i="12"/>
  <c r="Y68" i="12"/>
  <c r="Y69" i="12"/>
  <c r="Y70" i="12"/>
  <c r="Y71" i="12"/>
  <c r="Y72" i="12"/>
  <c r="Y73" i="12"/>
  <c r="Y74" i="12"/>
  <c r="Y75" i="12"/>
  <c r="Y76" i="12"/>
  <c r="Y77" i="12"/>
  <c r="Y78" i="12"/>
  <c r="Y79" i="12"/>
  <c r="Y80" i="12"/>
  <c r="Y81" i="12"/>
  <c r="Y82" i="12"/>
  <c r="Y83" i="12"/>
  <c r="Y84" i="12"/>
  <c r="Y85" i="12"/>
  <c r="Y86" i="12"/>
  <c r="Y87" i="12"/>
  <c r="Y88" i="12"/>
  <c r="Y89" i="12"/>
  <c r="Y90" i="12"/>
  <c r="Y91" i="12"/>
  <c r="Y92" i="12"/>
  <c r="Y93" i="12"/>
  <c r="Y94" i="12"/>
  <c r="Y95" i="12"/>
  <c r="Y96" i="12"/>
  <c r="Y97" i="12"/>
  <c r="Y98" i="12"/>
  <c r="Y99" i="12"/>
  <c r="Y100" i="12"/>
  <c r="Y101" i="12"/>
  <c r="Y102" i="12"/>
  <c r="Y103" i="12"/>
  <c r="Y104" i="12"/>
  <c r="Y105" i="12"/>
  <c r="Y106" i="12"/>
  <c r="Y107" i="12"/>
  <c r="Y108" i="12"/>
  <c r="Y109" i="12"/>
  <c r="Y110" i="12"/>
  <c r="Y111" i="12"/>
  <c r="Y112" i="12"/>
  <c r="Y113" i="12"/>
  <c r="Y114" i="12"/>
  <c r="Y115" i="12"/>
  <c r="Y116" i="12"/>
  <c r="Y117" i="12"/>
  <c r="Y118" i="12"/>
  <c r="Y119" i="12"/>
  <c r="Y120" i="12"/>
  <c r="Y121" i="12"/>
  <c r="Y122" i="12"/>
  <c r="Y123" i="12"/>
  <c r="Y124" i="12"/>
  <c r="Y125" i="12"/>
  <c r="Y126" i="12"/>
  <c r="Y127" i="12"/>
  <c r="Y128" i="12"/>
  <c r="Y129" i="12"/>
  <c r="Y130" i="12"/>
  <c r="Y131" i="12"/>
  <c r="Y132" i="12"/>
  <c r="Y133" i="12"/>
  <c r="Y134" i="12"/>
  <c r="Y135" i="12"/>
  <c r="Y136" i="12"/>
  <c r="Y137" i="12"/>
  <c r="Y138" i="12"/>
  <c r="Y139" i="12"/>
  <c r="Y140" i="12"/>
  <c r="Y141" i="12"/>
  <c r="Y142" i="12"/>
  <c r="Y143" i="12"/>
  <c r="Y144" i="12"/>
  <c r="Y145" i="12"/>
  <c r="Y146" i="12"/>
  <c r="Y147" i="12"/>
  <c r="Y148" i="12"/>
  <c r="Y149" i="12"/>
  <c r="Y150" i="12"/>
  <c r="Y151" i="12"/>
  <c r="Y152" i="12"/>
  <c r="Y153" i="12"/>
  <c r="Y154" i="12"/>
  <c r="Y155" i="12"/>
  <c r="Y156" i="12"/>
  <c r="Y157" i="12"/>
  <c r="Y158" i="12"/>
  <c r="Y159" i="12"/>
  <c r="Y160" i="12"/>
  <c r="Y161" i="12"/>
  <c r="Y162" i="12"/>
  <c r="Y163" i="12"/>
  <c r="Y164" i="12"/>
  <c r="Y165" i="12"/>
  <c r="Y166" i="12"/>
  <c r="Y167" i="12"/>
  <c r="Y168" i="12"/>
  <c r="Y169" i="12"/>
  <c r="Y170" i="12"/>
  <c r="Y171" i="12"/>
  <c r="Y172" i="12"/>
  <c r="Y173" i="12"/>
  <c r="Y174" i="12"/>
  <c r="Y175" i="12"/>
  <c r="Y176" i="12"/>
  <c r="Y177" i="12"/>
  <c r="Y178" i="12"/>
  <c r="Y179" i="12"/>
  <c r="Y180" i="12"/>
  <c r="Y181" i="12"/>
  <c r="Y182" i="12"/>
  <c r="Y183" i="12"/>
  <c r="Y184" i="12"/>
  <c r="Y185" i="12"/>
  <c r="Y186" i="12"/>
  <c r="Y187" i="12"/>
  <c r="Y188" i="12"/>
  <c r="Y189" i="12"/>
  <c r="Y190" i="12"/>
  <c r="Y191" i="12"/>
  <c r="Y192" i="12"/>
  <c r="Y193" i="12"/>
  <c r="Y194" i="12"/>
  <c r="Y195" i="12"/>
  <c r="Y196" i="12"/>
  <c r="Y197" i="12"/>
  <c r="Y198" i="12"/>
  <c r="Y199" i="12"/>
  <c r="Y200" i="12"/>
  <c r="Y201" i="12"/>
  <c r="Y202" i="12"/>
  <c r="Y203" i="12"/>
  <c r="Y204" i="12"/>
  <c r="Y205" i="12"/>
  <c r="Y206" i="12"/>
  <c r="Y207" i="12"/>
  <c r="Y208" i="12"/>
  <c r="Y209" i="12"/>
  <c r="Y210" i="12"/>
  <c r="Y211" i="12"/>
  <c r="Y212" i="12"/>
  <c r="Y213" i="12"/>
  <c r="Y214" i="12"/>
  <c r="Y215" i="12"/>
  <c r="Y216" i="12"/>
  <c r="Y217" i="12"/>
  <c r="Y218" i="12"/>
  <c r="Y219" i="12"/>
  <c r="Y220" i="12"/>
  <c r="Y221" i="12"/>
  <c r="Y222" i="12"/>
  <c r="Y223" i="12"/>
  <c r="Y224" i="12"/>
  <c r="Y225" i="12"/>
  <c r="Y226" i="12"/>
  <c r="Y227" i="12"/>
  <c r="Y228" i="12"/>
  <c r="Y229" i="12"/>
  <c r="Y230" i="12"/>
  <c r="Y231" i="12"/>
  <c r="Y232" i="12"/>
  <c r="Y233" i="12"/>
  <c r="Y234" i="12"/>
  <c r="Y235" i="12"/>
  <c r="Y236" i="12"/>
  <c r="Y237" i="12"/>
  <c r="Y238" i="12"/>
  <c r="Y239" i="12"/>
  <c r="Y240" i="12"/>
  <c r="Y241" i="12"/>
  <c r="Y242" i="12"/>
  <c r="Y243" i="12"/>
  <c r="Y244" i="12"/>
  <c r="Y245" i="12"/>
  <c r="Y246" i="12"/>
  <c r="Y247" i="12"/>
  <c r="Y248" i="12"/>
  <c r="Y249" i="12"/>
  <c r="Y250" i="12"/>
  <c r="Y251" i="12"/>
  <c r="Y252" i="12"/>
  <c r="Y253" i="12"/>
  <c r="Y254" i="12"/>
  <c r="Y255" i="12"/>
  <c r="Y256" i="12"/>
  <c r="Y257" i="12"/>
  <c r="Y258" i="12"/>
  <c r="Y259" i="12"/>
  <c r="Y260" i="12"/>
  <c r="Y261" i="12"/>
  <c r="Y262" i="12"/>
  <c r="Y263" i="12"/>
  <c r="Y264" i="12"/>
  <c r="Y265" i="12"/>
  <c r="Y266" i="12"/>
  <c r="Y267" i="12"/>
  <c r="Y268" i="12"/>
  <c r="Y269" i="12"/>
  <c r="Y270" i="12"/>
  <c r="Y271" i="12"/>
  <c r="Y272" i="12"/>
  <c r="Y273" i="12"/>
  <c r="Y274" i="12"/>
  <c r="Y275" i="12"/>
  <c r="Y276" i="12"/>
  <c r="Y277" i="12"/>
  <c r="Y278" i="12"/>
  <c r="Y279" i="12"/>
  <c r="Y280" i="12"/>
  <c r="Y281" i="12"/>
  <c r="Y282" i="12"/>
  <c r="Y283" i="12"/>
  <c r="Y284" i="12"/>
  <c r="Y285" i="12"/>
  <c r="Y286" i="12"/>
  <c r="Y287" i="12"/>
  <c r="Y288" i="12"/>
  <c r="Y289" i="12"/>
  <c r="Y290" i="12"/>
  <c r="Y291" i="12"/>
  <c r="Y292" i="12"/>
  <c r="Y293" i="12"/>
  <c r="Y294" i="12"/>
  <c r="Y295" i="12"/>
  <c r="Y296" i="12"/>
  <c r="Y297" i="12"/>
  <c r="Y298" i="12"/>
  <c r="Y299" i="12"/>
  <c r="Y300" i="12"/>
  <c r="Y301" i="12"/>
  <c r="Y302" i="12"/>
  <c r="Y303" i="12"/>
  <c r="Y304" i="12"/>
  <c r="Y305" i="12"/>
  <c r="Y306" i="12"/>
  <c r="Y307" i="12"/>
  <c r="Y308" i="12"/>
  <c r="Y309" i="12"/>
  <c r="Y310" i="12"/>
  <c r="Y311" i="12"/>
  <c r="Y312" i="12"/>
  <c r="Y313" i="12"/>
  <c r="Y314" i="12"/>
  <c r="Y315" i="12"/>
  <c r="Y316" i="12"/>
  <c r="Y317" i="12"/>
  <c r="Y318" i="12"/>
  <c r="Y319" i="12"/>
  <c r="Y320" i="12"/>
  <c r="Y321" i="12"/>
  <c r="Y322" i="12"/>
  <c r="Y323" i="12"/>
  <c r="Y324" i="12"/>
  <c r="Y325" i="12"/>
  <c r="Y326" i="12"/>
  <c r="Y327" i="12"/>
  <c r="Y328" i="12"/>
  <c r="Y329" i="12"/>
  <c r="Y330" i="12"/>
  <c r="Y331" i="12"/>
  <c r="Y332" i="12"/>
  <c r="Y333" i="12"/>
  <c r="Y334" i="12"/>
  <c r="Y335" i="12"/>
  <c r="Y336" i="12"/>
  <c r="Y337" i="12"/>
  <c r="Y338" i="12"/>
  <c r="Y339" i="12"/>
  <c r="Y340" i="12"/>
  <c r="Y341" i="12"/>
  <c r="Y342" i="12"/>
  <c r="Y343" i="12"/>
  <c r="Y344" i="12"/>
  <c r="Y345" i="12"/>
  <c r="Y346" i="12"/>
  <c r="Y347" i="12"/>
  <c r="Y348" i="12"/>
  <c r="Y349" i="12"/>
  <c r="Y350" i="12"/>
  <c r="Y351" i="12"/>
  <c r="Y352" i="12"/>
  <c r="Y353" i="12"/>
  <c r="Y354" i="12"/>
  <c r="Y355" i="12"/>
  <c r="Y356" i="12"/>
  <c r="Y357" i="12"/>
  <c r="Y358" i="12"/>
  <c r="Y359" i="12"/>
  <c r="Y360" i="12"/>
  <c r="Y361" i="12"/>
  <c r="Y362" i="12"/>
  <c r="Y363" i="12"/>
  <c r="Y364" i="12"/>
  <c r="Y365" i="12"/>
  <c r="Y366" i="12"/>
  <c r="Y367" i="12"/>
  <c r="Y368" i="12"/>
  <c r="Y369" i="12"/>
  <c r="Y370" i="12"/>
  <c r="Y371" i="12"/>
  <c r="Y372" i="12"/>
  <c r="Y373" i="12"/>
  <c r="Y374" i="12"/>
  <c r="Y375" i="12"/>
  <c r="Y376" i="12"/>
  <c r="Y377" i="12"/>
  <c r="Y378" i="12"/>
  <c r="Y379" i="12"/>
  <c r="Y380" i="12"/>
  <c r="Y381" i="12"/>
  <c r="Y382" i="12"/>
  <c r="Y383" i="12"/>
  <c r="Y384" i="12"/>
  <c r="U5" i="12"/>
  <c r="U6" i="12"/>
  <c r="U7" i="12"/>
  <c r="U8" i="12"/>
  <c r="U9" i="12"/>
  <c r="U10" i="12"/>
  <c r="U11" i="12"/>
  <c r="U12" i="12"/>
  <c r="U13" i="12"/>
  <c r="U14" i="12"/>
  <c r="U15" i="12"/>
  <c r="U16" i="12"/>
  <c r="U17" i="12"/>
  <c r="U18" i="12"/>
  <c r="U19" i="12"/>
  <c r="U20" i="12"/>
  <c r="U21" i="12"/>
  <c r="U22" i="12"/>
  <c r="U23" i="12"/>
  <c r="U24" i="12"/>
  <c r="U25" i="12"/>
  <c r="U26" i="12"/>
  <c r="U27" i="12"/>
  <c r="U28" i="12"/>
  <c r="U29" i="12"/>
  <c r="U30" i="12"/>
  <c r="U31" i="12"/>
  <c r="U32" i="12"/>
  <c r="U33" i="12"/>
  <c r="U34" i="12"/>
  <c r="U35" i="12"/>
  <c r="U36" i="12"/>
  <c r="U37" i="12"/>
  <c r="U38" i="12"/>
  <c r="U39" i="12"/>
  <c r="U40" i="12"/>
  <c r="U41" i="12"/>
  <c r="U42" i="12"/>
  <c r="U43" i="12"/>
  <c r="U44" i="12"/>
  <c r="U45" i="12"/>
  <c r="U46" i="12"/>
  <c r="U47" i="12"/>
  <c r="U48" i="12"/>
  <c r="U49" i="12"/>
  <c r="U50" i="12"/>
  <c r="U51" i="12"/>
  <c r="U52" i="12"/>
  <c r="U53" i="12"/>
  <c r="U54" i="12"/>
  <c r="U55" i="12"/>
  <c r="U56" i="12"/>
  <c r="U57" i="12"/>
  <c r="U58" i="12"/>
  <c r="U59" i="12"/>
  <c r="U60" i="12"/>
  <c r="U61" i="12"/>
  <c r="U62" i="12"/>
  <c r="U63" i="12"/>
  <c r="U64" i="12"/>
  <c r="U65" i="12"/>
  <c r="U66" i="12"/>
  <c r="U67" i="12"/>
  <c r="U68" i="12"/>
  <c r="U69" i="12"/>
  <c r="U70" i="12"/>
  <c r="U71" i="12"/>
  <c r="U72" i="12"/>
  <c r="U73" i="12"/>
  <c r="U74" i="12"/>
  <c r="U75" i="12"/>
  <c r="U76" i="12"/>
  <c r="U77" i="12"/>
  <c r="U78" i="12"/>
  <c r="U79" i="12"/>
  <c r="U80" i="12"/>
  <c r="U81" i="12"/>
  <c r="U82" i="12"/>
  <c r="U83" i="12"/>
  <c r="U84" i="12"/>
  <c r="U85" i="12"/>
  <c r="U86" i="12"/>
  <c r="U87" i="12"/>
  <c r="U88" i="12"/>
  <c r="U89" i="12"/>
  <c r="U90" i="12"/>
  <c r="U91" i="12"/>
  <c r="U92" i="12"/>
  <c r="U93" i="12"/>
  <c r="U94" i="12"/>
  <c r="U95" i="12"/>
  <c r="U96" i="12"/>
  <c r="U97" i="12"/>
  <c r="U98" i="12"/>
  <c r="U99" i="12"/>
  <c r="U100" i="12"/>
  <c r="U101" i="12"/>
  <c r="U102" i="12"/>
  <c r="U103" i="12"/>
  <c r="U104" i="12"/>
  <c r="U105" i="12"/>
  <c r="U106" i="12"/>
  <c r="U107" i="12"/>
  <c r="U108" i="12"/>
  <c r="U109" i="12"/>
  <c r="U110" i="12"/>
  <c r="U111" i="12"/>
  <c r="U112" i="12"/>
  <c r="U113" i="12"/>
  <c r="U114" i="12"/>
  <c r="U115" i="12"/>
  <c r="U116" i="12"/>
  <c r="U117" i="12"/>
  <c r="U118" i="12"/>
  <c r="U119" i="12"/>
  <c r="U120" i="12"/>
  <c r="U121" i="12"/>
  <c r="U122" i="12"/>
  <c r="U123" i="12"/>
  <c r="U124" i="12"/>
  <c r="U125" i="12"/>
  <c r="U126" i="12"/>
  <c r="U127" i="12"/>
  <c r="U128" i="12"/>
  <c r="U129" i="12"/>
  <c r="U130" i="12"/>
  <c r="U131" i="12"/>
  <c r="U132" i="12"/>
  <c r="U133" i="12"/>
  <c r="U134" i="12"/>
  <c r="U135" i="12"/>
  <c r="U136" i="12"/>
  <c r="U137" i="12"/>
  <c r="U138" i="12"/>
  <c r="U139" i="12"/>
  <c r="U140" i="12"/>
  <c r="U141" i="12"/>
  <c r="U142" i="12"/>
  <c r="U143" i="12"/>
  <c r="U144" i="12"/>
  <c r="U145" i="12"/>
  <c r="U146" i="12"/>
  <c r="U147" i="12"/>
  <c r="U148" i="12"/>
  <c r="U149" i="12"/>
  <c r="U150" i="12"/>
  <c r="U151" i="12"/>
  <c r="U152" i="12"/>
  <c r="U153" i="12"/>
  <c r="U154" i="12"/>
  <c r="U155" i="12"/>
  <c r="U156" i="12"/>
  <c r="U157" i="12"/>
  <c r="U158" i="12"/>
  <c r="U159" i="12"/>
  <c r="U160" i="12"/>
  <c r="U161" i="12"/>
  <c r="U162" i="12"/>
  <c r="U163" i="12"/>
  <c r="U164" i="12"/>
  <c r="U165" i="12"/>
  <c r="U166" i="12"/>
  <c r="U167" i="12"/>
  <c r="U168" i="12"/>
  <c r="U169" i="12"/>
  <c r="U170" i="12"/>
  <c r="U171" i="12"/>
  <c r="U172" i="12"/>
  <c r="U173" i="12"/>
  <c r="U174" i="12"/>
  <c r="U175" i="12"/>
  <c r="U176" i="12"/>
  <c r="U177" i="12"/>
  <c r="U178" i="12"/>
  <c r="U179" i="12"/>
  <c r="U180" i="12"/>
  <c r="U181" i="12"/>
  <c r="U182" i="12"/>
  <c r="U183" i="12"/>
  <c r="U184" i="12"/>
  <c r="U185" i="12"/>
  <c r="U186" i="12"/>
  <c r="U187" i="12"/>
  <c r="U188" i="12"/>
  <c r="U189" i="12"/>
  <c r="U190" i="12"/>
  <c r="U191" i="12"/>
  <c r="U192" i="12"/>
  <c r="U193" i="12"/>
  <c r="U194" i="12"/>
  <c r="U195" i="12"/>
  <c r="U196" i="12"/>
  <c r="U197" i="12"/>
  <c r="U198" i="12"/>
  <c r="U199" i="12"/>
  <c r="U200" i="12"/>
  <c r="U201" i="12"/>
  <c r="U202" i="12"/>
  <c r="U203" i="12"/>
  <c r="U204" i="12"/>
  <c r="U205" i="12"/>
  <c r="U206" i="12"/>
  <c r="U207" i="12"/>
  <c r="U208" i="12"/>
  <c r="U209" i="12"/>
  <c r="U210" i="12"/>
  <c r="U211" i="12"/>
  <c r="U212" i="12"/>
  <c r="U213" i="12"/>
  <c r="U214" i="12"/>
  <c r="U215" i="12"/>
  <c r="U216" i="12"/>
  <c r="U217" i="12"/>
  <c r="U218" i="12"/>
  <c r="U219" i="12"/>
  <c r="U220" i="12"/>
  <c r="U221" i="12"/>
  <c r="U222" i="12"/>
  <c r="U223" i="12"/>
  <c r="U224" i="12"/>
  <c r="U225" i="12"/>
  <c r="U226" i="12"/>
  <c r="U227" i="12"/>
  <c r="U228" i="12"/>
  <c r="U229" i="12"/>
  <c r="U230" i="12"/>
  <c r="U231" i="12"/>
  <c r="U232" i="12"/>
  <c r="U233" i="12"/>
  <c r="U234" i="12"/>
  <c r="U235" i="12"/>
  <c r="U236" i="12"/>
  <c r="U237" i="12"/>
  <c r="U238" i="12"/>
  <c r="U239" i="12"/>
  <c r="U240" i="12"/>
  <c r="U241" i="12"/>
  <c r="U242" i="12"/>
  <c r="U243" i="12"/>
  <c r="U244" i="12"/>
  <c r="U245" i="12"/>
  <c r="U246" i="12"/>
  <c r="U247" i="12"/>
  <c r="U248" i="12"/>
  <c r="U249" i="12"/>
  <c r="U250" i="12"/>
  <c r="U251" i="12"/>
  <c r="U252" i="12"/>
  <c r="U253" i="12"/>
  <c r="U254" i="12"/>
  <c r="U255" i="12"/>
  <c r="U256" i="12"/>
  <c r="U257" i="12"/>
  <c r="U258" i="12"/>
  <c r="U259" i="12"/>
  <c r="U260" i="12"/>
  <c r="U261" i="12"/>
  <c r="U262" i="12"/>
  <c r="U263" i="12"/>
  <c r="U264" i="12"/>
  <c r="U265" i="12"/>
  <c r="U266" i="12"/>
  <c r="U267" i="12"/>
  <c r="U268" i="12"/>
  <c r="U269" i="12"/>
  <c r="U270" i="12"/>
  <c r="U271" i="12"/>
  <c r="U272" i="12"/>
  <c r="U273" i="12"/>
  <c r="U274" i="12"/>
  <c r="U275" i="12"/>
  <c r="U276" i="12"/>
  <c r="U277" i="12"/>
  <c r="U278" i="12"/>
  <c r="U279" i="12"/>
  <c r="U280" i="12"/>
  <c r="U281" i="12"/>
  <c r="U282" i="12"/>
  <c r="U283" i="12"/>
  <c r="U284" i="12"/>
  <c r="U285" i="12"/>
  <c r="U286" i="12"/>
  <c r="U287" i="12"/>
  <c r="U288" i="12"/>
  <c r="U289" i="12"/>
  <c r="U290" i="12"/>
  <c r="U291" i="12"/>
  <c r="U292" i="12"/>
  <c r="U293" i="12"/>
  <c r="U294" i="12"/>
  <c r="U295" i="12"/>
  <c r="U296" i="12"/>
  <c r="U297" i="12"/>
  <c r="U298" i="12"/>
  <c r="U299" i="12"/>
  <c r="U300" i="12"/>
  <c r="U301" i="12"/>
  <c r="U302" i="12"/>
  <c r="U303" i="12"/>
  <c r="U304" i="12"/>
  <c r="U305" i="12"/>
  <c r="U306" i="12"/>
  <c r="U307" i="12"/>
  <c r="U308" i="12"/>
  <c r="U309" i="12"/>
  <c r="U310" i="12"/>
  <c r="U311" i="12"/>
  <c r="U312" i="12"/>
  <c r="U313" i="12"/>
  <c r="U314" i="12"/>
  <c r="U315" i="12"/>
  <c r="U316" i="12"/>
  <c r="U317" i="12"/>
  <c r="U318" i="12"/>
  <c r="U319" i="12"/>
  <c r="U320" i="12"/>
  <c r="U321" i="12"/>
  <c r="U322" i="12"/>
  <c r="U323" i="12"/>
  <c r="U324" i="12"/>
  <c r="U325" i="12"/>
  <c r="U326" i="12"/>
  <c r="U327" i="12"/>
  <c r="U328" i="12"/>
  <c r="U329" i="12"/>
  <c r="U330" i="12"/>
  <c r="U331" i="12"/>
  <c r="U332" i="12"/>
  <c r="U333" i="12"/>
  <c r="U334" i="12"/>
  <c r="U335" i="12"/>
  <c r="U336" i="12"/>
  <c r="U337" i="12"/>
  <c r="U338" i="12"/>
  <c r="U339" i="12"/>
  <c r="U340" i="12"/>
  <c r="U341" i="12"/>
  <c r="U342" i="12"/>
  <c r="U343" i="12"/>
  <c r="U344" i="12"/>
  <c r="U345" i="12"/>
  <c r="U346" i="12"/>
  <c r="U347" i="12"/>
  <c r="U348" i="12"/>
  <c r="U349" i="12"/>
  <c r="U350" i="12"/>
  <c r="U351" i="12"/>
  <c r="U352" i="12"/>
  <c r="U353" i="12"/>
  <c r="U354" i="12"/>
  <c r="U355" i="12"/>
  <c r="U356" i="12"/>
  <c r="U357" i="12"/>
  <c r="U358" i="12"/>
  <c r="U359" i="12"/>
  <c r="U360" i="12"/>
  <c r="U361" i="12"/>
  <c r="U362" i="12"/>
  <c r="U363" i="12"/>
  <c r="U364" i="12"/>
  <c r="U365" i="12"/>
  <c r="U366" i="12"/>
  <c r="U367" i="12"/>
  <c r="U368" i="12"/>
  <c r="U369" i="12"/>
  <c r="U370" i="12"/>
  <c r="U371" i="12"/>
  <c r="U372" i="12"/>
  <c r="U373" i="12"/>
  <c r="U374" i="12"/>
  <c r="U375" i="12"/>
  <c r="U376" i="12"/>
  <c r="U377" i="12"/>
  <c r="U378" i="12"/>
  <c r="U379" i="12"/>
  <c r="U380" i="12"/>
  <c r="U381" i="12"/>
  <c r="U382" i="12"/>
  <c r="U383" i="12"/>
  <c r="U384" i="12"/>
  <c r="AC4" i="12"/>
  <c r="Y4" i="12"/>
  <c r="U4" i="12"/>
  <c r="Q4" i="12"/>
  <c r="AD2" i="12"/>
  <c r="Y2" i="12"/>
  <c r="U2" i="12"/>
  <c r="Q2" i="12"/>
  <c r="Q23" i="12" s="1"/>
  <c r="Q5" i="12"/>
  <c r="Q7" i="12"/>
  <c r="Q8" i="12"/>
  <c r="Q10" i="12"/>
  <c r="Q11" i="12"/>
  <c r="Q12" i="12"/>
  <c r="Q13" i="12"/>
  <c r="Q14" i="12"/>
  <c r="Q15" i="12"/>
  <c r="Q16" i="12"/>
  <c r="Q17" i="12"/>
  <c r="Q18" i="12"/>
  <c r="Q19" i="12"/>
  <c r="Q20" i="12"/>
  <c r="Q21" i="12"/>
  <c r="Q22" i="12"/>
  <c r="Q25" i="12"/>
  <c r="Q27" i="12"/>
  <c r="Q28" i="12"/>
  <c r="Q29" i="12"/>
  <c r="Q30" i="12"/>
  <c r="Q31" i="12"/>
  <c r="Q32" i="12"/>
  <c r="Q33" i="12"/>
  <c r="Q34" i="12"/>
  <c r="Q35" i="12"/>
  <c r="Q36" i="12"/>
  <c r="Q37" i="12"/>
  <c r="Q38" i="12"/>
  <c r="Q39" i="12"/>
  <c r="Q40" i="12"/>
  <c r="Q41" i="12"/>
  <c r="Q42" i="12"/>
  <c r="Q45" i="12"/>
  <c r="Q47" i="12"/>
  <c r="Q48" i="12"/>
  <c r="Q49" i="12"/>
  <c r="Q50" i="12"/>
  <c r="Q51" i="12"/>
  <c r="Q52" i="12"/>
  <c r="Q53" i="12"/>
  <c r="Q54" i="12"/>
  <c r="Q55" i="12"/>
  <c r="Q56" i="12"/>
  <c r="Q57" i="12"/>
  <c r="Q58" i="12"/>
  <c r="Q59" i="12"/>
  <c r="Q60" i="12"/>
  <c r="Q61" i="12"/>
  <c r="Q62" i="12"/>
  <c r="Q65" i="12"/>
  <c r="Q67" i="12"/>
  <c r="Q68" i="12"/>
  <c r="Q69" i="12"/>
  <c r="Q70" i="12"/>
  <c r="Q71" i="12"/>
  <c r="Q72" i="12"/>
  <c r="Q73" i="12"/>
  <c r="Q74" i="12"/>
  <c r="Q75" i="12"/>
  <c r="Q76" i="12"/>
  <c r="Q77" i="12"/>
  <c r="Q78" i="12"/>
  <c r="Q79" i="12"/>
  <c r="Q80" i="12"/>
  <c r="Q81" i="12"/>
  <c r="Q82" i="12"/>
  <c r="Q85" i="12"/>
  <c r="Q87" i="12"/>
  <c r="Q88" i="12"/>
  <c r="Q89" i="12"/>
  <c r="Q90" i="12"/>
  <c r="Q91" i="12"/>
  <c r="Q92" i="12"/>
  <c r="Q93" i="12"/>
  <c r="Q94" i="12"/>
  <c r="Q95" i="12"/>
  <c r="Q96" i="12"/>
  <c r="Q97" i="12"/>
  <c r="Q98" i="12"/>
  <c r="Q99" i="12"/>
  <c r="Q100" i="12"/>
  <c r="Q101" i="12"/>
  <c r="Q102" i="12"/>
  <c r="Q105" i="12"/>
  <c r="Q107" i="12"/>
  <c r="Q108" i="12"/>
  <c r="Q109" i="12"/>
  <c r="Q110" i="12"/>
  <c r="Q111" i="12"/>
  <c r="Q112" i="12"/>
  <c r="Q113" i="12"/>
  <c r="Q114" i="12"/>
  <c r="Q115" i="12"/>
  <c r="Q116" i="12"/>
  <c r="Q117" i="12"/>
  <c r="Q118" i="12"/>
  <c r="Q119" i="12"/>
  <c r="Q120" i="12"/>
  <c r="Q121" i="12"/>
  <c r="Q122" i="12"/>
  <c r="Q125" i="12"/>
  <c r="Q127" i="12"/>
  <c r="Q128" i="12"/>
  <c r="Q129" i="12"/>
  <c r="Q130" i="12"/>
  <c r="Q131" i="12"/>
  <c r="Q132" i="12"/>
  <c r="Q133" i="12"/>
  <c r="Q134" i="12"/>
  <c r="Q135" i="12"/>
  <c r="Q136" i="12"/>
  <c r="Q137" i="12"/>
  <c r="Q138" i="12"/>
  <c r="Q139" i="12"/>
  <c r="Q140" i="12"/>
  <c r="Q141" i="12"/>
  <c r="Q142" i="12"/>
  <c r="Q145" i="12"/>
  <c r="Q147" i="12"/>
  <c r="Q148" i="12"/>
  <c r="Q149" i="12"/>
  <c r="Q150" i="12"/>
  <c r="Q151" i="12"/>
  <c r="Q152" i="12"/>
  <c r="Q153" i="12"/>
  <c r="Q154" i="12"/>
  <c r="Q155" i="12"/>
  <c r="Q156" i="12"/>
  <c r="Q157" i="12"/>
  <c r="Q158" i="12"/>
  <c r="Q159" i="12"/>
  <c r="Q160" i="12"/>
  <c r="Q161" i="12"/>
  <c r="Q162" i="12"/>
  <c r="Q165" i="12"/>
  <c r="Q166" i="12"/>
  <c r="Q167" i="12"/>
  <c r="Q168" i="12"/>
  <c r="Q169" i="12"/>
  <c r="Q170" i="12"/>
  <c r="Q171" i="12"/>
  <c r="Q172" i="12"/>
  <c r="Q173" i="12"/>
  <c r="Q174" i="12"/>
  <c r="Q175" i="12"/>
  <c r="Q176" i="12"/>
  <c r="Q177" i="12"/>
  <c r="Q178" i="12"/>
  <c r="Q179" i="12"/>
  <c r="Q180" i="12"/>
  <c r="Q181" i="12"/>
  <c r="Q182" i="12"/>
  <c r="Q185" i="12"/>
  <c r="Q186" i="12"/>
  <c r="Q187" i="12"/>
  <c r="Q188" i="12"/>
  <c r="Q189" i="12"/>
  <c r="Q190" i="12"/>
  <c r="Q191" i="12"/>
  <c r="Q192" i="12"/>
  <c r="Q193" i="12"/>
  <c r="Q194" i="12"/>
  <c r="Q195" i="12"/>
  <c r="Q196" i="12"/>
  <c r="Q197" i="12"/>
  <c r="Q198" i="12"/>
  <c r="Q199" i="12"/>
  <c r="Q200" i="12"/>
  <c r="Q201" i="12"/>
  <c r="Q202" i="12"/>
  <c r="Q205" i="12"/>
  <c r="Q206" i="12"/>
  <c r="Q207" i="12"/>
  <c r="Q208" i="12"/>
  <c r="Q209" i="12"/>
  <c r="Q210" i="12"/>
  <c r="Q211" i="12"/>
  <c r="Q212" i="12"/>
  <c r="Q213" i="12"/>
  <c r="Q214" i="12"/>
  <c r="Q215" i="12"/>
  <c r="Q216" i="12"/>
  <c r="Q217" i="12"/>
  <c r="Q218" i="12"/>
  <c r="Q219" i="12"/>
  <c r="Q220" i="12"/>
  <c r="Q221" i="12"/>
  <c r="Q222" i="12"/>
  <c r="Q225" i="12"/>
  <c r="Q226" i="12"/>
  <c r="Q227" i="12"/>
  <c r="Q228" i="12"/>
  <c r="Q229" i="12"/>
  <c r="Q230" i="12"/>
  <c r="Q231" i="12"/>
  <c r="Q232" i="12"/>
  <c r="Q233" i="12"/>
  <c r="Q234" i="12"/>
  <c r="Q235" i="12"/>
  <c r="Q236" i="12"/>
  <c r="Q237" i="12"/>
  <c r="Q238" i="12"/>
  <c r="Q239" i="12"/>
  <c r="Q240" i="12"/>
  <c r="Q241" i="12"/>
  <c r="Q242" i="12"/>
  <c r="Q244" i="12"/>
  <c r="Q245" i="12"/>
  <c r="Q246" i="12"/>
  <c r="Q247" i="12"/>
  <c r="Q248" i="12"/>
  <c r="Q249" i="12"/>
  <c r="Q250" i="12"/>
  <c r="Q251" i="12"/>
  <c r="Q252" i="12"/>
  <c r="Q253" i="12"/>
  <c r="Q254" i="12"/>
  <c r="Q255" i="12"/>
  <c r="Q256" i="12"/>
  <c r="Q257" i="12"/>
  <c r="Q258" i="12"/>
  <c r="Q259" i="12"/>
  <c r="Q260" i="12"/>
  <c r="Q261" i="12"/>
  <c r="Q262" i="12"/>
  <c r="Q264" i="12"/>
  <c r="Q265" i="12"/>
  <c r="Q266" i="12"/>
  <c r="Q267" i="12"/>
  <c r="Q268" i="12"/>
  <c r="Q269" i="12"/>
  <c r="Q270" i="12"/>
  <c r="Q271" i="12"/>
  <c r="Q272" i="12"/>
  <c r="Q273" i="12"/>
  <c r="Q274" i="12"/>
  <c r="Q275" i="12"/>
  <c r="Q276" i="12"/>
  <c r="Q277" i="12"/>
  <c r="Q278" i="12"/>
  <c r="Q279" i="12"/>
  <c r="Q280" i="12"/>
  <c r="Q281" i="12"/>
  <c r="Q282" i="12"/>
  <c r="Q284" i="12"/>
  <c r="Q285" i="12"/>
  <c r="Q286" i="12"/>
  <c r="Q287" i="12"/>
  <c r="Q288" i="12"/>
  <c r="Q289" i="12"/>
  <c r="Q290" i="12"/>
  <c r="Q291" i="12"/>
  <c r="Q292" i="12"/>
  <c r="Q293" i="12"/>
  <c r="Q294" i="12"/>
  <c r="Q295" i="12"/>
  <c r="Q296" i="12"/>
  <c r="Q297" i="12"/>
  <c r="Q298" i="12"/>
  <c r="Q299" i="12"/>
  <c r="Q300" i="12"/>
  <c r="Q301" i="12"/>
  <c r="Q302" i="12"/>
  <c r="Q303" i="12"/>
  <c r="Q304" i="12"/>
  <c r="Q305" i="12"/>
  <c r="Q306" i="12"/>
  <c r="Q307" i="12"/>
  <c r="Q308" i="12"/>
  <c r="Q309" i="12"/>
  <c r="Q310" i="12"/>
  <c r="Q311" i="12"/>
  <c r="Q312" i="12"/>
  <c r="Q313" i="12"/>
  <c r="Q314" i="12"/>
  <c r="Q315" i="12"/>
  <c r="Q316" i="12"/>
  <c r="Q317" i="12"/>
  <c r="Q318" i="12"/>
  <c r="Q319" i="12"/>
  <c r="Q320" i="12"/>
  <c r="Q321" i="12"/>
  <c r="Q322" i="12"/>
  <c r="Q323" i="12"/>
  <c r="Q324" i="12"/>
  <c r="Q325" i="12"/>
  <c r="Q326" i="12"/>
  <c r="Q327" i="12"/>
  <c r="Q328" i="12"/>
  <c r="Q329" i="12"/>
  <c r="Q330" i="12"/>
  <c r="Q331" i="12"/>
  <c r="Q332" i="12"/>
  <c r="Q333" i="12"/>
  <c r="Q334" i="12"/>
  <c r="Q335" i="12"/>
  <c r="Q336" i="12"/>
  <c r="Q337" i="12"/>
  <c r="Q338" i="12"/>
  <c r="Q339" i="12"/>
  <c r="Q340" i="12"/>
  <c r="Q341" i="12"/>
  <c r="Q342" i="12"/>
  <c r="Q343" i="12"/>
  <c r="Q344" i="12"/>
  <c r="Q345" i="12"/>
  <c r="Q346" i="12"/>
  <c r="Q347" i="12"/>
  <c r="Q348" i="12"/>
  <c r="Q349" i="12"/>
  <c r="Q350" i="12"/>
  <c r="Q351" i="12"/>
  <c r="Q352" i="12"/>
  <c r="Q353" i="12"/>
  <c r="Q354" i="12"/>
  <c r="Q355" i="12"/>
  <c r="Q356" i="12"/>
  <c r="Q357" i="12"/>
  <c r="Q358" i="12"/>
  <c r="Q359" i="12"/>
  <c r="Q360" i="12"/>
  <c r="Q361" i="12"/>
  <c r="Q362" i="12"/>
  <c r="Q363" i="12"/>
  <c r="Q364" i="12"/>
  <c r="Q365" i="12"/>
  <c r="Q366" i="12"/>
  <c r="Q367" i="12"/>
  <c r="Q368" i="12"/>
  <c r="Q369" i="12"/>
  <c r="Q370" i="12"/>
  <c r="Q371" i="12"/>
  <c r="Q372" i="12"/>
  <c r="Q373" i="12"/>
  <c r="Q374" i="12"/>
  <c r="Q375" i="12"/>
  <c r="Q376" i="12"/>
  <c r="Q377" i="12"/>
  <c r="Q378" i="12"/>
  <c r="Q379" i="12"/>
  <c r="Q380" i="12"/>
  <c r="Q381" i="12"/>
  <c r="Q382" i="12"/>
  <c r="Q383" i="12"/>
  <c r="Q384" i="12"/>
  <c r="Q371" i="13" l="1"/>
  <c r="Q345" i="13"/>
  <c r="Q321" i="13"/>
  <c r="Q295" i="13"/>
  <c r="Q271" i="13"/>
  <c r="Q245" i="13"/>
  <c r="Q221" i="13"/>
  <c r="Q195" i="13"/>
  <c r="Q171" i="13"/>
  <c r="Q145" i="13"/>
  <c r="Q121" i="13"/>
  <c r="Q95" i="13"/>
  <c r="Q71" i="13"/>
  <c r="Q45" i="13"/>
  <c r="Q21" i="13"/>
  <c r="Q370" i="13"/>
  <c r="Q344" i="13"/>
  <c r="Q320" i="13"/>
  <c r="Q294" i="13"/>
  <c r="Q270" i="13"/>
  <c r="Q244" i="13"/>
  <c r="Q220" i="13"/>
  <c r="Q194" i="13"/>
  <c r="Q170" i="13"/>
  <c r="Q144" i="13"/>
  <c r="Q120" i="13"/>
  <c r="Q94" i="13"/>
  <c r="Q70" i="13"/>
  <c r="Q44" i="13"/>
  <c r="Q20" i="13"/>
  <c r="Q363" i="13"/>
  <c r="Q339" i="13"/>
  <c r="Q313" i="13"/>
  <c r="Q289" i="13"/>
  <c r="Q263" i="13"/>
  <c r="Q239" i="13"/>
  <c r="Q213" i="13"/>
  <c r="Q189" i="13"/>
  <c r="Q163" i="13"/>
  <c r="Q139" i="13"/>
  <c r="Q113" i="13"/>
  <c r="Q89" i="13"/>
  <c r="Q63" i="13"/>
  <c r="Q39" i="13"/>
  <c r="Q13" i="13"/>
  <c r="Q362" i="13"/>
  <c r="Q338" i="13"/>
  <c r="Q312" i="13"/>
  <c r="Q288" i="13"/>
  <c r="Q262" i="13"/>
  <c r="Q238" i="13"/>
  <c r="Q212" i="13"/>
  <c r="Q188" i="13"/>
  <c r="Q162" i="13"/>
  <c r="Q138" i="13"/>
  <c r="Q112" i="13"/>
  <c r="Q88" i="13"/>
  <c r="Q62" i="13"/>
  <c r="Q38" i="13"/>
  <c r="Q12" i="13"/>
  <c r="Q11" i="13"/>
  <c r="Q384" i="13"/>
  <c r="Q360" i="13"/>
  <c r="Q284" i="13"/>
  <c r="Q234" i="13"/>
  <c r="Q184" i="13"/>
  <c r="Q134" i="13"/>
  <c r="Q84" i="13"/>
  <c r="Q10" i="13"/>
  <c r="Q383" i="13"/>
  <c r="Q359" i="13"/>
  <c r="Q333" i="13"/>
  <c r="Q309" i="13"/>
  <c r="Q283" i="13"/>
  <c r="Q259" i="13"/>
  <c r="Q233" i="13"/>
  <c r="Q209" i="13"/>
  <c r="Q183" i="13"/>
  <c r="Q159" i="13"/>
  <c r="Q133" i="13"/>
  <c r="Q109" i="13"/>
  <c r="Q83" i="13"/>
  <c r="Q59" i="13"/>
  <c r="Q33" i="13"/>
  <c r="Q9" i="13"/>
  <c r="Q334" i="13"/>
  <c r="Q310" i="13"/>
  <c r="Q260" i="13"/>
  <c r="Q210" i="13"/>
  <c r="Q160" i="13"/>
  <c r="Q110" i="13"/>
  <c r="Q60" i="13"/>
  <c r="Q34" i="13"/>
  <c r="Q382" i="13"/>
  <c r="Q358" i="13"/>
  <c r="Q332" i="13"/>
  <c r="Q308" i="13"/>
  <c r="Q282" i="13"/>
  <c r="Q258" i="13"/>
  <c r="Q232" i="13"/>
  <c r="Q208" i="13"/>
  <c r="Q182" i="13"/>
  <c r="Q158" i="13"/>
  <c r="Q132" i="13"/>
  <c r="Q108" i="13"/>
  <c r="Q82" i="13"/>
  <c r="Q58" i="13"/>
  <c r="Q32" i="13"/>
  <c r="Q8" i="13"/>
  <c r="Q377" i="13"/>
  <c r="Q357" i="13"/>
  <c r="Q337" i="13"/>
  <c r="Q317" i="13"/>
  <c r="Q297" i="13"/>
  <c r="Q277" i="13"/>
  <c r="Q257" i="13"/>
  <c r="Q237" i="13"/>
  <c r="Q217" i="13"/>
  <c r="Q197" i="13"/>
  <c r="Q177" i="13"/>
  <c r="Q157" i="13"/>
  <c r="Q137" i="13"/>
  <c r="Q117" i="13"/>
  <c r="Q97" i="13"/>
  <c r="Q77" i="13"/>
  <c r="Q57" i="13"/>
  <c r="Q37" i="13"/>
  <c r="Q17" i="13"/>
  <c r="Q376" i="13"/>
  <c r="Q356" i="13"/>
  <c r="Q336" i="13"/>
  <c r="Q316" i="13"/>
  <c r="Q296" i="13"/>
  <c r="Q276" i="13"/>
  <c r="Q256" i="13"/>
  <c r="Q236" i="13"/>
  <c r="Q216" i="13"/>
  <c r="Q196" i="13"/>
  <c r="Q176" i="13"/>
  <c r="Q156" i="13"/>
  <c r="Q136" i="13"/>
  <c r="Q116" i="13"/>
  <c r="Q96" i="13"/>
  <c r="Q76" i="13"/>
  <c r="Q56" i="13"/>
  <c r="Q36" i="13"/>
  <c r="Q16" i="13"/>
  <c r="Q367" i="13"/>
  <c r="Q347" i="13"/>
  <c r="Q327" i="13"/>
  <c r="Q307" i="13"/>
  <c r="Q287" i="13"/>
  <c r="Q267" i="13"/>
  <c r="Q247" i="13"/>
  <c r="Q227" i="13"/>
  <c r="Q207" i="13"/>
  <c r="Q187" i="13"/>
  <c r="Q167" i="13"/>
  <c r="Q147" i="13"/>
  <c r="Q127" i="13"/>
  <c r="Q107" i="13"/>
  <c r="Q87" i="13"/>
  <c r="Q67" i="13"/>
  <c r="Q47" i="13"/>
  <c r="Q27" i="13"/>
  <c r="Q7" i="13"/>
  <c r="Q5" i="13"/>
  <c r="Q366" i="13"/>
  <c r="Q346" i="13"/>
  <c r="Q326" i="13"/>
  <c r="Q306" i="13"/>
  <c r="Q286" i="13"/>
  <c r="Q266" i="13"/>
  <c r="Q246" i="13"/>
  <c r="Q226" i="13"/>
  <c r="Q206" i="13"/>
  <c r="Q186" i="13"/>
  <c r="Q166" i="13"/>
  <c r="Q146" i="13"/>
  <c r="Q126" i="13"/>
  <c r="Q106" i="13"/>
  <c r="Q86" i="13"/>
  <c r="Q66" i="13"/>
  <c r="Q46" i="13"/>
  <c r="Q26" i="13"/>
  <c r="Q9" i="12"/>
  <c r="Q146" i="12"/>
  <c r="Q126" i="12"/>
  <c r="Q106" i="12"/>
  <c r="Q86" i="12"/>
  <c r="Q66" i="12"/>
  <c r="Q46" i="12"/>
  <c r="Q26" i="12"/>
  <c r="Q6" i="12"/>
  <c r="Q224" i="12"/>
  <c r="Q204" i="12"/>
  <c r="Q184" i="12"/>
  <c r="Q164" i="12"/>
  <c r="Q144" i="12"/>
  <c r="Q124" i="12"/>
  <c r="Q104" i="12"/>
  <c r="Q84" i="12"/>
  <c r="Q64" i="12"/>
  <c r="Q44" i="12"/>
  <c r="Q24" i="12"/>
  <c r="Q283" i="12"/>
  <c r="Q263" i="12"/>
  <c r="Q243" i="12"/>
  <c r="Q223" i="12"/>
  <c r="Q203" i="12"/>
  <c r="Q183" i="12"/>
  <c r="Q163" i="12"/>
  <c r="Q143" i="12"/>
  <c r="Q123" i="12"/>
  <c r="Q103" i="12"/>
  <c r="Q83" i="12"/>
  <c r="Q63" i="12"/>
  <c r="Q43" i="12"/>
  <c r="AU53" i="14"/>
  <c r="AU50" i="14"/>
  <c r="AU41" i="14"/>
  <c r="AU37" i="14"/>
  <c r="AU56" i="14"/>
  <c r="AU51" i="14"/>
  <c r="AU52" i="14"/>
  <c r="AU54" i="14"/>
  <c r="AU55" i="14"/>
  <c r="AU49" i="14"/>
  <c r="AC42" i="14"/>
  <c r="AC56" i="14"/>
  <c r="AC50" i="14"/>
  <c r="AC51" i="14"/>
  <c r="AC52" i="14"/>
  <c r="AC53" i="14"/>
  <c r="AC54" i="14"/>
  <c r="AC55" i="14"/>
  <c r="AC49" i="14"/>
  <c r="AC35" i="14"/>
  <c r="AU36" i="14"/>
  <c r="AU38" i="14"/>
  <c r="AU39" i="14"/>
  <c r="AU40" i="14"/>
  <c r="AU42" i="14"/>
  <c r="AC36" i="14"/>
  <c r="AC37" i="14"/>
  <c r="AC38" i="14"/>
  <c r="AC39" i="14"/>
  <c r="AC40" i="14"/>
  <c r="AC41" i="14"/>
  <c r="C18" i="15"/>
  <c r="B18" i="15"/>
  <c r="C17" i="15"/>
  <c r="B17" i="15"/>
  <c r="C16" i="15"/>
  <c r="B16" i="15"/>
  <c r="C15" i="15"/>
  <c r="B15" i="15"/>
  <c r="C11" i="15"/>
  <c r="B11" i="15"/>
  <c r="C10" i="15"/>
  <c r="B10" i="15"/>
  <c r="C9" i="15"/>
  <c r="B9" i="15"/>
  <c r="C8" i="15"/>
  <c r="B8" i="15"/>
  <c r="C7" i="15"/>
  <c r="B7" i="15"/>
  <c r="C6" i="15"/>
  <c r="B6" i="15"/>
  <c r="AM56" i="14"/>
  <c r="D45" i="4" s="1"/>
  <c r="D56" i="14"/>
  <c r="F56" i="14" s="1"/>
  <c r="H56" i="14" s="1"/>
  <c r="J56" i="14" s="1"/>
  <c r="L56" i="14" s="1"/>
  <c r="M56" i="14" s="1"/>
  <c r="AM55" i="14"/>
  <c r="D44" i="4" s="1"/>
  <c r="AB55" i="14"/>
  <c r="D55" i="14"/>
  <c r="F55" i="14" s="1"/>
  <c r="H55" i="14" s="1"/>
  <c r="J55" i="14" s="1"/>
  <c r="L55" i="14" s="1"/>
  <c r="M55" i="14" s="1"/>
  <c r="AM54" i="14"/>
  <c r="D43" i="4" s="1"/>
  <c r="AB54" i="14"/>
  <c r="D54" i="14"/>
  <c r="AM53" i="14"/>
  <c r="D42" i="4" s="1"/>
  <c r="AB53" i="14"/>
  <c r="D53" i="14"/>
  <c r="F53" i="14" s="1"/>
  <c r="H53" i="14" s="1"/>
  <c r="AM52" i="14"/>
  <c r="D41" i="4" s="1"/>
  <c r="AB52" i="14"/>
  <c r="D52" i="14"/>
  <c r="AM51" i="14"/>
  <c r="D40" i="4" s="1"/>
  <c r="D51" i="14"/>
  <c r="AM50" i="14"/>
  <c r="D39" i="4" s="1"/>
  <c r="D50" i="14"/>
  <c r="F50" i="14" s="1"/>
  <c r="H50" i="14" s="1"/>
  <c r="J50" i="14" s="1"/>
  <c r="L50" i="14" s="1"/>
  <c r="M50" i="14" s="1"/>
  <c r="AM49" i="14"/>
  <c r="D38" i="4" s="1"/>
  <c r="D49" i="14"/>
  <c r="AM42" i="14"/>
  <c r="D37" i="4" s="1"/>
  <c r="D42" i="14"/>
  <c r="AM41" i="14"/>
  <c r="D36" i="4" s="1"/>
  <c r="D41" i="14"/>
  <c r="AM40" i="14"/>
  <c r="D35" i="4" s="1"/>
  <c r="D40" i="14"/>
  <c r="AM39" i="14"/>
  <c r="D34" i="4" s="1"/>
  <c r="D39" i="14"/>
  <c r="F39" i="14" s="1"/>
  <c r="H39" i="14" s="1"/>
  <c r="J39" i="14" s="1"/>
  <c r="L39" i="14" s="1"/>
  <c r="M39" i="14" s="1"/>
  <c r="AM38" i="14"/>
  <c r="D33" i="4" s="1"/>
  <c r="D38" i="14"/>
  <c r="D37" i="14"/>
  <c r="F37" i="14" s="1"/>
  <c r="H37" i="14" s="1"/>
  <c r="J37" i="14" s="1"/>
  <c r="L37" i="14" s="1"/>
  <c r="M37" i="14" s="1"/>
  <c r="D36" i="14"/>
  <c r="D35" i="14"/>
  <c r="F28" i="14"/>
  <c r="H28" i="14" s="1"/>
  <c r="J28" i="14" s="1"/>
  <c r="L28" i="14" s="1"/>
  <c r="M28" i="14" s="1"/>
  <c r="F27" i="14"/>
  <c r="H27" i="14" s="1"/>
  <c r="J27" i="14" s="1"/>
  <c r="L27" i="14" s="1"/>
  <c r="M27" i="14" s="1"/>
  <c r="F26" i="14"/>
  <c r="H26" i="14" s="1"/>
  <c r="J26" i="14" s="1"/>
  <c r="L26" i="14" s="1"/>
  <c r="M26" i="14" s="1"/>
  <c r="F25" i="14"/>
  <c r="H25" i="14" s="1"/>
  <c r="J25" i="14" s="1"/>
  <c r="L25" i="14" s="1"/>
  <c r="M25" i="14" s="1"/>
  <c r="F24" i="14"/>
  <c r="H24" i="14" s="1"/>
  <c r="J24" i="14" s="1"/>
  <c r="L24" i="14" s="1"/>
  <c r="M24" i="14" s="1"/>
  <c r="F23" i="14"/>
  <c r="H23" i="14" s="1"/>
  <c r="J23" i="14" s="1"/>
  <c r="L23" i="14" s="1"/>
  <c r="M23" i="14" s="1"/>
  <c r="F22" i="14"/>
  <c r="H22" i="14" s="1"/>
  <c r="J22" i="14" s="1"/>
  <c r="L22" i="14" s="1"/>
  <c r="M22" i="14" s="1"/>
  <c r="F21" i="14"/>
  <c r="H21" i="14" s="1"/>
  <c r="J21" i="14" s="1"/>
  <c r="L21" i="14" s="1"/>
  <c r="M21" i="14" s="1"/>
  <c r="F20" i="14"/>
  <c r="H20" i="14" s="1"/>
  <c r="J20" i="14" s="1"/>
  <c r="L20" i="14" s="1"/>
  <c r="M20" i="14" s="1"/>
  <c r="F13" i="14"/>
  <c r="H13" i="14" s="1"/>
  <c r="J13" i="14" s="1"/>
  <c r="L13" i="14" s="1"/>
  <c r="M13" i="14" s="1"/>
  <c r="F12" i="14"/>
  <c r="H12" i="14" s="1"/>
  <c r="J12" i="14" s="1"/>
  <c r="L12" i="14" s="1"/>
  <c r="M12" i="14" s="1"/>
  <c r="F11" i="14"/>
  <c r="H11" i="14" s="1"/>
  <c r="J11" i="14" s="1"/>
  <c r="L11" i="14" s="1"/>
  <c r="M11" i="14" s="1"/>
  <c r="D10" i="14"/>
  <c r="F10" i="14" s="1"/>
  <c r="H10" i="14" s="1"/>
  <c r="J10" i="14" s="1"/>
  <c r="L10" i="14" s="1"/>
  <c r="M10" i="14" s="1"/>
  <c r="F9" i="14"/>
  <c r="H9" i="14" s="1"/>
  <c r="J9" i="14" s="1"/>
  <c r="L9" i="14" s="1"/>
  <c r="M9" i="14" s="1"/>
  <c r="F8" i="14"/>
  <c r="H8" i="14" s="1"/>
  <c r="J8" i="14" s="1"/>
  <c r="L8" i="14" s="1"/>
  <c r="M8" i="14" s="1"/>
  <c r="F7" i="14"/>
  <c r="H7" i="14" s="1"/>
  <c r="J7" i="14" s="1"/>
  <c r="L7" i="14" s="1"/>
  <c r="M7" i="14" s="1"/>
  <c r="F42" i="14" l="1"/>
  <c r="H42" i="14" s="1"/>
  <c r="J42" i="14" s="1"/>
  <c r="L42" i="14" s="1"/>
  <c r="M42" i="14" s="1"/>
  <c r="AD42" i="14"/>
  <c r="AE42" i="14" s="1"/>
  <c r="Y75" i="14" a="1"/>
  <c r="Y75" i="14" s="1"/>
  <c r="Z83" i="14" a="1"/>
  <c r="Z83" i="14" s="1"/>
  <c r="V56" i="14"/>
  <c r="Z55" i="14"/>
  <c r="Z50" i="14"/>
  <c r="Y55" i="14"/>
  <c r="Y50" i="14"/>
  <c r="X55" i="14"/>
  <c r="X50" i="14"/>
  <c r="Z56" i="14"/>
  <c r="W55" i="14"/>
  <c r="W50" i="14"/>
  <c r="Y56" i="14"/>
  <c r="V55" i="14"/>
  <c r="W53" i="14"/>
  <c r="V50" i="14"/>
  <c r="X56" i="14"/>
  <c r="V53" i="14"/>
  <c r="W56" i="14"/>
  <c r="Z75" i="14" a="1"/>
  <c r="Z75" i="14" s="1"/>
  <c r="Z42" i="14"/>
  <c r="Y42" i="14"/>
  <c r="X42" i="14"/>
  <c r="Z39" i="14"/>
  <c r="X39" i="14"/>
  <c r="W39" i="14"/>
  <c r="Y37" i="14"/>
  <c r="W42" i="14"/>
  <c r="V39" i="14"/>
  <c r="V42" i="14"/>
  <c r="W37" i="14"/>
  <c r="Y39" i="14"/>
  <c r="Z37" i="14"/>
  <c r="V37" i="14"/>
  <c r="Y83" i="14" a="1"/>
  <c r="Y83" i="14" s="1"/>
  <c r="AD56" i="14"/>
  <c r="AW56" i="14" s="1"/>
  <c r="AX56" i="14" s="1"/>
  <c r="AW42" i="14"/>
  <c r="AX42" i="14" s="1"/>
  <c r="AD39" i="14"/>
  <c r="J53" i="14"/>
  <c r="L53" i="14" s="1"/>
  <c r="M53" i="14" s="1"/>
  <c r="AD53" i="14"/>
  <c r="AD50" i="14"/>
  <c r="AW50" i="14" s="1"/>
  <c r="AX50" i="14" s="1"/>
  <c r="AD55" i="14"/>
  <c r="AW55" i="14" s="1"/>
  <c r="AX55" i="14" s="1"/>
  <c r="AD37" i="14"/>
  <c r="AE37" i="14" s="1"/>
  <c r="F36" i="14"/>
  <c r="H36" i="14" s="1"/>
  <c r="Z36" i="14" s="1"/>
  <c r="F52" i="14"/>
  <c r="H52" i="14" s="1"/>
  <c r="J52" i="14" s="1"/>
  <c r="L52" i="14" s="1"/>
  <c r="M52" i="14" s="1"/>
  <c r="F38" i="14"/>
  <c r="H38" i="14" s="1"/>
  <c r="F49" i="14"/>
  <c r="H49" i="14" s="1"/>
  <c r="F54" i="14"/>
  <c r="H54" i="14" s="1"/>
  <c r="V54" i="14" s="1"/>
  <c r="F35" i="14"/>
  <c r="H35" i="14" s="1"/>
  <c r="AD35" i="14" s="1"/>
  <c r="AE35" i="14" s="1"/>
  <c r="F40" i="14"/>
  <c r="H40" i="14" s="1"/>
  <c r="F51" i="14"/>
  <c r="H51" i="14" s="1"/>
  <c r="W51" i="14" s="1"/>
  <c r="F41" i="14"/>
  <c r="H41" i="14" s="1"/>
  <c r="Z41" i="14" s="1"/>
  <c r="AW39" i="14" l="1"/>
  <c r="AX39" i="14" s="1"/>
  <c r="AE39" i="14"/>
  <c r="Y51" i="14"/>
  <c r="AW53" i="14"/>
  <c r="AX53" i="14" s="1"/>
  <c r="V41" i="14"/>
  <c r="W54" i="14"/>
  <c r="Z54" i="14"/>
  <c r="X54" i="14"/>
  <c r="AF42" i="14"/>
  <c r="V35" i="14"/>
  <c r="AF35" i="14" s="1"/>
  <c r="J51" i="14"/>
  <c r="J49" i="14"/>
  <c r="Z49" i="14"/>
  <c r="AF56" i="14"/>
  <c r="AE56" i="14"/>
  <c r="X51" i="14"/>
  <c r="AF55" i="14"/>
  <c r="AE55" i="14"/>
  <c r="X52" i="14"/>
  <c r="Y49" i="14"/>
  <c r="W49" i="14"/>
  <c r="AE53" i="14"/>
  <c r="AF37" i="14"/>
  <c r="W52" i="14"/>
  <c r="X49" i="14"/>
  <c r="V52" i="14"/>
  <c r="V51" i="14"/>
  <c r="V49" i="14"/>
  <c r="AX35" i="14"/>
  <c r="J54" i="14"/>
  <c r="AE50" i="14"/>
  <c r="Z51" i="14"/>
  <c r="Y52" i="14"/>
  <c r="Z52" i="14"/>
  <c r="AF39" i="14"/>
  <c r="J35" i="14"/>
  <c r="W35" i="14"/>
  <c r="X35" i="14"/>
  <c r="J41" i="14"/>
  <c r="L41" i="14" s="1"/>
  <c r="M41" i="14" s="1"/>
  <c r="X41" i="14"/>
  <c r="J36" i="14"/>
  <c r="W36" i="14"/>
  <c r="V36" i="14"/>
  <c r="Y36" i="14"/>
  <c r="Y41" i="14"/>
  <c r="W41" i="14"/>
  <c r="X36" i="14"/>
  <c r="J40" i="14"/>
  <c r="L40" i="14" s="1"/>
  <c r="M40" i="14" s="1"/>
  <c r="Z40" i="14"/>
  <c r="W40" i="14"/>
  <c r="J38" i="14"/>
  <c r="V38" i="14"/>
  <c r="AD40" i="14"/>
  <c r="Y40" i="14"/>
  <c r="X38" i="14"/>
  <c r="X40" i="14"/>
  <c r="V40" i="14"/>
  <c r="Z35" i="14"/>
  <c r="AD41" i="14"/>
  <c r="AD51" i="14"/>
  <c r="AW51" i="14" s="1"/>
  <c r="AX51" i="14" s="1"/>
  <c r="AD54" i="14"/>
  <c r="AW54" i="14" s="1"/>
  <c r="AX54" i="14" s="1"/>
  <c r="AD38" i="14"/>
  <c r="AW37" i="14"/>
  <c r="AX37" i="14" s="1"/>
  <c r="AD52" i="14"/>
  <c r="AW52" i="14" s="1"/>
  <c r="AX52" i="14" s="1"/>
  <c r="AD49" i="14"/>
  <c r="AD36" i="14"/>
  <c r="AW40" i="14" l="1"/>
  <c r="AX40" i="14" s="1"/>
  <c r="AE40" i="14"/>
  <c r="AW38" i="14"/>
  <c r="AX38" i="14" s="1"/>
  <c r="AE38" i="14"/>
  <c r="AW41" i="14"/>
  <c r="AX41" i="14" s="1"/>
  <c r="AE41" i="14"/>
  <c r="AE49" i="14"/>
  <c r="AW36" i="14"/>
  <c r="AX36" i="14" s="1"/>
  <c r="AE36" i="14"/>
  <c r="V83" i="14" a="1"/>
  <c r="V83" i="14" s="1"/>
  <c r="AE54" i="14"/>
  <c r="AF54" i="14"/>
  <c r="L38" i="14"/>
  <c r="M38" i="14" s="1"/>
  <c r="L36" i="14"/>
  <c r="M36" i="14" s="1"/>
  <c r="AF41" i="14"/>
  <c r="L51" i="14"/>
  <c r="M51" i="14" s="1"/>
  <c r="L49" i="14"/>
  <c r="M49" i="14" s="1"/>
  <c r="L35" i="14"/>
  <c r="M35" i="14" s="1"/>
  <c r="AF51" i="14"/>
  <c r="AE51" i="14"/>
  <c r="L54" i="14"/>
  <c r="M54" i="14" s="1"/>
  <c r="AF52" i="14"/>
  <c r="AE52" i="14"/>
  <c r="AF40" i="14"/>
  <c r="AF36" i="14"/>
  <c r="V75" i="14" a="1"/>
  <c r="V75" i="14" s="1"/>
  <c r="AW49" i="14"/>
  <c r="AX49" i="14" s="1"/>
  <c r="S5" i="13"/>
  <c r="AA235" i="13"/>
  <c r="W235" i="13"/>
  <c r="S235" i="13"/>
  <c r="O235" i="13"/>
  <c r="AA234" i="13"/>
  <c r="W234" i="13"/>
  <c r="S234" i="13"/>
  <c r="O234" i="13"/>
  <c r="AA233" i="13"/>
  <c r="W233" i="13"/>
  <c r="S233" i="13"/>
  <c r="O233" i="13"/>
  <c r="AA232" i="13"/>
  <c r="W232" i="13"/>
  <c r="S232" i="13"/>
  <c r="O232" i="13"/>
  <c r="AA231" i="13"/>
  <c r="W231" i="13"/>
  <c r="S231" i="13"/>
  <c r="O231" i="13"/>
  <c r="AA230" i="13"/>
  <c r="W230" i="13"/>
  <c r="S230" i="13"/>
  <c r="O230" i="13"/>
  <c r="AA229" i="13"/>
  <c r="W229" i="13"/>
  <c r="S229" i="13"/>
  <c r="O229" i="13"/>
  <c r="AA228" i="13"/>
  <c r="W228" i="13"/>
  <c r="S228" i="13"/>
  <c r="O228" i="13"/>
  <c r="AA227" i="13"/>
  <c r="W227" i="13"/>
  <c r="S227" i="13"/>
  <c r="O227" i="13"/>
  <c r="AA226" i="13"/>
  <c r="W226" i="13"/>
  <c r="S226" i="13"/>
  <c r="O226" i="13"/>
  <c r="AA225" i="13"/>
  <c r="W225" i="13"/>
  <c r="S225" i="13"/>
  <c r="O225" i="13"/>
  <c r="AA224" i="13"/>
  <c r="W224" i="13"/>
  <c r="S224" i="13"/>
  <c r="O224" i="13"/>
  <c r="AA223" i="13"/>
  <c r="W223" i="13"/>
  <c r="S223" i="13"/>
  <c r="O223" i="13"/>
  <c r="AA222" i="13"/>
  <c r="W222" i="13"/>
  <c r="S222" i="13"/>
  <c r="O222" i="13"/>
  <c r="AA221" i="13"/>
  <c r="W221" i="13"/>
  <c r="S221" i="13"/>
  <c r="O221" i="13"/>
  <c r="AA220" i="13"/>
  <c r="W220" i="13"/>
  <c r="S220" i="13"/>
  <c r="O220" i="13"/>
  <c r="AA219" i="13"/>
  <c r="W219" i="13"/>
  <c r="S219" i="13"/>
  <c r="O219" i="13"/>
  <c r="AA218" i="13"/>
  <c r="W218" i="13"/>
  <c r="S218" i="13"/>
  <c r="O218" i="13"/>
  <c r="AA217" i="13"/>
  <c r="W217" i="13"/>
  <c r="S217" i="13"/>
  <c r="O217" i="13"/>
  <c r="AA216" i="13"/>
  <c r="W216" i="13"/>
  <c r="S216" i="13"/>
  <c r="O216" i="13"/>
  <c r="AA215" i="13"/>
  <c r="W215" i="13"/>
  <c r="S215" i="13"/>
  <c r="O215" i="13"/>
  <c r="AA214" i="13"/>
  <c r="W214" i="13"/>
  <c r="S214" i="13"/>
  <c r="O214" i="13"/>
  <c r="AA213" i="13"/>
  <c r="W213" i="13"/>
  <c r="S213" i="13"/>
  <c r="O213" i="13"/>
  <c r="AA212" i="13"/>
  <c r="W212" i="13"/>
  <c r="S212" i="13"/>
  <c r="O212" i="13"/>
  <c r="AA211" i="13"/>
  <c r="W211" i="13"/>
  <c r="S211" i="13"/>
  <c r="O211" i="13"/>
  <c r="AA210" i="13"/>
  <c r="W210" i="13"/>
  <c r="S210" i="13"/>
  <c r="O210" i="13"/>
  <c r="AA209" i="13"/>
  <c r="W209" i="13"/>
  <c r="S209" i="13"/>
  <c r="O209" i="13"/>
  <c r="AA208" i="13"/>
  <c r="W208" i="13"/>
  <c r="S208" i="13"/>
  <c r="O208" i="13"/>
  <c r="AA207" i="13"/>
  <c r="W207" i="13"/>
  <c r="S207" i="13"/>
  <c r="O207" i="13"/>
  <c r="AA206" i="13"/>
  <c r="W206" i="13"/>
  <c r="S206" i="13"/>
  <c r="O206" i="13"/>
  <c r="AA205" i="13"/>
  <c r="W205" i="13"/>
  <c r="S205" i="13"/>
  <c r="O205" i="13"/>
  <c r="AA204" i="13"/>
  <c r="W204" i="13"/>
  <c r="S204" i="13"/>
  <c r="O204" i="13"/>
  <c r="AA203" i="13"/>
  <c r="W203" i="13"/>
  <c r="S203" i="13"/>
  <c r="O203" i="13"/>
  <c r="AA202" i="13"/>
  <c r="W202" i="13"/>
  <c r="S202" i="13"/>
  <c r="O202" i="13"/>
  <c r="AA201" i="13"/>
  <c r="W201" i="13"/>
  <c r="S201" i="13"/>
  <c r="O201" i="13"/>
  <c r="AA200" i="13"/>
  <c r="W200" i="13"/>
  <c r="S200" i="13"/>
  <c r="O200" i="13"/>
  <c r="AA199" i="13"/>
  <c r="W199" i="13"/>
  <c r="S199" i="13"/>
  <c r="O199" i="13"/>
  <c r="AA198" i="13"/>
  <c r="W198" i="13"/>
  <c r="S198" i="13"/>
  <c r="O198" i="13"/>
  <c r="AA197" i="13"/>
  <c r="W197" i="13"/>
  <c r="S197" i="13"/>
  <c r="O197" i="13"/>
  <c r="AA196" i="13"/>
  <c r="W196" i="13"/>
  <c r="S196" i="13"/>
  <c r="O196" i="13"/>
  <c r="AA195" i="13"/>
  <c r="W195" i="13"/>
  <c r="S195" i="13"/>
  <c r="O195" i="13"/>
  <c r="AA194" i="13"/>
  <c r="W194" i="13"/>
  <c r="S194" i="13"/>
  <c r="O194" i="13"/>
  <c r="AA193" i="13"/>
  <c r="W193" i="13"/>
  <c r="S193" i="13"/>
  <c r="O193" i="13"/>
  <c r="AA192" i="13"/>
  <c r="W192" i="13"/>
  <c r="S192" i="13"/>
  <c r="O192" i="13"/>
  <c r="AA191" i="13"/>
  <c r="W191" i="13"/>
  <c r="S191" i="13"/>
  <c r="O191" i="13"/>
  <c r="AA190" i="13"/>
  <c r="W190" i="13"/>
  <c r="S190" i="13"/>
  <c r="O190" i="13"/>
  <c r="AA189" i="13"/>
  <c r="W189" i="13"/>
  <c r="S189" i="13"/>
  <c r="O189" i="13"/>
  <c r="AA188" i="13"/>
  <c r="W188" i="13"/>
  <c r="S188" i="13"/>
  <c r="O188" i="13"/>
  <c r="AA187" i="13"/>
  <c r="W187" i="13"/>
  <c r="S187" i="13"/>
  <c r="O187" i="13"/>
  <c r="AA186" i="13"/>
  <c r="W186" i="13"/>
  <c r="S186" i="13"/>
  <c r="O186" i="13"/>
  <c r="AA185" i="13"/>
  <c r="W185" i="13"/>
  <c r="S185" i="13"/>
  <c r="O185" i="13"/>
  <c r="AA184" i="13"/>
  <c r="W184" i="13"/>
  <c r="S184" i="13"/>
  <c r="O184" i="13"/>
  <c r="AA183" i="13"/>
  <c r="W183" i="13"/>
  <c r="S183" i="13"/>
  <c r="O183" i="13"/>
  <c r="AA182" i="13"/>
  <c r="W182" i="13"/>
  <c r="S182" i="13"/>
  <c r="O182" i="13"/>
  <c r="AA181" i="13"/>
  <c r="W181" i="13"/>
  <c r="S181" i="13"/>
  <c r="O181" i="13"/>
  <c r="AA180" i="13"/>
  <c r="W180" i="13"/>
  <c r="S180" i="13"/>
  <c r="O180" i="13"/>
  <c r="AA179" i="13"/>
  <c r="W179" i="13"/>
  <c r="S179" i="13"/>
  <c r="O179" i="13"/>
  <c r="AA178" i="13"/>
  <c r="W178" i="13"/>
  <c r="S178" i="13"/>
  <c r="O178" i="13"/>
  <c r="AA177" i="13"/>
  <c r="W177" i="13"/>
  <c r="S177" i="13"/>
  <c r="O177" i="13"/>
  <c r="AA176" i="13"/>
  <c r="W176" i="13"/>
  <c r="S176" i="13"/>
  <c r="O176" i="13"/>
  <c r="AA175" i="13"/>
  <c r="W175" i="13"/>
  <c r="S175" i="13"/>
  <c r="O175" i="13"/>
  <c r="AA174" i="13"/>
  <c r="W174" i="13"/>
  <c r="S174" i="13"/>
  <c r="O174" i="13"/>
  <c r="AA173" i="13"/>
  <c r="W173" i="13"/>
  <c r="S173" i="13"/>
  <c r="O173" i="13"/>
  <c r="AA172" i="13"/>
  <c r="W172" i="13"/>
  <c r="S172" i="13"/>
  <c r="O172" i="13"/>
  <c r="AA171" i="13"/>
  <c r="W171" i="13"/>
  <c r="S171" i="13"/>
  <c r="O171" i="13"/>
  <c r="AA170" i="13"/>
  <c r="W170" i="13"/>
  <c r="S170" i="13"/>
  <c r="O170" i="13"/>
  <c r="AA169" i="13"/>
  <c r="W169" i="13"/>
  <c r="S169" i="13"/>
  <c r="O169" i="13"/>
  <c r="AA168" i="13"/>
  <c r="W168" i="13"/>
  <c r="S168" i="13"/>
  <c r="O168" i="13"/>
  <c r="AA167" i="13"/>
  <c r="W167" i="13"/>
  <c r="S167" i="13"/>
  <c r="O167" i="13"/>
  <c r="AA166" i="13"/>
  <c r="W166" i="13"/>
  <c r="S166" i="13"/>
  <c r="O166" i="13"/>
  <c r="AA165" i="13"/>
  <c r="W165" i="13"/>
  <c r="S165" i="13"/>
  <c r="O165" i="13"/>
  <c r="AA164" i="13"/>
  <c r="W164" i="13"/>
  <c r="S164" i="13"/>
  <c r="O164" i="13"/>
  <c r="AA163" i="13"/>
  <c r="W163" i="13"/>
  <c r="S163" i="13"/>
  <c r="O163" i="13"/>
  <c r="AA162" i="13"/>
  <c r="W162" i="13"/>
  <c r="S162" i="13"/>
  <c r="O162" i="13"/>
  <c r="AA161" i="13"/>
  <c r="W161" i="13"/>
  <c r="S161" i="13"/>
  <c r="O161" i="13"/>
  <c r="AA160" i="13"/>
  <c r="W160" i="13"/>
  <c r="S160" i="13"/>
  <c r="O160" i="13"/>
  <c r="AA159" i="13"/>
  <c r="W159" i="13"/>
  <c r="S159" i="13"/>
  <c r="O159" i="13"/>
  <c r="AA158" i="13"/>
  <c r="W158" i="13"/>
  <c r="S158" i="13"/>
  <c r="O158" i="13"/>
  <c r="AA157" i="13"/>
  <c r="W157" i="13"/>
  <c r="S157" i="13"/>
  <c r="O157" i="13"/>
  <c r="AA156" i="13"/>
  <c r="W156" i="13"/>
  <c r="S156" i="13"/>
  <c r="O156" i="13"/>
  <c r="AA155" i="13"/>
  <c r="W155" i="13"/>
  <c r="S155" i="13"/>
  <c r="O155" i="13"/>
  <c r="AA154" i="13"/>
  <c r="W154" i="13"/>
  <c r="S154" i="13"/>
  <c r="O154" i="13"/>
  <c r="AA153" i="13"/>
  <c r="W153" i="13"/>
  <c r="S153" i="13"/>
  <c r="O153" i="13"/>
  <c r="AA152" i="13"/>
  <c r="W152" i="13"/>
  <c r="S152" i="13"/>
  <c r="O152" i="13"/>
  <c r="AA151" i="13"/>
  <c r="W151" i="13"/>
  <c r="S151" i="13"/>
  <c r="O151" i="13"/>
  <c r="AA150" i="13"/>
  <c r="W150" i="13"/>
  <c r="S150" i="13"/>
  <c r="O150" i="13"/>
  <c r="AA149" i="13"/>
  <c r="W149" i="13"/>
  <c r="S149" i="13"/>
  <c r="O149" i="13"/>
  <c r="AA148" i="13"/>
  <c r="W148" i="13"/>
  <c r="S148" i="13"/>
  <c r="O148" i="13"/>
  <c r="AA147" i="13"/>
  <c r="W147" i="13"/>
  <c r="S147" i="13"/>
  <c r="O147" i="13"/>
  <c r="AA146" i="13"/>
  <c r="W146" i="13"/>
  <c r="S146" i="13"/>
  <c r="O146" i="13"/>
  <c r="AA145" i="13"/>
  <c r="W145" i="13"/>
  <c r="S145" i="13"/>
  <c r="O145" i="13"/>
  <c r="AA144" i="13"/>
  <c r="W144" i="13"/>
  <c r="S144" i="13"/>
  <c r="O144" i="13"/>
  <c r="AA143" i="13"/>
  <c r="W143" i="13"/>
  <c r="S143" i="13"/>
  <c r="O143" i="13"/>
  <c r="AA142" i="13"/>
  <c r="W142" i="13"/>
  <c r="S142" i="13"/>
  <c r="O142" i="13"/>
  <c r="AA141" i="13"/>
  <c r="W141" i="13"/>
  <c r="S141" i="13"/>
  <c r="O141" i="13"/>
  <c r="AA140" i="13"/>
  <c r="W140" i="13"/>
  <c r="S140" i="13"/>
  <c r="O140" i="13"/>
  <c r="AA139" i="13"/>
  <c r="W139" i="13"/>
  <c r="S139" i="13"/>
  <c r="O139" i="13"/>
  <c r="AA138" i="13"/>
  <c r="W138" i="13"/>
  <c r="S138" i="13"/>
  <c r="O138" i="13"/>
  <c r="AA137" i="13"/>
  <c r="W137" i="13"/>
  <c r="S137" i="13"/>
  <c r="O137" i="13"/>
  <c r="AA136" i="13"/>
  <c r="W136" i="13"/>
  <c r="S136" i="13"/>
  <c r="O136" i="13"/>
  <c r="AA135" i="13"/>
  <c r="W135" i="13"/>
  <c r="S135" i="13"/>
  <c r="O135" i="13"/>
  <c r="AA134" i="13"/>
  <c r="W134" i="13"/>
  <c r="S134" i="13"/>
  <c r="O134" i="13"/>
  <c r="AA133" i="13"/>
  <c r="W133" i="13"/>
  <c r="S133" i="13"/>
  <c r="O133" i="13"/>
  <c r="AA132" i="13"/>
  <c r="W132" i="13"/>
  <c r="S132" i="13"/>
  <c r="O132" i="13"/>
  <c r="AA131" i="13"/>
  <c r="W131" i="13"/>
  <c r="S131" i="13"/>
  <c r="O131" i="13"/>
  <c r="AA130" i="13"/>
  <c r="W130" i="13"/>
  <c r="S130" i="13"/>
  <c r="O130" i="13"/>
  <c r="AA129" i="13"/>
  <c r="W129" i="13"/>
  <c r="S129" i="13"/>
  <c r="O129" i="13"/>
  <c r="AA128" i="13"/>
  <c r="W128" i="13"/>
  <c r="S128" i="13"/>
  <c r="O128" i="13"/>
  <c r="AA127" i="13"/>
  <c r="W127" i="13"/>
  <c r="S127" i="13"/>
  <c r="O127" i="13"/>
  <c r="AA126" i="13"/>
  <c r="W126" i="13"/>
  <c r="S126" i="13"/>
  <c r="O126" i="13"/>
  <c r="AA125" i="13"/>
  <c r="W125" i="13"/>
  <c r="S125" i="13"/>
  <c r="O125" i="13"/>
  <c r="AA124" i="13"/>
  <c r="W124" i="13"/>
  <c r="S124" i="13"/>
  <c r="O124" i="13"/>
  <c r="AA123" i="13"/>
  <c r="W123" i="13"/>
  <c r="S123" i="13"/>
  <c r="O123" i="13"/>
  <c r="AA122" i="13"/>
  <c r="W122" i="13"/>
  <c r="S122" i="13"/>
  <c r="O122" i="13"/>
  <c r="AA121" i="13"/>
  <c r="W121" i="13"/>
  <c r="S121" i="13"/>
  <c r="O121" i="13"/>
  <c r="AA120" i="13"/>
  <c r="W120" i="13"/>
  <c r="S120" i="13"/>
  <c r="O120" i="13"/>
  <c r="AA119" i="13"/>
  <c r="W119" i="13"/>
  <c r="S119" i="13"/>
  <c r="O119" i="13"/>
  <c r="AA118" i="13"/>
  <c r="W118" i="13"/>
  <c r="S118" i="13"/>
  <c r="O118" i="13"/>
  <c r="AA117" i="13"/>
  <c r="W117" i="13"/>
  <c r="S117" i="13"/>
  <c r="O117" i="13"/>
  <c r="AA116" i="13"/>
  <c r="W116" i="13"/>
  <c r="S116" i="13"/>
  <c r="O116" i="13"/>
  <c r="AA115" i="13"/>
  <c r="W115" i="13"/>
  <c r="S115" i="13"/>
  <c r="O115" i="13"/>
  <c r="AA114" i="13"/>
  <c r="W114" i="13"/>
  <c r="S114" i="13"/>
  <c r="O114" i="13"/>
  <c r="AA113" i="13"/>
  <c r="W113" i="13"/>
  <c r="S113" i="13"/>
  <c r="O113" i="13"/>
  <c r="AA112" i="13"/>
  <c r="W112" i="13"/>
  <c r="S112" i="13"/>
  <c r="O112" i="13"/>
  <c r="AA111" i="13"/>
  <c r="W111" i="13"/>
  <c r="S111" i="13"/>
  <c r="O111" i="13"/>
  <c r="AA110" i="13"/>
  <c r="W110" i="13"/>
  <c r="S110" i="13"/>
  <c r="O110" i="13"/>
  <c r="AA109" i="13"/>
  <c r="W109" i="13"/>
  <c r="S109" i="13"/>
  <c r="O109" i="13"/>
  <c r="AA108" i="13"/>
  <c r="W108" i="13"/>
  <c r="S108" i="13"/>
  <c r="O108" i="13"/>
  <c r="AA107" i="13"/>
  <c r="W107" i="13"/>
  <c r="S107" i="13"/>
  <c r="O107" i="13"/>
  <c r="AA106" i="13"/>
  <c r="W106" i="13"/>
  <c r="S106" i="13"/>
  <c r="O106" i="13"/>
  <c r="AA105" i="13"/>
  <c r="W105" i="13"/>
  <c r="S105" i="13"/>
  <c r="O105" i="13"/>
  <c r="AA104" i="13"/>
  <c r="W104" i="13"/>
  <c r="S104" i="13"/>
  <c r="O104" i="13"/>
  <c r="AA103" i="13"/>
  <c r="W103" i="13"/>
  <c r="S103" i="13"/>
  <c r="O103" i="13"/>
  <c r="AA102" i="13"/>
  <c r="W102" i="13"/>
  <c r="S102" i="13"/>
  <c r="O102" i="13"/>
  <c r="AA101" i="13"/>
  <c r="W101" i="13"/>
  <c r="S101" i="13"/>
  <c r="O101" i="13"/>
  <c r="AA100" i="13"/>
  <c r="W100" i="13"/>
  <c r="S100" i="13"/>
  <c r="O100" i="13"/>
  <c r="AA99" i="13"/>
  <c r="W99" i="13"/>
  <c r="S99" i="13"/>
  <c r="O99" i="13"/>
  <c r="AA98" i="13"/>
  <c r="W98" i="13"/>
  <c r="S98" i="13"/>
  <c r="O98" i="13"/>
  <c r="AA97" i="13"/>
  <c r="W97" i="13"/>
  <c r="S97" i="13"/>
  <c r="O97" i="13"/>
  <c r="AA96" i="13"/>
  <c r="W96" i="13"/>
  <c r="S96" i="13"/>
  <c r="O96" i="13"/>
  <c r="AA95" i="13"/>
  <c r="W95" i="13"/>
  <c r="S95" i="13"/>
  <c r="O95" i="13"/>
  <c r="AA94" i="13"/>
  <c r="W94" i="13"/>
  <c r="S94" i="13"/>
  <c r="O94" i="13"/>
  <c r="AA93" i="13"/>
  <c r="W93" i="13"/>
  <c r="S93" i="13"/>
  <c r="O93" i="13"/>
  <c r="AA92" i="13"/>
  <c r="W92" i="13"/>
  <c r="S92" i="13"/>
  <c r="O92" i="13"/>
  <c r="AA91" i="13"/>
  <c r="W91" i="13"/>
  <c r="S91" i="13"/>
  <c r="O91" i="13"/>
  <c r="AA90" i="13"/>
  <c r="W90" i="13"/>
  <c r="S90" i="13"/>
  <c r="O90" i="13"/>
  <c r="AA89" i="13"/>
  <c r="W89" i="13"/>
  <c r="S89" i="13"/>
  <c r="O89" i="13"/>
  <c r="AA88" i="13"/>
  <c r="W88" i="13"/>
  <c r="S88" i="13"/>
  <c r="O88" i="13"/>
  <c r="AA87" i="13"/>
  <c r="W87" i="13"/>
  <c r="S87" i="13"/>
  <c r="O87" i="13"/>
  <c r="AA86" i="13"/>
  <c r="W86" i="13"/>
  <c r="S86" i="13"/>
  <c r="O86" i="13"/>
  <c r="AA85" i="13"/>
  <c r="W85" i="13"/>
  <c r="S85" i="13"/>
  <c r="O85" i="13"/>
  <c r="AA84" i="13"/>
  <c r="W84" i="13"/>
  <c r="S84" i="13"/>
  <c r="O84" i="13"/>
  <c r="AA83" i="13"/>
  <c r="W83" i="13"/>
  <c r="S83" i="13"/>
  <c r="O83" i="13"/>
  <c r="AA82" i="13"/>
  <c r="W82" i="13"/>
  <c r="S82" i="13"/>
  <c r="O82" i="13"/>
  <c r="AA81" i="13"/>
  <c r="W81" i="13"/>
  <c r="S81" i="13"/>
  <c r="O81" i="13"/>
  <c r="AA80" i="13"/>
  <c r="W80" i="13"/>
  <c r="S80" i="13"/>
  <c r="O80" i="13"/>
  <c r="AA79" i="13"/>
  <c r="W79" i="13"/>
  <c r="S79" i="13"/>
  <c r="O79" i="13"/>
  <c r="AA78" i="13"/>
  <c r="W78" i="13"/>
  <c r="S78" i="13"/>
  <c r="O78" i="13"/>
  <c r="AA77" i="13"/>
  <c r="W77" i="13"/>
  <c r="S77" i="13"/>
  <c r="O77" i="13"/>
  <c r="AA76" i="13"/>
  <c r="W76" i="13"/>
  <c r="S76" i="13"/>
  <c r="O76" i="13"/>
  <c r="AA75" i="13"/>
  <c r="W75" i="13"/>
  <c r="S75" i="13"/>
  <c r="O75" i="13"/>
  <c r="AA74" i="13"/>
  <c r="W74" i="13"/>
  <c r="S74" i="13"/>
  <c r="O74" i="13"/>
  <c r="AA73" i="13"/>
  <c r="W73" i="13"/>
  <c r="S73" i="13"/>
  <c r="O73" i="13"/>
  <c r="AA72" i="13"/>
  <c r="W72" i="13"/>
  <c r="S72" i="13"/>
  <c r="O72" i="13"/>
  <c r="AA71" i="13"/>
  <c r="W71" i="13"/>
  <c r="S71" i="13"/>
  <c r="O71" i="13"/>
  <c r="AA70" i="13"/>
  <c r="W70" i="13"/>
  <c r="S70" i="13"/>
  <c r="O70" i="13"/>
  <c r="AA69" i="13"/>
  <c r="W69" i="13"/>
  <c r="S69" i="13"/>
  <c r="O69" i="13"/>
  <c r="AA68" i="13"/>
  <c r="W68" i="13"/>
  <c r="S68" i="13"/>
  <c r="O68" i="13"/>
  <c r="AA67" i="13"/>
  <c r="W67" i="13"/>
  <c r="S67" i="13"/>
  <c r="O67" i="13"/>
  <c r="AA66" i="13"/>
  <c r="W66" i="13"/>
  <c r="S66" i="13"/>
  <c r="O66" i="13"/>
  <c r="AA65" i="13"/>
  <c r="W65" i="13"/>
  <c r="S65" i="13"/>
  <c r="O65" i="13"/>
  <c r="AA64" i="13"/>
  <c r="W64" i="13"/>
  <c r="S64" i="13"/>
  <c r="O64" i="13"/>
  <c r="AA63" i="13"/>
  <c r="W63" i="13"/>
  <c r="S63" i="13"/>
  <c r="O63" i="13"/>
  <c r="AA62" i="13"/>
  <c r="W62" i="13"/>
  <c r="S62" i="13"/>
  <c r="O62" i="13"/>
  <c r="AA61" i="13"/>
  <c r="W61" i="13"/>
  <c r="S61" i="13"/>
  <c r="O61" i="13"/>
  <c r="AA60" i="13"/>
  <c r="W60" i="13"/>
  <c r="S60" i="13"/>
  <c r="O60" i="13"/>
  <c r="AA59" i="13"/>
  <c r="W59" i="13"/>
  <c r="S59" i="13"/>
  <c r="O59" i="13"/>
  <c r="AA58" i="13"/>
  <c r="W58" i="13"/>
  <c r="S58" i="13"/>
  <c r="O58" i="13"/>
  <c r="AA57" i="13"/>
  <c r="W57" i="13"/>
  <c r="S57" i="13"/>
  <c r="O57" i="13"/>
  <c r="AA56" i="13"/>
  <c r="W56" i="13"/>
  <c r="S56" i="13"/>
  <c r="O56" i="13"/>
  <c r="AA55" i="13"/>
  <c r="W55" i="13"/>
  <c r="S55" i="13"/>
  <c r="O55" i="13"/>
  <c r="AA54" i="13"/>
  <c r="W54" i="13"/>
  <c r="S54" i="13"/>
  <c r="O54" i="13"/>
  <c r="AA53" i="13"/>
  <c r="W53" i="13"/>
  <c r="S53" i="13"/>
  <c r="O53" i="13"/>
  <c r="AA52" i="13"/>
  <c r="W52" i="13"/>
  <c r="S52" i="13"/>
  <c r="O52" i="13"/>
  <c r="AA51" i="13"/>
  <c r="W51" i="13"/>
  <c r="S51" i="13"/>
  <c r="O51" i="13"/>
  <c r="AA50" i="13"/>
  <c r="W50" i="13"/>
  <c r="S50" i="13"/>
  <c r="O50" i="13"/>
  <c r="AA49" i="13"/>
  <c r="W49" i="13"/>
  <c r="S49" i="13"/>
  <c r="O49" i="13"/>
  <c r="AA48" i="13"/>
  <c r="W48" i="13"/>
  <c r="S48" i="13"/>
  <c r="O48" i="13"/>
  <c r="AA47" i="13"/>
  <c r="W47" i="13"/>
  <c r="S47" i="13"/>
  <c r="O47" i="13"/>
  <c r="AA46" i="13"/>
  <c r="W46" i="13"/>
  <c r="S46" i="13"/>
  <c r="O46" i="13"/>
  <c r="AA45" i="13"/>
  <c r="W45" i="13"/>
  <c r="S45" i="13"/>
  <c r="O45" i="13"/>
  <c r="AA44" i="13"/>
  <c r="W44" i="13"/>
  <c r="S44" i="13"/>
  <c r="O44" i="13"/>
  <c r="AA43" i="13"/>
  <c r="W43" i="13"/>
  <c r="S43" i="13"/>
  <c r="O43" i="13"/>
  <c r="AA42" i="13"/>
  <c r="W42" i="13"/>
  <c r="S42" i="13"/>
  <c r="O42" i="13"/>
  <c r="AA41" i="13"/>
  <c r="W41" i="13"/>
  <c r="S41" i="13"/>
  <c r="O41" i="13"/>
  <c r="AA40" i="13"/>
  <c r="W40" i="13"/>
  <c r="S40" i="13"/>
  <c r="O40" i="13"/>
  <c r="AA39" i="13"/>
  <c r="W39" i="13"/>
  <c r="S39" i="13"/>
  <c r="O39" i="13"/>
  <c r="AA38" i="13"/>
  <c r="W38" i="13"/>
  <c r="S38" i="13"/>
  <c r="O38" i="13"/>
  <c r="AA37" i="13"/>
  <c r="W37" i="13"/>
  <c r="S37" i="13"/>
  <c r="O37" i="13"/>
  <c r="AA36" i="13"/>
  <c r="W36" i="13"/>
  <c r="S36" i="13"/>
  <c r="O36" i="13"/>
  <c r="AA35" i="13"/>
  <c r="W35" i="13"/>
  <c r="S35" i="13"/>
  <c r="O35" i="13"/>
  <c r="AA34" i="13"/>
  <c r="W34" i="13"/>
  <c r="S34" i="13"/>
  <c r="O34" i="13"/>
  <c r="AA33" i="13"/>
  <c r="W33" i="13"/>
  <c r="S33" i="13"/>
  <c r="O33" i="13"/>
  <c r="AA32" i="13"/>
  <c r="W32" i="13"/>
  <c r="S32" i="13"/>
  <c r="O32" i="13"/>
  <c r="AA31" i="13"/>
  <c r="W31" i="13"/>
  <c r="S31" i="13"/>
  <c r="O31" i="13"/>
  <c r="AA30" i="13"/>
  <c r="W30" i="13"/>
  <c r="S30" i="13"/>
  <c r="O30" i="13"/>
  <c r="AA29" i="13"/>
  <c r="W29" i="13"/>
  <c r="S29" i="13"/>
  <c r="O29" i="13"/>
  <c r="AA28" i="13"/>
  <c r="W28" i="13"/>
  <c r="S28" i="13"/>
  <c r="O28" i="13"/>
  <c r="AA27" i="13"/>
  <c r="W27" i="13"/>
  <c r="S27" i="13"/>
  <c r="O27" i="13"/>
  <c r="AA26" i="13"/>
  <c r="W26" i="13"/>
  <c r="S26" i="13"/>
  <c r="O26" i="13"/>
  <c r="AA25" i="13"/>
  <c r="W25" i="13"/>
  <c r="S25" i="13"/>
  <c r="O25" i="13"/>
  <c r="AA24" i="13"/>
  <c r="W24" i="13"/>
  <c r="S24" i="13"/>
  <c r="O24" i="13"/>
  <c r="AA23" i="13"/>
  <c r="W23" i="13"/>
  <c r="S23" i="13"/>
  <c r="O23" i="13"/>
  <c r="AA22" i="13"/>
  <c r="W22" i="13"/>
  <c r="S22" i="13"/>
  <c r="O22" i="13"/>
  <c r="AA21" i="13"/>
  <c r="W21" i="13"/>
  <c r="S21" i="13"/>
  <c r="O21" i="13"/>
  <c r="AA20" i="13"/>
  <c r="W20" i="13"/>
  <c r="S20" i="13"/>
  <c r="O20" i="13"/>
  <c r="AA19" i="13"/>
  <c r="W19" i="13"/>
  <c r="S19" i="13"/>
  <c r="O19" i="13"/>
  <c r="AA18" i="13"/>
  <c r="W18" i="13"/>
  <c r="S18" i="13"/>
  <c r="O18" i="13"/>
  <c r="AA17" i="13"/>
  <c r="W17" i="13"/>
  <c r="S17" i="13"/>
  <c r="O17" i="13"/>
  <c r="AA16" i="13"/>
  <c r="W16" i="13"/>
  <c r="S16" i="13"/>
  <c r="O16" i="13"/>
  <c r="AA15" i="13"/>
  <c r="W15" i="13"/>
  <c r="S15" i="13"/>
  <c r="O15" i="13"/>
  <c r="AA14" i="13"/>
  <c r="W14" i="13"/>
  <c r="S14" i="13"/>
  <c r="O14" i="13"/>
  <c r="AA13" i="13"/>
  <c r="W13" i="13"/>
  <c r="S13" i="13"/>
  <c r="O13" i="13"/>
  <c r="AA12" i="13"/>
  <c r="W12" i="13"/>
  <c r="S12" i="13"/>
  <c r="O12" i="13"/>
  <c r="AA11" i="13"/>
  <c r="W11" i="13"/>
  <c r="S11" i="13"/>
  <c r="O11" i="13"/>
  <c r="AA10" i="13"/>
  <c r="W10" i="13"/>
  <c r="S10" i="13"/>
  <c r="O10" i="13"/>
  <c r="AA9" i="13"/>
  <c r="W9" i="13"/>
  <c r="S9" i="13"/>
  <c r="O9" i="13"/>
  <c r="AA8" i="13"/>
  <c r="W8" i="13"/>
  <c r="S8" i="13"/>
  <c r="O8" i="13"/>
  <c r="AA7" i="13"/>
  <c r="W7" i="13"/>
  <c r="S7" i="13"/>
  <c r="O7" i="13"/>
  <c r="AA6" i="13"/>
  <c r="W6" i="13"/>
  <c r="S6" i="13"/>
  <c r="O6" i="13"/>
  <c r="AA5" i="13"/>
  <c r="W5" i="13"/>
  <c r="O5" i="13"/>
  <c r="S4" i="12"/>
  <c r="W4" i="12"/>
  <c r="AA4" i="12"/>
  <c r="O5" i="12"/>
  <c r="S5" i="12"/>
  <c r="W5" i="12"/>
  <c r="AA5" i="12"/>
  <c r="O6" i="12"/>
  <c r="S6" i="12"/>
  <c r="W6" i="12"/>
  <c r="AA6" i="12"/>
  <c r="O7" i="12"/>
  <c r="S7" i="12"/>
  <c r="W7" i="12"/>
  <c r="AA7" i="12"/>
  <c r="O8" i="12"/>
  <c r="S8" i="12"/>
  <c r="W8" i="12"/>
  <c r="AA8" i="12"/>
  <c r="O9" i="12"/>
  <c r="S9" i="12"/>
  <c r="W9" i="12"/>
  <c r="AA9" i="12"/>
  <c r="O10" i="12"/>
  <c r="S10" i="12"/>
  <c r="W10" i="12"/>
  <c r="AA10" i="12"/>
  <c r="O11" i="12"/>
  <c r="S11" i="12"/>
  <c r="W11" i="12"/>
  <c r="AA11" i="12"/>
  <c r="O12" i="12"/>
  <c r="S12" i="12"/>
  <c r="W12" i="12"/>
  <c r="AA12" i="12"/>
  <c r="O13" i="12"/>
  <c r="S13" i="12"/>
  <c r="W13" i="12"/>
  <c r="AA13" i="12"/>
  <c r="O14" i="12"/>
  <c r="S14" i="12"/>
  <c r="W14" i="12"/>
  <c r="AA14" i="12"/>
  <c r="O15" i="12"/>
  <c r="S15" i="12"/>
  <c r="W15" i="12"/>
  <c r="AA15" i="12"/>
  <c r="O16" i="12"/>
  <c r="S16" i="12"/>
  <c r="W16" i="12"/>
  <c r="AA16" i="12"/>
  <c r="O17" i="12"/>
  <c r="S17" i="12"/>
  <c r="W17" i="12"/>
  <c r="AA17" i="12"/>
  <c r="O18" i="12"/>
  <c r="S18" i="12"/>
  <c r="W18" i="12"/>
  <c r="AA18" i="12"/>
  <c r="O19" i="12"/>
  <c r="S19" i="12"/>
  <c r="W19" i="12"/>
  <c r="AA19" i="12"/>
  <c r="AA20" i="12"/>
  <c r="AA21" i="12"/>
  <c r="AA22" i="12"/>
  <c r="AA23" i="12"/>
  <c r="AA24" i="12"/>
  <c r="AA25" i="12"/>
  <c r="AA26" i="12"/>
  <c r="AA27" i="12"/>
  <c r="AA28" i="12"/>
  <c r="AA29" i="12"/>
  <c r="AA30" i="12"/>
  <c r="AA31" i="12"/>
  <c r="AA32" i="12"/>
  <c r="AA33" i="12"/>
  <c r="AA34" i="12"/>
  <c r="AA35" i="12"/>
  <c r="AA36" i="12"/>
  <c r="AA37" i="12"/>
  <c r="AA38" i="12"/>
  <c r="AA39" i="12"/>
  <c r="AA40" i="12"/>
  <c r="AA41" i="12"/>
  <c r="AA42" i="12"/>
  <c r="AA43" i="12"/>
  <c r="AA44" i="12"/>
  <c r="AA45" i="12"/>
  <c r="AA46" i="12"/>
  <c r="AA47" i="12"/>
  <c r="AA48" i="12"/>
  <c r="AA49" i="12"/>
  <c r="AA50" i="12"/>
  <c r="AA51" i="12"/>
  <c r="AA52" i="12"/>
  <c r="AA53" i="12"/>
  <c r="AA54" i="12"/>
  <c r="AA55" i="12"/>
  <c r="AA56" i="12"/>
  <c r="AA57" i="12"/>
  <c r="AA58" i="12"/>
  <c r="AA59" i="12"/>
  <c r="AA60" i="12"/>
  <c r="AA61" i="12"/>
  <c r="AA62" i="12"/>
  <c r="AA63" i="12"/>
  <c r="AA64" i="12"/>
  <c r="AA65" i="12"/>
  <c r="AA66" i="12"/>
  <c r="AA67" i="12"/>
  <c r="AA68" i="12"/>
  <c r="AA69" i="12"/>
  <c r="AA70" i="12"/>
  <c r="AA71" i="12"/>
  <c r="AA72" i="12"/>
  <c r="AA73" i="12"/>
  <c r="AA74" i="12"/>
  <c r="AA75" i="12"/>
  <c r="AA76" i="12"/>
  <c r="AA77" i="12"/>
  <c r="AA78" i="12"/>
  <c r="AA79" i="12"/>
  <c r="AA80" i="12"/>
  <c r="AA81" i="12"/>
  <c r="AA82" i="12"/>
  <c r="AA83" i="12"/>
  <c r="AA84" i="12"/>
  <c r="AA85" i="12"/>
  <c r="AA86" i="12"/>
  <c r="AA87" i="12"/>
  <c r="AA88" i="12"/>
  <c r="AA89" i="12"/>
  <c r="AA90" i="12"/>
  <c r="AA91" i="12"/>
  <c r="AA92" i="12"/>
  <c r="AA93" i="12"/>
  <c r="AA94" i="12"/>
  <c r="AA95" i="12"/>
  <c r="AA96" i="12"/>
  <c r="AA97" i="12"/>
  <c r="AA98" i="12"/>
  <c r="AA99" i="12"/>
  <c r="AA100" i="12"/>
  <c r="AA101" i="12"/>
  <c r="AA102" i="12"/>
  <c r="AA103" i="12"/>
  <c r="AA104" i="12"/>
  <c r="AA105" i="12"/>
  <c r="AA106" i="12"/>
  <c r="AA107" i="12"/>
  <c r="AA108" i="12"/>
  <c r="AA109" i="12"/>
  <c r="AA110" i="12"/>
  <c r="AA111" i="12"/>
  <c r="AA112" i="12"/>
  <c r="AA113" i="12"/>
  <c r="AA114" i="12"/>
  <c r="AA115" i="12"/>
  <c r="AA116" i="12"/>
  <c r="AA117" i="12"/>
  <c r="AA118" i="12"/>
  <c r="AA119" i="12"/>
  <c r="AA120" i="12"/>
  <c r="AA121" i="12"/>
  <c r="AA122" i="12"/>
  <c r="AA123" i="12"/>
  <c r="AA124" i="12"/>
  <c r="AA125" i="12"/>
  <c r="AA126" i="12"/>
  <c r="AA127" i="12"/>
  <c r="AA128" i="12"/>
  <c r="AA129" i="12"/>
  <c r="AA130" i="12"/>
  <c r="AA131" i="12"/>
  <c r="AA132" i="12"/>
  <c r="AA133" i="12"/>
  <c r="AA134" i="12"/>
  <c r="AA135" i="12"/>
  <c r="AA136" i="12"/>
  <c r="AA137" i="12"/>
  <c r="AA138" i="12"/>
  <c r="AA139" i="12"/>
  <c r="AA140" i="12"/>
  <c r="AA141" i="12"/>
  <c r="AA142" i="12"/>
  <c r="AA143" i="12"/>
  <c r="AA144" i="12"/>
  <c r="AA145" i="12"/>
  <c r="AA146" i="12"/>
  <c r="AA147" i="12"/>
  <c r="AA148" i="12"/>
  <c r="AA149" i="12"/>
  <c r="AA150" i="12"/>
  <c r="AA151" i="12"/>
  <c r="AA152" i="12"/>
  <c r="AA153" i="12"/>
  <c r="AA154" i="12"/>
  <c r="AA155" i="12"/>
  <c r="AA156" i="12"/>
  <c r="AA157" i="12"/>
  <c r="AA158" i="12"/>
  <c r="AA159" i="12"/>
  <c r="AA160" i="12"/>
  <c r="AA161" i="12"/>
  <c r="AA162" i="12"/>
  <c r="AA163" i="12"/>
  <c r="AA164" i="12"/>
  <c r="AA165" i="12"/>
  <c r="AA166" i="12"/>
  <c r="AA167" i="12"/>
  <c r="AA168" i="12"/>
  <c r="AA169" i="12"/>
  <c r="AA170" i="12"/>
  <c r="AA171" i="12"/>
  <c r="AA172" i="12"/>
  <c r="AA173" i="12"/>
  <c r="AA174" i="12"/>
  <c r="AA175" i="12"/>
  <c r="AA176" i="12"/>
  <c r="AA177" i="12"/>
  <c r="AA178" i="12"/>
  <c r="AA179" i="12"/>
  <c r="AA180" i="12"/>
  <c r="AA181" i="12"/>
  <c r="AA182" i="12"/>
  <c r="AA183" i="12"/>
  <c r="AA184" i="12"/>
  <c r="AA185" i="12"/>
  <c r="AA186" i="12"/>
  <c r="AA187" i="12"/>
  <c r="AA188" i="12"/>
  <c r="AA189" i="12"/>
  <c r="AA190" i="12"/>
  <c r="AA191" i="12"/>
  <c r="AA192" i="12"/>
  <c r="AA193" i="12"/>
  <c r="AA194" i="12"/>
  <c r="AA195" i="12"/>
  <c r="AA196" i="12"/>
  <c r="AA197" i="12"/>
  <c r="AA198" i="12"/>
  <c r="AA199" i="12"/>
  <c r="AA200" i="12"/>
  <c r="AA201" i="12"/>
  <c r="AA202" i="12"/>
  <c r="AA203" i="12"/>
  <c r="AA204" i="12"/>
  <c r="AA205" i="12"/>
  <c r="AA206" i="12"/>
  <c r="AA207" i="12"/>
  <c r="AA208" i="12"/>
  <c r="AA209" i="12"/>
  <c r="AA210" i="12"/>
  <c r="AA211" i="12"/>
  <c r="AA212" i="12"/>
  <c r="AA213" i="12"/>
  <c r="AA214" i="12"/>
  <c r="AA215" i="12"/>
  <c r="AA216" i="12"/>
  <c r="AA217" i="12"/>
  <c r="AA218" i="12"/>
  <c r="AA219" i="12"/>
  <c r="AA220" i="12"/>
  <c r="AA221" i="12"/>
  <c r="AA222" i="12"/>
  <c r="AA223" i="12"/>
  <c r="AA224" i="12"/>
  <c r="AA225" i="12"/>
  <c r="AA226" i="12"/>
  <c r="AA227" i="12"/>
  <c r="AA228" i="12"/>
  <c r="AA229" i="12"/>
  <c r="AA230" i="12"/>
  <c r="AA231" i="12"/>
  <c r="AA232" i="12"/>
  <c r="AA233" i="12"/>
  <c r="AA234" i="12"/>
  <c r="W20" i="12"/>
  <c r="W21" i="12"/>
  <c r="W22" i="12"/>
  <c r="W23" i="12"/>
  <c r="W24" i="12"/>
  <c r="W25" i="12"/>
  <c r="W26" i="12"/>
  <c r="W27" i="12"/>
  <c r="W28" i="12"/>
  <c r="W29" i="12"/>
  <c r="W30" i="12"/>
  <c r="W31" i="12"/>
  <c r="W32" i="12"/>
  <c r="W33" i="12"/>
  <c r="W34" i="12"/>
  <c r="W35" i="12"/>
  <c r="W36" i="12"/>
  <c r="W37" i="12"/>
  <c r="W38" i="12"/>
  <c r="W39" i="12"/>
  <c r="W40" i="12"/>
  <c r="W41" i="12"/>
  <c r="W42" i="12"/>
  <c r="W43" i="12"/>
  <c r="W44" i="12"/>
  <c r="W45" i="12"/>
  <c r="W46" i="12"/>
  <c r="W47" i="12"/>
  <c r="W48" i="12"/>
  <c r="W49" i="12"/>
  <c r="W50" i="12"/>
  <c r="W51" i="12"/>
  <c r="W52" i="12"/>
  <c r="W53" i="12"/>
  <c r="W54" i="12"/>
  <c r="W55" i="12"/>
  <c r="W56" i="12"/>
  <c r="W57" i="12"/>
  <c r="W58" i="12"/>
  <c r="W59" i="12"/>
  <c r="W60" i="12"/>
  <c r="W61" i="12"/>
  <c r="W62" i="12"/>
  <c r="W63" i="12"/>
  <c r="W64" i="12"/>
  <c r="W65" i="12"/>
  <c r="W66" i="12"/>
  <c r="W67" i="12"/>
  <c r="W68" i="12"/>
  <c r="W69" i="12"/>
  <c r="W70" i="12"/>
  <c r="W71" i="12"/>
  <c r="W72" i="12"/>
  <c r="W73" i="12"/>
  <c r="W74" i="12"/>
  <c r="W75" i="12"/>
  <c r="W76" i="12"/>
  <c r="W77" i="12"/>
  <c r="W78" i="12"/>
  <c r="W79" i="12"/>
  <c r="W80" i="12"/>
  <c r="W81" i="12"/>
  <c r="W82" i="12"/>
  <c r="W83" i="12"/>
  <c r="W84" i="12"/>
  <c r="W85" i="12"/>
  <c r="W86" i="12"/>
  <c r="W87" i="12"/>
  <c r="W88" i="12"/>
  <c r="W89" i="12"/>
  <c r="W90" i="12"/>
  <c r="W91" i="12"/>
  <c r="W92" i="12"/>
  <c r="W93" i="12"/>
  <c r="W94" i="12"/>
  <c r="W95" i="12"/>
  <c r="W96" i="12"/>
  <c r="W97" i="12"/>
  <c r="W98" i="12"/>
  <c r="W99" i="12"/>
  <c r="W100" i="12"/>
  <c r="W101" i="12"/>
  <c r="W102" i="12"/>
  <c r="W103" i="12"/>
  <c r="W104" i="12"/>
  <c r="W105" i="12"/>
  <c r="W106" i="12"/>
  <c r="W107" i="12"/>
  <c r="W108" i="12"/>
  <c r="W109" i="12"/>
  <c r="W110" i="12"/>
  <c r="W111" i="12"/>
  <c r="W112" i="12"/>
  <c r="W113" i="12"/>
  <c r="W114" i="12"/>
  <c r="W115" i="12"/>
  <c r="W116" i="12"/>
  <c r="W117" i="12"/>
  <c r="W118" i="12"/>
  <c r="W119" i="12"/>
  <c r="W120" i="12"/>
  <c r="W121" i="12"/>
  <c r="W122" i="12"/>
  <c r="W123" i="12"/>
  <c r="W124" i="12"/>
  <c r="W125" i="12"/>
  <c r="W126" i="12"/>
  <c r="W127" i="12"/>
  <c r="W128" i="12"/>
  <c r="W129" i="12"/>
  <c r="W130" i="12"/>
  <c r="W131" i="12"/>
  <c r="W132" i="12"/>
  <c r="W133" i="12"/>
  <c r="W134" i="12"/>
  <c r="W135" i="12"/>
  <c r="W136" i="12"/>
  <c r="W137" i="12"/>
  <c r="W138" i="12"/>
  <c r="W139" i="12"/>
  <c r="W140" i="12"/>
  <c r="W141" i="12"/>
  <c r="W142" i="12"/>
  <c r="W143" i="12"/>
  <c r="W144" i="12"/>
  <c r="W145" i="12"/>
  <c r="W146" i="12"/>
  <c r="W147" i="12"/>
  <c r="W148" i="12"/>
  <c r="W149" i="12"/>
  <c r="W150" i="12"/>
  <c r="W151" i="12"/>
  <c r="W152" i="12"/>
  <c r="W153" i="12"/>
  <c r="W154" i="12"/>
  <c r="W155" i="12"/>
  <c r="W156" i="12"/>
  <c r="W157" i="12"/>
  <c r="W158" i="12"/>
  <c r="W159" i="12"/>
  <c r="W160" i="12"/>
  <c r="W161" i="12"/>
  <c r="W162" i="12"/>
  <c r="W163" i="12"/>
  <c r="W164" i="12"/>
  <c r="W165" i="12"/>
  <c r="W166" i="12"/>
  <c r="W167" i="12"/>
  <c r="W168" i="12"/>
  <c r="W169" i="12"/>
  <c r="W170" i="12"/>
  <c r="W171" i="12"/>
  <c r="W172" i="12"/>
  <c r="W173" i="12"/>
  <c r="W174" i="12"/>
  <c r="W175" i="12"/>
  <c r="W176" i="12"/>
  <c r="W177" i="12"/>
  <c r="W178" i="12"/>
  <c r="W179" i="12"/>
  <c r="W180" i="12"/>
  <c r="W181" i="12"/>
  <c r="W182" i="12"/>
  <c r="W183" i="12"/>
  <c r="W184" i="12"/>
  <c r="W185" i="12"/>
  <c r="W186" i="12"/>
  <c r="W187" i="12"/>
  <c r="W188" i="12"/>
  <c r="W189" i="12"/>
  <c r="W190" i="12"/>
  <c r="W191" i="12"/>
  <c r="W192" i="12"/>
  <c r="W193" i="12"/>
  <c r="W194" i="12"/>
  <c r="W195" i="12"/>
  <c r="W196" i="12"/>
  <c r="W197" i="12"/>
  <c r="W198" i="12"/>
  <c r="W199" i="12"/>
  <c r="W200" i="12"/>
  <c r="W201" i="12"/>
  <c r="W202" i="12"/>
  <c r="W203" i="12"/>
  <c r="W204" i="12"/>
  <c r="W205" i="12"/>
  <c r="W206" i="12"/>
  <c r="W207" i="12"/>
  <c r="W208" i="12"/>
  <c r="W209" i="12"/>
  <c r="W210" i="12"/>
  <c r="W211" i="12"/>
  <c r="W212" i="12"/>
  <c r="W213" i="12"/>
  <c r="W214" i="12"/>
  <c r="W215" i="12"/>
  <c r="W216" i="12"/>
  <c r="W217" i="12"/>
  <c r="W218" i="12"/>
  <c r="W219" i="12"/>
  <c r="W220" i="12"/>
  <c r="W221" i="12"/>
  <c r="W222" i="12"/>
  <c r="W223" i="12"/>
  <c r="W224" i="12"/>
  <c r="W225" i="12"/>
  <c r="W226" i="12"/>
  <c r="W227" i="12"/>
  <c r="W228" i="12"/>
  <c r="W229" i="12"/>
  <c r="W230" i="12"/>
  <c r="W231" i="12"/>
  <c r="W232" i="12"/>
  <c r="W233" i="12"/>
  <c r="W234" i="12"/>
  <c r="S20" i="12"/>
  <c r="S21" i="12"/>
  <c r="S22" i="12"/>
  <c r="S23" i="12"/>
  <c r="S24" i="12"/>
  <c r="S25" i="12"/>
  <c r="S26" i="12"/>
  <c r="S27" i="12"/>
  <c r="S28" i="12"/>
  <c r="S29" i="12"/>
  <c r="S30" i="12"/>
  <c r="S31" i="12"/>
  <c r="S32" i="12"/>
  <c r="S33" i="12"/>
  <c r="S34" i="12"/>
  <c r="S35" i="12"/>
  <c r="S36" i="12"/>
  <c r="S37" i="12"/>
  <c r="S38" i="12"/>
  <c r="S39" i="12"/>
  <c r="S40" i="12"/>
  <c r="S41" i="12"/>
  <c r="S42" i="12"/>
  <c r="S43" i="12"/>
  <c r="S44" i="12"/>
  <c r="S45" i="12"/>
  <c r="S46" i="12"/>
  <c r="S47" i="12"/>
  <c r="S48" i="12"/>
  <c r="S49" i="12"/>
  <c r="S50" i="12"/>
  <c r="S51" i="12"/>
  <c r="S52" i="12"/>
  <c r="S53" i="12"/>
  <c r="S54" i="12"/>
  <c r="S55" i="12"/>
  <c r="S56" i="12"/>
  <c r="S57" i="12"/>
  <c r="S58" i="12"/>
  <c r="S59" i="12"/>
  <c r="S60" i="12"/>
  <c r="S61" i="12"/>
  <c r="S62" i="12"/>
  <c r="S63" i="12"/>
  <c r="S64" i="12"/>
  <c r="S65" i="12"/>
  <c r="S66" i="12"/>
  <c r="S67" i="12"/>
  <c r="S68" i="12"/>
  <c r="S69" i="12"/>
  <c r="S70" i="12"/>
  <c r="S71" i="12"/>
  <c r="S72" i="12"/>
  <c r="S73" i="12"/>
  <c r="S74" i="12"/>
  <c r="S75" i="12"/>
  <c r="S76" i="12"/>
  <c r="S77" i="12"/>
  <c r="S78" i="12"/>
  <c r="S79" i="12"/>
  <c r="S80" i="12"/>
  <c r="S81" i="12"/>
  <c r="S82" i="12"/>
  <c r="S83" i="12"/>
  <c r="S84" i="12"/>
  <c r="S85" i="12"/>
  <c r="S86" i="12"/>
  <c r="S87" i="12"/>
  <c r="S88" i="12"/>
  <c r="S89" i="12"/>
  <c r="S90" i="12"/>
  <c r="S91" i="12"/>
  <c r="S92" i="12"/>
  <c r="S93" i="12"/>
  <c r="S94" i="12"/>
  <c r="S95" i="12"/>
  <c r="S96" i="12"/>
  <c r="S97" i="12"/>
  <c r="S98" i="12"/>
  <c r="S99" i="12"/>
  <c r="S100" i="12"/>
  <c r="S101" i="12"/>
  <c r="S102" i="12"/>
  <c r="S103" i="12"/>
  <c r="S104" i="12"/>
  <c r="S105" i="12"/>
  <c r="S106" i="12"/>
  <c r="S107" i="12"/>
  <c r="S108" i="12"/>
  <c r="S109" i="12"/>
  <c r="S110" i="12"/>
  <c r="S111" i="12"/>
  <c r="S112" i="12"/>
  <c r="S113" i="12"/>
  <c r="S114" i="12"/>
  <c r="S115" i="12"/>
  <c r="S116" i="12"/>
  <c r="S117" i="12"/>
  <c r="S118" i="12"/>
  <c r="S119" i="12"/>
  <c r="S120" i="12"/>
  <c r="S121" i="12"/>
  <c r="S122" i="12"/>
  <c r="S123" i="12"/>
  <c r="S124" i="12"/>
  <c r="S125" i="12"/>
  <c r="S126" i="12"/>
  <c r="S127" i="12"/>
  <c r="S128" i="12"/>
  <c r="S129" i="12"/>
  <c r="S130" i="12"/>
  <c r="S131" i="12"/>
  <c r="S132" i="12"/>
  <c r="S133" i="12"/>
  <c r="S134" i="12"/>
  <c r="S135" i="12"/>
  <c r="S136" i="12"/>
  <c r="S137" i="12"/>
  <c r="S138" i="12"/>
  <c r="S139" i="12"/>
  <c r="S140" i="12"/>
  <c r="S141" i="12"/>
  <c r="S142" i="12"/>
  <c r="S143" i="12"/>
  <c r="S144" i="12"/>
  <c r="S145" i="12"/>
  <c r="S146" i="12"/>
  <c r="S147" i="12"/>
  <c r="S148" i="12"/>
  <c r="S149" i="12"/>
  <c r="S150" i="12"/>
  <c r="S151" i="12"/>
  <c r="S152" i="12"/>
  <c r="S153" i="12"/>
  <c r="S154" i="12"/>
  <c r="S155" i="12"/>
  <c r="S156" i="12"/>
  <c r="S157" i="12"/>
  <c r="S158" i="12"/>
  <c r="S159" i="12"/>
  <c r="S160" i="12"/>
  <c r="S161" i="12"/>
  <c r="S162" i="12"/>
  <c r="S163" i="12"/>
  <c r="S164" i="12"/>
  <c r="S165" i="12"/>
  <c r="S166" i="12"/>
  <c r="S167" i="12"/>
  <c r="S168" i="12"/>
  <c r="S169" i="12"/>
  <c r="S170" i="12"/>
  <c r="S171" i="12"/>
  <c r="S172" i="12"/>
  <c r="S173" i="12"/>
  <c r="S174" i="12"/>
  <c r="S175" i="12"/>
  <c r="S176" i="12"/>
  <c r="S177" i="12"/>
  <c r="S178" i="12"/>
  <c r="S179" i="12"/>
  <c r="S180" i="12"/>
  <c r="S181" i="12"/>
  <c r="S182" i="12"/>
  <c r="S183" i="12"/>
  <c r="S184" i="12"/>
  <c r="S185" i="12"/>
  <c r="S186" i="12"/>
  <c r="S187" i="12"/>
  <c r="S188" i="12"/>
  <c r="S189" i="12"/>
  <c r="S190" i="12"/>
  <c r="S191" i="12"/>
  <c r="S192" i="12"/>
  <c r="S193" i="12"/>
  <c r="S194" i="12"/>
  <c r="S195" i="12"/>
  <c r="S196" i="12"/>
  <c r="S197" i="12"/>
  <c r="S198" i="12"/>
  <c r="S199" i="12"/>
  <c r="S200" i="12"/>
  <c r="S201" i="12"/>
  <c r="S202" i="12"/>
  <c r="S203" i="12"/>
  <c r="S204" i="12"/>
  <c r="S205" i="12"/>
  <c r="S206" i="12"/>
  <c r="S207" i="12"/>
  <c r="S208" i="12"/>
  <c r="S209" i="12"/>
  <c r="S210" i="12"/>
  <c r="S211" i="12"/>
  <c r="S212" i="12"/>
  <c r="S213" i="12"/>
  <c r="S214" i="12"/>
  <c r="S215" i="12"/>
  <c r="S216" i="12"/>
  <c r="S217" i="12"/>
  <c r="S218" i="12"/>
  <c r="S219" i="12"/>
  <c r="S220" i="12"/>
  <c r="S221" i="12"/>
  <c r="S222" i="12"/>
  <c r="S223" i="12"/>
  <c r="S224" i="12"/>
  <c r="S225" i="12"/>
  <c r="S226" i="12"/>
  <c r="S227" i="12"/>
  <c r="S228" i="12"/>
  <c r="S229" i="12"/>
  <c r="S230" i="12"/>
  <c r="S231" i="12"/>
  <c r="S232" i="12"/>
  <c r="S233" i="12"/>
  <c r="S234" i="12"/>
  <c r="O200" i="12"/>
  <c r="O201" i="12"/>
  <c r="O202" i="12"/>
  <c r="O203" i="12"/>
  <c r="O204" i="12"/>
  <c r="O205" i="12"/>
  <c r="O206" i="12"/>
  <c r="O207" i="12"/>
  <c r="O208" i="12"/>
  <c r="O209" i="12"/>
  <c r="O210" i="12"/>
  <c r="O211" i="12"/>
  <c r="O212" i="12"/>
  <c r="O213" i="12"/>
  <c r="O214" i="12"/>
  <c r="O215" i="12"/>
  <c r="O216" i="12"/>
  <c r="O217" i="12"/>
  <c r="O218" i="12"/>
  <c r="O219" i="12"/>
  <c r="O220" i="12"/>
  <c r="O221" i="12"/>
  <c r="O222" i="12"/>
  <c r="O223" i="12"/>
  <c r="O224" i="12"/>
  <c r="O225" i="12"/>
  <c r="O226" i="12"/>
  <c r="O227" i="12"/>
  <c r="O228" i="12"/>
  <c r="O229" i="12"/>
  <c r="O230" i="12"/>
  <c r="O231" i="12"/>
  <c r="O232" i="12"/>
  <c r="O233" i="12"/>
  <c r="O234" i="12"/>
  <c r="O20" i="12"/>
  <c r="O21" i="12"/>
  <c r="O22" i="12"/>
  <c r="O23" i="12"/>
  <c r="O24" i="12"/>
  <c r="O25" i="12"/>
  <c r="O26" i="12"/>
  <c r="O27" i="12"/>
  <c r="O28" i="12"/>
  <c r="O29" i="12"/>
  <c r="O30" i="12"/>
  <c r="O31" i="12"/>
  <c r="O32" i="12"/>
  <c r="O33" i="12"/>
  <c r="O34" i="12"/>
  <c r="O35" i="12"/>
  <c r="O36" i="12"/>
  <c r="O37" i="12"/>
  <c r="O38" i="12"/>
  <c r="O39" i="12"/>
  <c r="O40" i="12"/>
  <c r="O41" i="12"/>
  <c r="O42" i="12"/>
  <c r="O43" i="12"/>
  <c r="O44" i="12"/>
  <c r="O45" i="12"/>
  <c r="O46" i="12"/>
  <c r="O47" i="12"/>
  <c r="O48" i="12"/>
  <c r="O49" i="12"/>
  <c r="O50" i="12"/>
  <c r="O51" i="12"/>
  <c r="O52" i="12"/>
  <c r="O53" i="12"/>
  <c r="O54" i="12"/>
  <c r="O55" i="12"/>
  <c r="O56" i="12"/>
  <c r="O57" i="12"/>
  <c r="O58" i="12"/>
  <c r="O59" i="12"/>
  <c r="O60" i="12"/>
  <c r="O61" i="12"/>
  <c r="O62" i="12"/>
  <c r="O63" i="12"/>
  <c r="O64" i="12"/>
  <c r="O65" i="12"/>
  <c r="O66" i="12"/>
  <c r="O67" i="12"/>
  <c r="O68" i="12"/>
  <c r="O69" i="12"/>
  <c r="O70" i="12"/>
  <c r="O71" i="12"/>
  <c r="O72" i="12"/>
  <c r="O73" i="12"/>
  <c r="O74" i="12"/>
  <c r="O75" i="12"/>
  <c r="O76" i="12"/>
  <c r="O77" i="12"/>
  <c r="O78" i="12"/>
  <c r="O79" i="12"/>
  <c r="O80" i="12"/>
  <c r="O81" i="12"/>
  <c r="O82" i="12"/>
  <c r="O83" i="12"/>
  <c r="O84" i="12"/>
  <c r="O85" i="12"/>
  <c r="O86" i="12"/>
  <c r="O87" i="12"/>
  <c r="O88" i="12"/>
  <c r="O89" i="12"/>
  <c r="O90" i="12"/>
  <c r="O91" i="12"/>
  <c r="O92" i="12"/>
  <c r="O93" i="12"/>
  <c r="O94" i="12"/>
  <c r="O95" i="12"/>
  <c r="O96" i="12"/>
  <c r="O97" i="12"/>
  <c r="O98" i="12"/>
  <c r="O99" i="12"/>
  <c r="O100" i="12"/>
  <c r="O101" i="12"/>
  <c r="O102" i="12"/>
  <c r="O103" i="12"/>
  <c r="O104" i="12"/>
  <c r="O105" i="12"/>
  <c r="O106" i="12"/>
  <c r="O107" i="12"/>
  <c r="O108" i="12"/>
  <c r="O109" i="12"/>
  <c r="O110" i="12"/>
  <c r="O111" i="12"/>
  <c r="O112" i="12"/>
  <c r="O113" i="12"/>
  <c r="O114" i="12"/>
  <c r="O115" i="12"/>
  <c r="O116" i="12"/>
  <c r="O117" i="12"/>
  <c r="O118" i="12"/>
  <c r="O119" i="12"/>
  <c r="O120" i="12"/>
  <c r="O121" i="12"/>
  <c r="O122" i="12"/>
  <c r="O123" i="12"/>
  <c r="O124" i="12"/>
  <c r="O125" i="12"/>
  <c r="O126" i="12"/>
  <c r="O127" i="12"/>
  <c r="O128" i="12"/>
  <c r="O129" i="12"/>
  <c r="O130" i="12"/>
  <c r="O131" i="12"/>
  <c r="O132" i="12"/>
  <c r="O133" i="12"/>
  <c r="O134" i="12"/>
  <c r="O135" i="12"/>
  <c r="O136" i="12"/>
  <c r="O137" i="12"/>
  <c r="O138" i="12"/>
  <c r="O139" i="12"/>
  <c r="O140" i="12"/>
  <c r="O141" i="12"/>
  <c r="O142" i="12"/>
  <c r="O143" i="12"/>
  <c r="O144" i="12"/>
  <c r="O145" i="12"/>
  <c r="O146" i="12"/>
  <c r="O147" i="12"/>
  <c r="O148" i="12"/>
  <c r="O149" i="12"/>
  <c r="O150" i="12"/>
  <c r="O151" i="12"/>
  <c r="O152" i="12"/>
  <c r="O153" i="12"/>
  <c r="O154" i="12"/>
  <c r="O155" i="12"/>
  <c r="O156" i="12"/>
  <c r="O157" i="12"/>
  <c r="O158" i="12"/>
  <c r="O159" i="12"/>
  <c r="O160" i="12"/>
  <c r="O161" i="12"/>
  <c r="O162" i="12"/>
  <c r="O163" i="12"/>
  <c r="O164" i="12"/>
  <c r="O165" i="12"/>
  <c r="O166" i="12"/>
  <c r="O167" i="12"/>
  <c r="O168" i="12"/>
  <c r="O169" i="12"/>
  <c r="O170" i="12"/>
  <c r="O171" i="12"/>
  <c r="O172" i="12"/>
  <c r="O173" i="12"/>
  <c r="O174" i="12"/>
  <c r="O175" i="12"/>
  <c r="O176" i="12"/>
  <c r="O177" i="12"/>
  <c r="O178" i="12"/>
  <c r="O179" i="12"/>
  <c r="O180" i="12"/>
  <c r="O181" i="12"/>
  <c r="O182" i="12"/>
  <c r="O183" i="12"/>
  <c r="O184" i="12"/>
  <c r="O185" i="12"/>
  <c r="O186" i="12"/>
  <c r="O187" i="12"/>
  <c r="O188" i="12"/>
  <c r="O189" i="12"/>
  <c r="O190" i="12"/>
  <c r="O191" i="12"/>
  <c r="O192" i="12"/>
  <c r="O193" i="12"/>
  <c r="O194" i="12"/>
  <c r="O195" i="12"/>
  <c r="O196" i="12"/>
  <c r="O197" i="12"/>
  <c r="O198" i="12"/>
  <c r="O199" i="12"/>
  <c r="W75" i="14" l="1" a="1"/>
  <c r="W75" i="14" s="1"/>
  <c r="W83" i="14" a="1"/>
  <c r="W83" i="14" s="1"/>
  <c r="D25" i="4"/>
  <c r="D24" i="4"/>
  <c r="G14" i="11" a="1"/>
  <c r="G14" i="11" s="1"/>
  <c r="H6" i="11" l="1"/>
  <c r="Q28" i="11"/>
  <c r="Q27" i="11"/>
  <c r="Q26" i="11"/>
  <c r="Q25" i="11"/>
  <c r="Q24" i="11"/>
  <c r="Q23" i="11"/>
  <c r="Q22" i="11"/>
  <c r="Q29" i="11" s="1" a="1"/>
  <c r="Q29" i="11" s="1"/>
  <c r="Q20" i="11"/>
  <c r="Q19" i="11"/>
  <c r="Q18" i="11"/>
  <c r="Q17" i="11"/>
  <c r="Q16" i="11"/>
  <c r="Q15" i="11"/>
  <c r="Q14" i="11"/>
  <c r="Q21" i="11" s="1" a="1"/>
  <c r="Q21" i="11" s="1"/>
  <c r="Q12" i="11"/>
  <c r="Q11" i="11"/>
  <c r="Q10" i="11"/>
  <c r="Q9" i="11"/>
  <c r="Q8" i="11"/>
  <c r="Q6" i="11"/>
  <c r="Q13" i="11" s="1" a="1"/>
  <c r="Q13" i="11" s="1"/>
  <c r="I18" i="11"/>
  <c r="H29" i="11" a="1"/>
  <c r="H29" i="11" s="1"/>
  <c r="H21" i="11" a="1"/>
  <c r="H21" i="11" s="1"/>
  <c r="H13" i="11" a="1"/>
  <c r="H13" i="11"/>
  <c r="H28" i="11"/>
  <c r="H27" i="11"/>
  <c r="H26" i="11"/>
  <c r="H25" i="11"/>
  <c r="H24" i="11"/>
  <c r="H23" i="11"/>
  <c r="H22" i="11"/>
  <c r="H20" i="11"/>
  <c r="H19" i="11"/>
  <c r="H18" i="11"/>
  <c r="H17" i="11"/>
  <c r="H16" i="11"/>
  <c r="H15" i="11"/>
  <c r="H14" i="11"/>
  <c r="H33" i="11" s="1"/>
  <c r="H8" i="11"/>
  <c r="H9" i="11"/>
  <c r="H10" i="11"/>
  <c r="H11" i="11"/>
  <c r="H12" i="11"/>
  <c r="H7" i="11"/>
  <c r="G11" i="11" a="1"/>
  <c r="G11" i="11"/>
  <c r="I11" i="11" s="1"/>
  <c r="G6" i="11" a="1"/>
  <c r="G6" i="11"/>
  <c r="G7" i="11" a="1"/>
  <c r="G7" i="11" s="1"/>
  <c r="G8" i="11" a="1"/>
  <c r="G8" i="11"/>
  <c r="P24" i="11" a="1"/>
  <c r="P24" i="11" s="1"/>
  <c r="P23" i="11" a="1"/>
  <c r="P23" i="11"/>
  <c r="P22" i="11" a="1"/>
  <c r="P22" i="11" s="1"/>
  <c r="R12" i="11"/>
  <c r="R11" i="11"/>
  <c r="R10" i="11"/>
  <c r="R9" i="11"/>
  <c r="R8" i="11"/>
  <c r="R6" i="11"/>
  <c r="I28" i="11"/>
  <c r="I27" i="11"/>
  <c r="I26" i="11"/>
  <c r="I25" i="11"/>
  <c r="I24" i="11"/>
  <c r="I23" i="11"/>
  <c r="I22" i="11"/>
  <c r="I20" i="11"/>
  <c r="I19" i="11"/>
  <c r="I17" i="11"/>
  <c r="I16" i="11"/>
  <c r="I15" i="11"/>
  <c r="I14" i="11"/>
  <c r="I12" i="11"/>
  <c r="I10" i="11"/>
  <c r="I9" i="11"/>
  <c r="P6" i="11" a="1"/>
  <c r="P6" i="11" s="1"/>
  <c r="P28" i="11" a="1"/>
  <c r="P28" i="11" s="1"/>
  <c r="P27" i="11" a="1"/>
  <c r="P27" i="11" s="1"/>
  <c r="P26" i="11" a="1"/>
  <c r="P26" i="11" s="1"/>
  <c r="P25" i="11" a="1"/>
  <c r="P25" i="11" s="1"/>
  <c r="P20" i="11" a="1"/>
  <c r="P20" i="11" s="1"/>
  <c r="P19" i="11" a="1"/>
  <c r="P19" i="11" s="1"/>
  <c r="P18" i="11" a="1"/>
  <c r="P18" i="11" s="1"/>
  <c r="P17" i="11" a="1"/>
  <c r="P17" i="11" s="1"/>
  <c r="P16" i="11" a="1"/>
  <c r="P16" i="11" s="1"/>
  <c r="P15" i="11" a="1"/>
  <c r="P15" i="11" s="1"/>
  <c r="P14" i="11" a="1"/>
  <c r="P14" i="11" s="1"/>
  <c r="P12" i="11" a="1"/>
  <c r="P12" i="11" s="1"/>
  <c r="P11" i="11" a="1"/>
  <c r="P11" i="11" s="1"/>
  <c r="P10" i="11" a="1"/>
  <c r="P10" i="11" s="1"/>
  <c r="P9" i="11" a="1"/>
  <c r="P9" i="11" s="1"/>
  <c r="P8" i="11" a="1"/>
  <c r="P8" i="11" s="1"/>
  <c r="P7" i="11" a="1"/>
  <c r="P7" i="11" s="1"/>
  <c r="G28" i="11" a="1"/>
  <c r="G28" i="11" s="1"/>
  <c r="G20" i="11" a="1"/>
  <c r="G20" i="11" s="1"/>
  <c r="G12" i="11" a="1"/>
  <c r="G12" i="11" s="1"/>
  <c r="G27" i="11" a="1"/>
  <c r="G27" i="11" s="1"/>
  <c r="G19" i="11" a="1"/>
  <c r="G19" i="11" s="1"/>
  <c r="G26" i="11" a="1"/>
  <c r="G26" i="11" s="1"/>
  <c r="G18" i="11" a="1"/>
  <c r="G18" i="11" s="1"/>
  <c r="G10" i="11" a="1"/>
  <c r="G10" i="11" s="1"/>
  <c r="G25" i="11" a="1"/>
  <c r="G25" i="11" s="1"/>
  <c r="G17" i="11" a="1"/>
  <c r="G17" i="11" s="1"/>
  <c r="G9" i="11" a="1"/>
  <c r="G9" i="11" s="1"/>
  <c r="G24" i="11" a="1"/>
  <c r="G24" i="11" s="1"/>
  <c r="G16" i="11" a="1"/>
  <c r="G16" i="11" s="1"/>
  <c r="G23" i="11" a="1"/>
  <c r="G23" i="11" s="1"/>
  <c r="G15" i="11" a="1"/>
  <c r="G15" i="11" s="1"/>
  <c r="G22" i="11" a="1"/>
  <c r="G22" i="11" s="1"/>
  <c r="V21" i="11" a="1"/>
  <c r="V21" i="11" s="1"/>
  <c r="Z21" i="11" a="1"/>
  <c r="Z21" i="11" s="1"/>
  <c r="Y21" i="11" a="1"/>
  <c r="Y21" i="11" s="1"/>
  <c r="X21" i="11" a="1"/>
  <c r="X21" i="11" s="1"/>
  <c r="W21" i="11" a="1"/>
  <c r="W21" i="11" s="1"/>
  <c r="U21" i="11" a="1"/>
  <c r="U21" i="11" s="1"/>
  <c r="T21" i="11" a="1"/>
  <c r="T21" i="11" s="1"/>
  <c r="G21" i="3"/>
  <c r="G20" i="3" a="1"/>
  <c r="G20" i="3" s="1"/>
  <c r="I8" i="11" l="1"/>
  <c r="I6" i="11"/>
  <c r="I7" i="11"/>
  <c r="R22" i="11"/>
  <c r="R23" i="11"/>
  <c r="R24" i="11"/>
  <c r="R25" i="11"/>
  <c r="R26" i="11"/>
  <c r="R27" i="11"/>
  <c r="R28" i="11"/>
  <c r="R15" i="11"/>
  <c r="R18" i="11"/>
  <c r="R16" i="11"/>
  <c r="R17" i="11"/>
  <c r="R20" i="11"/>
  <c r="R14" i="11"/>
  <c r="R19" i="11"/>
  <c r="R7" i="11"/>
  <c r="D4" i="3"/>
  <c r="D10" i="3" l="1"/>
  <c r="D9" i="3"/>
  <c r="D8" i="3"/>
  <c r="D7" i="3"/>
  <c r="D6" i="3"/>
  <c r="D5" i="3"/>
  <c r="H20" i="3" a="1"/>
  <c r="H20" i="3"/>
  <c r="I20" i="3" a="1"/>
  <c r="I20" i="3" s="1"/>
  <c r="J20" i="3" a="1"/>
  <c r="J20" i="3"/>
  <c r="K20" i="3" a="1"/>
  <c r="K20" i="3"/>
  <c r="L20" i="3" a="1"/>
  <c r="L20" i="3"/>
  <c r="M20" i="3" a="1"/>
  <c r="M20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<sst xmlns="http://schemas.openxmlformats.org/spreadsheetml/2006/main" count="1123" uniqueCount="233">
  <si>
    <t>0.1</t>
  </si>
  <si>
    <t>E</t>
  </si>
  <si>
    <t>k</t>
  </si>
  <si>
    <t>0.3</t>
  </si>
  <si>
    <t>0.495</t>
  </si>
  <si>
    <t>PCF</t>
  </si>
  <si>
    <t>Mod E</t>
  </si>
  <si>
    <t>[Mpa]</t>
  </si>
  <si>
    <t>TOF</t>
  </si>
  <si>
    <t>PCF05</t>
  </si>
  <si>
    <t>PCF08</t>
  </si>
  <si>
    <t>PCF10</t>
  </si>
  <si>
    <t>PCF12</t>
  </si>
  <si>
    <t>PCF15</t>
  </si>
  <si>
    <t>PCF20</t>
  </si>
  <si>
    <t>PCF30</t>
  </si>
  <si>
    <t>Valores de TOF</t>
  </si>
  <si>
    <t>Mpa</t>
  </si>
  <si>
    <t>Mod. Poisson</t>
  </si>
  <si>
    <t>Interpolación para Poisson Dado</t>
  </si>
  <si>
    <t>Interpolación para Módulo de Elasticidad</t>
  </si>
  <si>
    <t>Mod. Elasticidad</t>
  </si>
  <si>
    <t>TOFs</t>
  </si>
  <si>
    <t>Datos Matlab 0.1</t>
  </si>
  <si>
    <t>Datos Matlab 0.3</t>
  </si>
  <si>
    <t>Datos Matlab 0.5</t>
  </si>
  <si>
    <t>Denominación</t>
  </si>
  <si>
    <t>PCF_05</t>
  </si>
  <si>
    <t>Mod_E</t>
  </si>
  <si>
    <t>Poisson</t>
  </si>
  <si>
    <t>TOF_NUM</t>
  </si>
  <si>
    <t>k_factor</t>
  </si>
  <si>
    <t>PCF_08</t>
  </si>
  <si>
    <t>PCF_10</t>
  </si>
  <si>
    <t>PCF_12</t>
  </si>
  <si>
    <t>PCF_15</t>
  </si>
  <si>
    <t>PCF_20</t>
  </si>
  <si>
    <t>PCF_30</t>
  </si>
  <si>
    <t>TOF_EXP</t>
  </si>
  <si>
    <t>TEST #1 - Int = 0.0023 y V0 = 0.22</t>
  </si>
  <si>
    <t>Valores de TOF Saw Bones</t>
  </si>
  <si>
    <t>Diff</t>
  </si>
  <si>
    <t>Error Total:</t>
  </si>
  <si>
    <t>TEST #2 - Int = 0.0024 y V0 = 0.26</t>
  </si>
  <si>
    <t>Error Real:</t>
  </si>
  <si>
    <t>M4_56_Mod_ConPlaca - PabloMajo2</t>
  </si>
  <si>
    <t>TOF #1</t>
  </si>
  <si>
    <t>TOF #2</t>
  </si>
  <si>
    <t>TOF #3</t>
  </si>
  <si>
    <t>TOF #4</t>
  </si>
  <si>
    <t>Hasta Aqui</t>
  </si>
  <si>
    <t>M4_56_Mod_SinPlaca - PabloMajo2</t>
  </si>
  <si>
    <t>MEDICIÓN #1</t>
  </si>
  <si>
    <t>Datos Probetas</t>
  </si>
  <si>
    <t>Análisis Velocidad Onda P</t>
  </si>
  <si>
    <t>Mod. E Pelotazo</t>
  </si>
  <si>
    <t>Probeta</t>
  </si>
  <si>
    <t>Energía</t>
  </si>
  <si>
    <t xml:space="preserve">Altura </t>
  </si>
  <si>
    <t>Diámetro</t>
  </si>
  <si>
    <t>Volumen</t>
  </si>
  <si>
    <t>Masa</t>
  </si>
  <si>
    <t>Densidad</t>
  </si>
  <si>
    <t>Humedad</t>
  </si>
  <si>
    <t>Den. Seca</t>
  </si>
  <si>
    <t>GS</t>
  </si>
  <si>
    <t>e</t>
  </si>
  <si>
    <t>Saturación</t>
  </si>
  <si>
    <t>TV1</t>
  </si>
  <si>
    <t>TV2</t>
  </si>
  <si>
    <t>TV3</t>
  </si>
  <si>
    <t>TV4</t>
  </si>
  <si>
    <t>TV5</t>
  </si>
  <si>
    <t>TV prom</t>
  </si>
  <si>
    <t>TOF1</t>
  </si>
  <si>
    <t>TOF2</t>
  </si>
  <si>
    <t>TOF3</t>
  </si>
  <si>
    <t>TOF4</t>
  </si>
  <si>
    <t>TOF5</t>
  </si>
  <si>
    <t>TOF Prom</t>
  </si>
  <si>
    <t>E1</t>
  </si>
  <si>
    <t>E2</t>
  </si>
  <si>
    <t>E3</t>
  </si>
  <si>
    <t>E4</t>
  </si>
  <si>
    <t>E5</t>
  </si>
  <si>
    <t>-</t>
  </si>
  <si>
    <t>Golpes</t>
  </si>
  <si>
    <t>mm</t>
  </si>
  <si>
    <t>cm3</t>
  </si>
  <si>
    <t>g</t>
  </si>
  <si>
    <t>g/cm3</t>
  </si>
  <si>
    <t>%</t>
  </si>
  <si>
    <t>us</t>
  </si>
  <si>
    <t>s</t>
  </si>
  <si>
    <t>Masa 1</t>
  </si>
  <si>
    <t>Masa 2</t>
  </si>
  <si>
    <t>Masa 3</t>
  </si>
  <si>
    <t>Masa 4</t>
  </si>
  <si>
    <t>Masa 5</t>
  </si>
  <si>
    <t>Masa 6</t>
  </si>
  <si>
    <t>Masa 7</t>
  </si>
  <si>
    <t>MEDICIÓN #2</t>
  </si>
  <si>
    <t>MEDICIÓN #3</t>
  </si>
  <si>
    <t>Analisis Errores</t>
  </si>
  <si>
    <t>Diferencia</t>
  </si>
  <si>
    <t>% Error</t>
  </si>
  <si>
    <t>M1 - Mod</t>
  </si>
  <si>
    <t>M2 - Mod</t>
  </si>
  <si>
    <t>M3 - Mod</t>
  </si>
  <si>
    <t>M1 - Est</t>
  </si>
  <si>
    <t>M2 - Est</t>
  </si>
  <si>
    <t>M3 - Est</t>
  </si>
  <si>
    <t>M4 - Est</t>
  </si>
  <si>
    <t>MEDICIÓN #4</t>
  </si>
  <si>
    <t>M4 - Mod</t>
  </si>
  <si>
    <t>M5 - Mod</t>
  </si>
  <si>
    <t>M6 - Mod</t>
  </si>
  <si>
    <t>M5 - Est</t>
  </si>
  <si>
    <t>M6 - Est</t>
  </si>
  <si>
    <t>56 Golpes Mod</t>
  </si>
  <si>
    <t>25 Golpes Mod</t>
  </si>
  <si>
    <t>y</t>
  </si>
  <si>
    <t>x</t>
  </si>
  <si>
    <t>Evv</t>
  </si>
  <si>
    <t>Essw</t>
  </si>
  <si>
    <t>equity line</t>
  </si>
  <si>
    <t>trend line</t>
  </si>
  <si>
    <t>desvest TV</t>
  </si>
  <si>
    <t>desvest E</t>
  </si>
  <si>
    <t>E prom</t>
  </si>
  <si>
    <t>25 Golpes EST</t>
  </si>
  <si>
    <t>Archivo: SSW_GroupSimulationModel.m</t>
  </si>
  <si>
    <t>MAX</t>
  </si>
  <si>
    <t>Normalized</t>
  </si>
  <si>
    <r>
      <t xml:space="preserve">Datos Curva Calibración de Matlab -&gt; </t>
    </r>
    <r>
      <rPr>
        <b/>
        <sz val="11"/>
        <color rgb="FFFF0000"/>
        <rFont val="Calibri"/>
        <family val="2"/>
        <scheme val="minor"/>
      </rPr>
      <t>V0=0.26</t>
    </r>
  </si>
  <si>
    <t>V0</t>
  </si>
  <si>
    <r>
      <t xml:space="preserve">Orignal Datos Curva Calibración de Matlab -&gt; </t>
    </r>
    <r>
      <rPr>
        <b/>
        <sz val="11"/>
        <color rgb="FFFF0000"/>
        <rFont val="Calibri"/>
        <family val="2"/>
        <scheme val="minor"/>
      </rPr>
      <t>V0=0.26</t>
    </r>
  </si>
  <si>
    <t>Average</t>
  </si>
  <si>
    <t>M00</t>
  </si>
  <si>
    <t>M02</t>
  </si>
  <si>
    <t>M04</t>
  </si>
  <si>
    <t>M06</t>
  </si>
  <si>
    <t>M08</t>
  </si>
  <si>
    <t>M10</t>
  </si>
  <si>
    <t>M12</t>
  </si>
  <si>
    <t>M14</t>
  </si>
  <si>
    <t>M16</t>
  </si>
  <si>
    <t>M18</t>
  </si>
  <si>
    <t>M20</t>
  </si>
  <si>
    <t>M22</t>
  </si>
  <si>
    <t>M24</t>
  </si>
  <si>
    <t>MOD E</t>
  </si>
  <si>
    <t>Ajuste</t>
  </si>
  <si>
    <t>x2</t>
  </si>
  <si>
    <t>c</t>
  </si>
  <si>
    <t>DENSIDAD</t>
  </si>
  <si>
    <t>Muestra</t>
  </si>
  <si>
    <t>Densidad dry</t>
  </si>
  <si>
    <t>ecuacion de intervalo de confianza</t>
  </si>
  <si>
    <t xml:space="preserve">Poner lineas de confiabilidad </t>
  </si>
  <si>
    <t>Intervalo de confianza</t>
  </si>
  <si>
    <t>Dry density (X)</t>
  </si>
  <si>
    <t xml:space="preserve">TOF real </t>
  </si>
  <si>
    <t>TOF pron (Y pron)</t>
  </si>
  <si>
    <t>residuo</t>
  </si>
  <si>
    <t>desvest (residuos)</t>
  </si>
  <si>
    <t>Int confianza</t>
  </si>
  <si>
    <t>t α/2</t>
  </si>
  <si>
    <t>X barra</t>
  </si>
  <si>
    <t>n-1</t>
  </si>
  <si>
    <t>TOF pron (Y pron) * Excel</t>
  </si>
  <si>
    <t>TOF pron (Y pron) *Matlab</t>
  </si>
  <si>
    <t>(x-xbarra)^2</t>
  </si>
  <si>
    <t>Y conf sup</t>
  </si>
  <si>
    <t>Y conf inf</t>
  </si>
  <si>
    <t>M#1_22G</t>
  </si>
  <si>
    <t>M#1_25EST</t>
  </si>
  <si>
    <t>M#2_18G</t>
  </si>
  <si>
    <t>M#2_29G</t>
  </si>
  <si>
    <t>M#1_29G</t>
  </si>
  <si>
    <t>M#2_25EST</t>
  </si>
  <si>
    <t>M#4_18G</t>
  </si>
  <si>
    <t>M#4_29G</t>
  </si>
  <si>
    <t>M#5_22G</t>
  </si>
  <si>
    <t>M#5_18G</t>
  </si>
  <si>
    <t>M#5_25EST</t>
  </si>
  <si>
    <t>M#6_22G</t>
  </si>
  <si>
    <t>M#7_22G</t>
  </si>
  <si>
    <t>M#7_32G</t>
  </si>
  <si>
    <t>M#4_25EST</t>
  </si>
  <si>
    <t>M#3_29G</t>
  </si>
  <si>
    <t>Num. Molde</t>
  </si>
  <si>
    <t>Masa Cilindro</t>
  </si>
  <si>
    <t>Cilindro + Suelo</t>
  </si>
  <si>
    <t>mTarro</t>
  </si>
  <si>
    <t>mTarro + humedo</t>
  </si>
  <si>
    <t>mTarro + seco</t>
  </si>
  <si>
    <t>humedad</t>
  </si>
  <si>
    <t>M. Humeda</t>
  </si>
  <si>
    <t>Densidad H.</t>
  </si>
  <si>
    <t>Densidad Seca</t>
  </si>
  <si>
    <t>Diametro</t>
  </si>
  <si>
    <t>Altura</t>
  </si>
  <si>
    <t>Superficie</t>
  </si>
  <si>
    <t>(g)</t>
  </si>
  <si>
    <t>gr</t>
  </si>
  <si>
    <t>gr/cm3</t>
  </si>
  <si>
    <t>#1</t>
  </si>
  <si>
    <t>#2</t>
  </si>
  <si>
    <t>#3</t>
  </si>
  <si>
    <t>#4</t>
  </si>
  <si>
    <t>#5</t>
  </si>
  <si>
    <t>#6</t>
  </si>
  <si>
    <t>Promedio:</t>
  </si>
  <si>
    <t>#7</t>
  </si>
  <si>
    <t>Dry Density</t>
  </si>
  <si>
    <t>25EST</t>
  </si>
  <si>
    <t>Density</t>
  </si>
  <si>
    <t>95% Opt.</t>
  </si>
  <si>
    <t>Density opt 95</t>
  </si>
  <si>
    <t>Equation</t>
  </si>
  <si>
    <t>95% Optimo</t>
  </si>
  <si>
    <t>Resumen</t>
  </si>
  <si>
    <t>Desviacion TOF</t>
  </si>
  <si>
    <t>Todo en vertical. Popner las desviaciones estandar verticales.</t>
  </si>
  <si>
    <t>Ahora contra la media</t>
  </si>
  <si>
    <t>No comparar dos intervalos</t>
  </si>
  <si>
    <t>1.52022160e-03  1.61251700e-03  1.21282400e-03  1.33010660e-03</t>
  </si>
  <si>
    <t xml:space="preserve">  1.54218920e-03  1.72129600e-03  1.95135866e-03  2.41446800e-03</t>
  </si>
  <si>
    <t xml:space="preserve">  1.47461020e-03  1.48707100e-03  1.97085200e-03  1.29781800e-03</t>
  </si>
  <si>
    <t xml:space="preserve">  2.05314600e-03  1.65857380e-03 -3.10850490e+00  1.29573600e-03</t>
  </si>
  <si>
    <t>Mod E Num</t>
  </si>
  <si>
    <t>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</si>
</sst>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0"/>
    <numFmt numFmtId="165" formatCode="0.000000"/>
    <numFmt numFmtId="166" formatCode="0.0000000"/>
    <numFmt numFmtId="167" formatCode="0.0%"/>
    <numFmt numFmtId="168" formatCode="0.000%"/>
    <numFmt numFmtId="169" formatCode="0.00000"/>
    <numFmt numFmtId="170" formatCode="_-* #,##0.00_-;\-* #,##0.00_-;_-* &quot;-&quot;??_-;_-@_-"/>
    <numFmt numFmtId="171" formatCode="0.00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2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7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2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0"/>
      <color rgb="FFA709F5"/>
      <name val="Consolas"/>
      <family val="3"/>
    </font>
    <font>
      <b/>
      <sz val="10"/>
      <color rgb="FFA709F5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3" fillId="0" borderId="0"/>
    <xf numFmtId="0" fontId="1" fillId="0" borderId="0"/>
    <xf numFmtId="9" fontId="1" fillId="0" borderId="0" applyFont="0" applyFill="0" applyBorder="0" applyAlignment="0" applyProtection="0"/>
    <xf numFmtId="170" fontId="1" fillId="0" borderId="0" applyFont="0" applyFill="0" applyBorder="0" applyAlignment="0" applyProtection="0"/>
  </cellStyleXfs>
  <cellXfs count="170">
    <xf numFmtId="0" fontId="0" fillId="0" borderId="0" xfId="0"/>
    <xf numFmtId="0" fontId="3" fillId="2" borderId="0" xfId="1" applyFill="1"/>
    <xf numFmtId="0" fontId="4" fillId="2" borderId="3" xfId="1" applyFont="1" applyFill="1" applyBorder="1" applyAlignment="1">
      <alignment horizontal="center"/>
    </xf>
    <xf numFmtId="0" fontId="3" fillId="2" borderId="3" xfId="1" applyFill="1" applyBorder="1" applyAlignment="1">
      <alignment horizontal="center"/>
    </xf>
    <xf numFmtId="0" fontId="3" fillId="2" borderId="3" xfId="1" applyFill="1" applyBorder="1"/>
    <xf numFmtId="164" fontId="3" fillId="2" borderId="0" xfId="1" applyNumberForma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1" fillId="2" borderId="0" xfId="2" applyFill="1"/>
    <xf numFmtId="0" fontId="1" fillId="2" borderId="3" xfId="2" applyFill="1" applyBorder="1"/>
    <xf numFmtId="0" fontId="2" fillId="2" borderId="0" xfId="2" applyFont="1" applyFill="1" applyAlignment="1">
      <alignment horizontal="center"/>
    </xf>
    <xf numFmtId="2" fontId="1" fillId="2" borderId="1" xfId="2" applyNumberFormat="1" applyFill="1" applyBorder="1"/>
    <xf numFmtId="0" fontId="1" fillId="2" borderId="7" xfId="2" applyFill="1" applyBorder="1"/>
    <xf numFmtId="0" fontId="1" fillId="2" borderId="2" xfId="2" applyFill="1" applyBorder="1"/>
    <xf numFmtId="166" fontId="0" fillId="2" borderId="3" xfId="0" applyNumberFormat="1" applyFill="1" applyBorder="1"/>
    <xf numFmtId="0" fontId="0" fillId="2" borderId="8" xfId="0" applyFill="1" applyBorder="1"/>
    <xf numFmtId="2" fontId="1" fillId="2" borderId="3" xfId="2" applyNumberFormat="1" applyFill="1" applyBorder="1"/>
    <xf numFmtId="165" fontId="1" fillId="2" borderId="3" xfId="2" applyNumberFormat="1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2" fillId="2" borderId="3" xfId="0" applyFont="1" applyFill="1" applyBorder="1"/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166" fontId="0" fillId="2" borderId="3" xfId="0" applyNumberFormat="1" applyFill="1" applyBorder="1" applyAlignment="1">
      <alignment horizontal="center"/>
    </xf>
    <xf numFmtId="0" fontId="0" fillId="2" borderId="21" xfId="0" applyFill="1" applyBorder="1"/>
    <xf numFmtId="0" fontId="0" fillId="2" borderId="22" xfId="0" applyFill="1" applyBorder="1"/>
    <xf numFmtId="0" fontId="2" fillId="2" borderId="22" xfId="0" applyFont="1" applyFill="1" applyBorder="1"/>
    <xf numFmtId="168" fontId="0" fillId="2" borderId="22" xfId="0" applyNumberFormat="1" applyFill="1" applyBorder="1"/>
    <xf numFmtId="0" fontId="0" fillId="2" borderId="23" xfId="0" applyFill="1" applyBorder="1"/>
    <xf numFmtId="166" fontId="0" fillId="2" borderId="10" xfId="0" applyNumberFormat="1" applyFill="1" applyBorder="1" applyAlignment="1">
      <alignment horizontal="center"/>
    </xf>
    <xf numFmtId="166" fontId="0" fillId="2" borderId="17" xfId="0" applyNumberFormat="1" applyFill="1" applyBorder="1" applyAlignment="1">
      <alignment horizontal="center"/>
    </xf>
    <xf numFmtId="0" fontId="0" fillId="2" borderId="24" xfId="0" applyFill="1" applyBorder="1"/>
    <xf numFmtId="0" fontId="2" fillId="5" borderId="20" xfId="0" applyFont="1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5" xfId="0" applyFill="1" applyBorder="1"/>
    <xf numFmtId="0" fontId="0" fillId="2" borderId="26" xfId="0" applyFill="1" applyBorder="1"/>
    <xf numFmtId="167" fontId="0" fillId="2" borderId="19" xfId="3" applyNumberFormat="1" applyFont="1" applyFill="1" applyBorder="1" applyAlignment="1">
      <alignment horizontal="center"/>
    </xf>
    <xf numFmtId="167" fontId="0" fillId="2" borderId="1" xfId="3" applyNumberFormat="1" applyFont="1" applyFill="1" applyBorder="1" applyAlignment="1">
      <alignment horizontal="center"/>
    </xf>
    <xf numFmtId="0" fontId="0" fillId="2" borderId="27" xfId="0" applyFill="1" applyBorder="1"/>
    <xf numFmtId="0" fontId="0" fillId="2" borderId="28" xfId="0" applyFill="1" applyBorder="1" applyAlignment="1">
      <alignment horizontal="center"/>
    </xf>
    <xf numFmtId="0" fontId="0" fillId="2" borderId="28" xfId="0" applyFill="1" applyBorder="1"/>
    <xf numFmtId="0" fontId="0" fillId="2" borderId="29" xfId="0" applyFill="1" applyBorder="1"/>
    <xf numFmtId="0" fontId="2" fillId="2" borderId="0" xfId="0" applyFont="1" applyFill="1"/>
    <xf numFmtId="168" fontId="0" fillId="2" borderId="0" xfId="0" applyNumberFormat="1" applyFill="1"/>
    <xf numFmtId="10" fontId="0" fillId="2" borderId="0" xfId="0" applyNumberFormat="1" applyFill="1"/>
    <xf numFmtId="10" fontId="0" fillId="2" borderId="19" xfId="3" applyNumberFormat="1" applyFont="1" applyFill="1" applyBorder="1" applyAlignment="1">
      <alignment horizontal="center"/>
    </xf>
    <xf numFmtId="10" fontId="0" fillId="2" borderId="1" xfId="3" applyNumberFormat="1" applyFont="1" applyFill="1" applyBorder="1" applyAlignment="1">
      <alignment horizontal="center"/>
    </xf>
    <xf numFmtId="10" fontId="0" fillId="4" borderId="19" xfId="3" applyNumberFormat="1" applyFont="1" applyFill="1" applyBorder="1" applyAlignment="1">
      <alignment horizontal="center"/>
    </xf>
    <xf numFmtId="10" fontId="0" fillId="4" borderId="1" xfId="3" applyNumberFormat="1" applyFont="1" applyFill="1" applyBorder="1" applyAlignment="1">
      <alignment horizontal="center"/>
    </xf>
    <xf numFmtId="10" fontId="0" fillId="2" borderId="22" xfId="0" applyNumberFormat="1" applyFill="1" applyBorder="1"/>
    <xf numFmtId="168" fontId="0" fillId="2" borderId="0" xfId="3" applyNumberFormat="1" applyFont="1" applyFill="1"/>
    <xf numFmtId="0" fontId="0" fillId="2" borderId="0" xfId="0" applyFill="1" applyAlignment="1">
      <alignment horizontal="left" vertical="top"/>
    </xf>
    <xf numFmtId="0" fontId="0" fillId="4" borderId="3" xfId="0" applyFill="1" applyBorder="1"/>
    <xf numFmtId="169" fontId="0" fillId="2" borderId="3" xfId="0" applyNumberFormat="1" applyFill="1" applyBorder="1"/>
    <xf numFmtId="11" fontId="0" fillId="2" borderId="3" xfId="0" applyNumberFormat="1" applyFill="1" applyBorder="1"/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7" fillId="2" borderId="0" xfId="0" applyFont="1" applyFill="1"/>
    <xf numFmtId="0" fontId="9" fillId="3" borderId="33" xfId="0" applyFont="1" applyFill="1" applyBorder="1" applyAlignment="1">
      <alignment horizontal="center"/>
    </xf>
    <xf numFmtId="0" fontId="10" fillId="3" borderId="33" xfId="0" applyFont="1" applyFill="1" applyBorder="1" applyAlignment="1">
      <alignment horizontal="center"/>
    </xf>
    <xf numFmtId="0" fontId="11" fillId="3" borderId="34" xfId="0" applyFont="1" applyFill="1" applyBorder="1" applyAlignment="1">
      <alignment horizontal="center"/>
    </xf>
    <xf numFmtId="0" fontId="11" fillId="3" borderId="33" xfId="0" applyFont="1" applyFill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12" fillId="2" borderId="35" xfId="0" applyFont="1" applyFill="1" applyBorder="1" applyAlignment="1">
      <alignment horizontal="center"/>
    </xf>
    <xf numFmtId="0" fontId="14" fillId="2" borderId="35" xfId="0" applyFont="1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2" fontId="0" fillId="2" borderId="3" xfId="0" applyNumberFormat="1" applyFill="1" applyBorder="1" applyAlignment="1">
      <alignment horizontal="center"/>
    </xf>
    <xf numFmtId="10" fontId="0" fillId="2" borderId="3" xfId="3" applyNumberFormat="1" applyFont="1" applyFill="1" applyBorder="1" applyAlignment="1">
      <alignment horizontal="center"/>
    </xf>
    <xf numFmtId="2" fontId="0" fillId="2" borderId="3" xfId="3" applyNumberFormat="1" applyFont="1" applyFill="1" applyBorder="1" applyAlignment="1">
      <alignment horizontal="center"/>
    </xf>
    <xf numFmtId="0" fontId="15" fillId="2" borderId="3" xfId="0" applyFont="1" applyFill="1" applyBorder="1"/>
    <xf numFmtId="2" fontId="0" fillId="2" borderId="3" xfId="0" applyNumberFormat="1" applyFill="1" applyBorder="1" applyAlignment="1">
      <alignment horizontal="center" vertical="center"/>
    </xf>
    <xf numFmtId="0" fontId="6" fillId="2" borderId="3" xfId="0" applyFont="1" applyFill="1" applyBorder="1"/>
    <xf numFmtId="9" fontId="6" fillId="2" borderId="3" xfId="3" applyFont="1" applyFill="1" applyBorder="1"/>
    <xf numFmtId="0" fontId="16" fillId="2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/>
    </xf>
    <xf numFmtId="10" fontId="0" fillId="2" borderId="3" xfId="0" applyNumberFormat="1" applyFill="1" applyBorder="1" applyAlignment="1">
      <alignment horizontal="center"/>
    </xf>
    <xf numFmtId="10" fontId="0" fillId="2" borderId="0" xfId="0" applyNumberFormat="1" applyFill="1" applyAlignment="1">
      <alignment horizontal="center"/>
    </xf>
    <xf numFmtId="2" fontId="0" fillId="2" borderId="0" xfId="0" applyNumberFormat="1" applyFill="1" applyAlignment="1">
      <alignment horizontal="center"/>
    </xf>
    <xf numFmtId="0" fontId="10" fillId="3" borderId="34" xfId="0" applyFont="1" applyFill="1" applyBorder="1" applyAlignment="1">
      <alignment horizontal="center"/>
    </xf>
    <xf numFmtId="0" fontId="8" fillId="6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/>
    <xf numFmtId="0" fontId="2" fillId="2" borderId="0" xfId="0" applyFont="1" applyFill="1" applyAlignment="1">
      <alignment horizontal="center"/>
    </xf>
    <xf numFmtId="168" fontId="0" fillId="2" borderId="3" xfId="3" applyNumberFormat="1" applyFont="1" applyFill="1" applyBorder="1"/>
    <xf numFmtId="0" fontId="2" fillId="2" borderId="3" xfId="0" applyFont="1" applyFill="1" applyBorder="1" applyAlignment="1">
      <alignment horizontal="center"/>
    </xf>
    <xf numFmtId="0" fontId="18" fillId="2" borderId="3" xfId="0" applyFont="1" applyFill="1" applyBorder="1"/>
    <xf numFmtId="11" fontId="6" fillId="2" borderId="3" xfId="0" applyNumberFormat="1" applyFont="1" applyFill="1" applyBorder="1"/>
    <xf numFmtId="169" fontId="18" fillId="2" borderId="3" xfId="0" applyNumberFormat="1" applyFont="1" applyFill="1" applyBorder="1"/>
    <xf numFmtId="0" fontId="16" fillId="2" borderId="3" xfId="0" applyFont="1" applyFill="1" applyBorder="1"/>
    <xf numFmtId="169" fontId="16" fillId="2" borderId="3" xfId="0" applyNumberFormat="1" applyFont="1" applyFill="1" applyBorder="1"/>
    <xf numFmtId="169" fontId="19" fillId="2" borderId="3" xfId="0" applyNumberFormat="1" applyFont="1" applyFill="1" applyBorder="1"/>
    <xf numFmtId="0" fontId="19" fillId="2" borderId="3" xfId="0" applyFont="1" applyFill="1" applyBorder="1"/>
    <xf numFmtId="169" fontId="6" fillId="2" borderId="3" xfId="0" applyNumberFormat="1" applyFont="1" applyFill="1" applyBorder="1"/>
    <xf numFmtId="169" fontId="20" fillId="2" borderId="3" xfId="0" applyNumberFormat="1" applyFont="1" applyFill="1" applyBorder="1"/>
    <xf numFmtId="0" fontId="20" fillId="2" borderId="3" xfId="0" applyFont="1" applyFill="1" applyBorder="1"/>
    <xf numFmtId="0" fontId="17" fillId="2" borderId="0" xfId="2" applyFont="1" applyFill="1"/>
    <xf numFmtId="0" fontId="1" fillId="2" borderId="3" xfId="2" applyFill="1" applyBorder="1" applyAlignment="1">
      <alignment horizontal="center"/>
    </xf>
    <xf numFmtId="2" fontId="1" fillId="2" borderId="3" xfId="2" applyNumberFormat="1" applyFill="1" applyBorder="1" applyAlignment="1">
      <alignment horizontal="center"/>
    </xf>
    <xf numFmtId="0" fontId="10" fillId="3" borderId="0" xfId="0" applyFont="1" applyFill="1" applyAlignment="1">
      <alignment horizontal="center"/>
    </xf>
    <xf numFmtId="0" fontId="22" fillId="2" borderId="0" xfId="0" applyFont="1" applyFill="1" applyAlignment="1">
      <alignment horizontal="center"/>
    </xf>
    <xf numFmtId="0" fontId="23" fillId="2" borderId="0" xfId="0" applyFont="1" applyFill="1"/>
    <xf numFmtId="0" fontId="23" fillId="2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17" fillId="2" borderId="0" xfId="0" applyFont="1" applyFill="1"/>
    <xf numFmtId="0" fontId="10" fillId="5" borderId="1" xfId="0" applyFont="1" applyFill="1" applyBorder="1"/>
    <xf numFmtId="0" fontId="10" fillId="5" borderId="7" xfId="0" applyFont="1" applyFill="1" applyBorder="1"/>
    <xf numFmtId="0" fontId="10" fillId="5" borderId="2" xfId="0" applyFont="1" applyFill="1" applyBorder="1"/>
    <xf numFmtId="9" fontId="0" fillId="2" borderId="0" xfId="0" applyNumberFormat="1" applyFill="1"/>
    <xf numFmtId="165" fontId="0" fillId="2" borderId="3" xfId="0" applyNumberFormat="1" applyFill="1" applyBorder="1" applyAlignment="1">
      <alignment horizontal="center"/>
    </xf>
    <xf numFmtId="0" fontId="0" fillId="2" borderId="0" xfId="0" applyFill="1" applyAlignment="1">
      <alignment wrapText="1"/>
    </xf>
    <xf numFmtId="2" fontId="0" fillId="2" borderId="0" xfId="0" applyNumberFormat="1" applyFill="1"/>
    <xf numFmtId="0" fontId="2" fillId="2" borderId="3" xfId="0" applyFont="1" applyFill="1" applyBorder="1" applyAlignment="1">
      <alignment horizontal="center" vertical="center"/>
    </xf>
    <xf numFmtId="2" fontId="0" fillId="2" borderId="3" xfId="0" applyNumberFormat="1" applyFill="1" applyBorder="1"/>
    <xf numFmtId="0" fontId="10" fillId="5" borderId="0" xfId="0" applyFont="1" applyFill="1" applyAlignment="1">
      <alignment horizontal="center"/>
    </xf>
    <xf numFmtId="2" fontId="0" fillId="2" borderId="3" xfId="4" applyNumberFormat="1" applyFont="1" applyFill="1" applyBorder="1" applyAlignment="1">
      <alignment horizontal="center" vertical="center"/>
    </xf>
    <xf numFmtId="0" fontId="25" fillId="0" borderId="0" xfId="0" applyFont="1" applyAlignment="1">
      <alignment horizontal="left" vertical="center" indent="2"/>
    </xf>
    <xf numFmtId="0" fontId="0" fillId="2" borderId="3" xfId="0" applyFill="1" applyBorder="1" applyAlignment="1">
      <alignment horizontal="right"/>
    </xf>
    <xf numFmtId="10" fontId="0" fillId="2" borderId="3" xfId="3" applyNumberFormat="1" applyFont="1" applyFill="1" applyBorder="1"/>
    <xf numFmtId="0" fontId="0" fillId="2" borderId="3" xfId="3" applyNumberFormat="1" applyFont="1" applyFill="1" applyBorder="1" applyAlignment="1">
      <alignment horizontal="center"/>
    </xf>
    <xf numFmtId="0" fontId="0" fillId="2" borderId="3" xfId="3" applyNumberFormat="1" applyFont="1" applyFill="1" applyBorder="1"/>
    <xf numFmtId="171" fontId="0" fillId="2" borderId="3" xfId="0" applyNumberFormat="1" applyFill="1" applyBorder="1"/>
    <xf numFmtId="171" fontId="0" fillId="2" borderId="0" xfId="0" applyNumberFormat="1" applyFill="1"/>
    <xf numFmtId="0" fontId="26" fillId="0" borderId="3" xfId="0" applyFont="1" applyBorder="1" applyAlignment="1">
      <alignment horizontal="center" vertical="center"/>
    </xf>
    <xf numFmtId="0" fontId="2" fillId="7" borderId="3" xfId="0" applyFont="1" applyFill="1" applyBorder="1"/>
    <xf numFmtId="0" fontId="0" fillId="7" borderId="3" xfId="0" applyFill="1" applyBorder="1"/>
    <xf numFmtId="0" fontId="1" fillId="2" borderId="33" xfId="2" applyFill="1" applyBorder="1"/>
    <xf numFmtId="165" fontId="1" fillId="2" borderId="33" xfId="2" applyNumberFormat="1" applyFill="1" applyBorder="1"/>
    <xf numFmtId="0" fontId="4" fillId="2" borderId="1" xfId="1" applyFont="1" applyFill="1" applyBorder="1" applyAlignment="1">
      <alignment horizontal="center"/>
    </xf>
    <xf numFmtId="0" fontId="4" fillId="2" borderId="2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4" fillId="5" borderId="3" xfId="1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8" fillId="6" borderId="30" xfId="0" applyFont="1" applyFill="1" applyBorder="1" applyAlignment="1">
      <alignment horizontal="center"/>
    </xf>
    <xf numFmtId="0" fontId="8" fillId="6" borderId="31" xfId="0" applyFont="1" applyFill="1" applyBorder="1" applyAlignment="1">
      <alignment horizontal="center"/>
    </xf>
    <xf numFmtId="0" fontId="8" fillId="6" borderId="32" xfId="0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2" fillId="2" borderId="32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2" fillId="2" borderId="3" xfId="2" applyFon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2" fillId="2" borderId="2" xfId="2" applyFont="1" applyFill="1" applyBorder="1" applyAlignment="1">
      <alignment horizontal="center"/>
    </xf>
    <xf numFmtId="0" fontId="2" fillId="4" borderId="3" xfId="2" applyFont="1" applyFill="1" applyBorder="1" applyAlignment="1">
      <alignment horizontal="center"/>
    </xf>
    <xf numFmtId="0" fontId="2" fillId="2" borderId="4" xfId="2" applyFont="1" applyFill="1" applyBorder="1" applyAlignment="1">
      <alignment horizontal="center"/>
    </xf>
    <xf numFmtId="0" fontId="2" fillId="2" borderId="5" xfId="2" applyFont="1" applyFill="1" applyBorder="1" applyAlignment="1">
      <alignment horizontal="center"/>
    </xf>
    <xf numFmtId="0" fontId="2" fillId="2" borderId="6" xfId="2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10" fillId="5" borderId="7" xfId="0" applyFont="1" applyFill="1" applyBorder="1" applyAlignment="1">
      <alignment horizontal="center"/>
    </xf>
    <xf numFmtId="0" fontId="10" fillId="5" borderId="2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2" xfId="0" applyFill="1" applyBorder="1" applyAlignment="1">
      <alignment horizontal="center"/>
    </xf>
  </cellXfs>
  <cellStyles count="5">
    <cellStyle name="Comma 2" xfId="4" xr:uid="{31D94B66-986C-489B-974A-87394FC72308}"/>
    <cellStyle name="Normal" xfId="0" builtinId="0"/>
    <cellStyle name="Normal 2" xfId="1" xr:uid="{FF9D94F6-BBCF-467C-AC4D-C5681270E88C}"/>
    <cellStyle name="Normal 2 2" xfId="2" xr:uid="{3D9843B6-F834-40BC-B653-D200EF7F65DA}"/>
    <cellStyle name="Percent" xfId="3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701923480157115E-2"/>
          <c:y val="2.575292121677298E-2"/>
          <c:w val="0.87985216566252422"/>
          <c:h val="0.93265839165937592"/>
        </c:manualLayout>
      </c:layout>
      <c:scatterChart>
        <c:scatterStyle val="smoothMarker"/>
        <c:varyColors val="0"/>
        <c:ser>
          <c:idx val="0"/>
          <c:order val="0"/>
          <c:tx>
            <c:v>u= 0.1</c:v>
          </c:tx>
          <c:spPr>
            <a:ln w="127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'E vs K'!$E$4:$E$11</c:f>
              <c:numCache>
                <c:formatCode>General</c:formatCode>
                <c:ptCount val="8"/>
                <c:pt idx="0">
                  <c:v>10</c:v>
                </c:pt>
                <c:pt idx="1">
                  <c:v>40</c:v>
                </c:pt>
                <c:pt idx="2">
                  <c:v>100</c:v>
                </c:pt>
                <c:pt idx="3">
                  <c:v>200</c:v>
                </c:pt>
                <c:pt idx="4">
                  <c:v>300</c:v>
                </c:pt>
                <c:pt idx="5">
                  <c:v>500</c:v>
                </c:pt>
                <c:pt idx="6">
                  <c:v>700</c:v>
                </c:pt>
                <c:pt idx="7">
                  <c:v>1000</c:v>
                </c:pt>
              </c:numCache>
            </c:numRef>
          </c:xVal>
          <c:yVal>
            <c:numRef>
              <c:f>'E vs K'!$F$4:$F$11</c:f>
              <c:numCache>
                <c:formatCode>General</c:formatCode>
                <c:ptCount val="8"/>
                <c:pt idx="0">
                  <c:v>1.4007381733822328</c:v>
                </c:pt>
                <c:pt idx="1">
                  <c:v>1.2140668286409155</c:v>
                </c:pt>
                <c:pt idx="2">
                  <c:v>1.1177048296059127</c:v>
                </c:pt>
                <c:pt idx="3">
                  <c:v>1.0909213561826436</c:v>
                </c:pt>
                <c:pt idx="4">
                  <c:v>1.08058437749855</c:v>
                </c:pt>
                <c:pt idx="5">
                  <c:v>1.0723113034395499</c:v>
                </c:pt>
                <c:pt idx="6">
                  <c:v>1.0694334868948585</c:v>
                </c:pt>
                <c:pt idx="7">
                  <c:v>1.0629208338167233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88-4010-9AB3-58DAEA239B95}"/>
            </c:ext>
          </c:extLst>
        </c:ser>
        <c:ser>
          <c:idx val="1"/>
          <c:order val="1"/>
          <c:tx>
            <c:v>u= 0.3</c:v>
          </c:tx>
          <c:spPr>
            <a:ln w="127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'E vs K'!$E$15:$E$22</c:f>
              <c:numCache>
                <c:formatCode>General</c:formatCode>
                <c:ptCount val="8"/>
                <c:pt idx="0">
                  <c:v>10</c:v>
                </c:pt>
                <c:pt idx="1">
                  <c:v>40</c:v>
                </c:pt>
                <c:pt idx="2">
                  <c:v>100</c:v>
                </c:pt>
                <c:pt idx="3">
                  <c:v>200</c:v>
                </c:pt>
                <c:pt idx="4">
                  <c:v>300</c:v>
                </c:pt>
                <c:pt idx="5">
                  <c:v>500</c:v>
                </c:pt>
                <c:pt idx="6">
                  <c:v>700</c:v>
                </c:pt>
                <c:pt idx="7">
                  <c:v>1000</c:v>
                </c:pt>
              </c:numCache>
            </c:numRef>
          </c:xVal>
          <c:yVal>
            <c:numRef>
              <c:f>'E vs K'!$F$15:$F$22</c:f>
              <c:numCache>
                <c:formatCode>General</c:formatCode>
                <c:ptCount val="8"/>
                <c:pt idx="0">
                  <c:v>1.3259736795022041</c:v>
                </c:pt>
                <c:pt idx="1">
                  <c:v>1.1531017802399695</c:v>
                </c:pt>
                <c:pt idx="2">
                  <c:v>1.0821813204036701</c:v>
                </c:pt>
                <c:pt idx="3">
                  <c:v>1.05394888195359</c:v>
                </c:pt>
                <c:pt idx="4">
                  <c:v>1.0434829598242401</c:v>
                </c:pt>
                <c:pt idx="5">
                  <c:v>1.0350255733857601</c:v>
                </c:pt>
                <c:pt idx="6">
                  <c:v>1.0306193761935976</c:v>
                </c:pt>
                <c:pt idx="7">
                  <c:v>1.0245285302824279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988-4010-9AB3-58DAEA239B95}"/>
            </c:ext>
          </c:extLst>
        </c:ser>
        <c:ser>
          <c:idx val="2"/>
          <c:order val="2"/>
          <c:tx>
            <c:v>u= 0.495</c:v>
          </c:tx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'E vs K'!$E$26:$E$33</c:f>
              <c:numCache>
                <c:formatCode>General</c:formatCode>
                <c:ptCount val="8"/>
                <c:pt idx="0">
                  <c:v>10</c:v>
                </c:pt>
                <c:pt idx="1">
                  <c:v>40</c:v>
                </c:pt>
                <c:pt idx="2">
                  <c:v>100</c:v>
                </c:pt>
                <c:pt idx="3">
                  <c:v>200</c:v>
                </c:pt>
                <c:pt idx="4">
                  <c:v>300</c:v>
                </c:pt>
                <c:pt idx="5">
                  <c:v>500</c:v>
                </c:pt>
                <c:pt idx="6">
                  <c:v>700</c:v>
                </c:pt>
                <c:pt idx="7">
                  <c:v>1000</c:v>
                </c:pt>
              </c:numCache>
            </c:numRef>
          </c:xVal>
          <c:yVal>
            <c:numRef>
              <c:f>'E vs K'!$F$26:$F$33</c:f>
              <c:numCache>
                <c:formatCode>General</c:formatCode>
                <c:ptCount val="8"/>
                <c:pt idx="0">
                  <c:v>1.2535678601649396</c:v>
                </c:pt>
                <c:pt idx="1">
                  <c:v>1.0971579631994441</c:v>
                </c:pt>
                <c:pt idx="2">
                  <c:v>1.0400670315095699</c:v>
                </c:pt>
                <c:pt idx="3">
                  <c:v>1.0169791360217704</c:v>
                </c:pt>
                <c:pt idx="4">
                  <c:v>1.00942182278415</c:v>
                </c:pt>
                <c:pt idx="5">
                  <c:v>0.99776030496475798</c:v>
                </c:pt>
                <c:pt idx="6">
                  <c:v>0.98765618756805007</c:v>
                </c:pt>
                <c:pt idx="7">
                  <c:v>0.97950536977613056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988-4010-9AB3-58DAEA239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185392"/>
        <c:axId val="257187664"/>
      </c:scatterChart>
      <c:valAx>
        <c:axId val="257185392"/>
        <c:scaling>
          <c:orientation val="minMax"/>
          <c:max val="11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MX" sz="10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 (MPa)</a:t>
                </a:r>
              </a:p>
            </c:rich>
          </c:tx>
          <c:layout>
            <c:manualLayout>
              <c:xMode val="edge"/>
              <c:yMode val="edge"/>
              <c:x val="0.77112213966211951"/>
              <c:y val="0.801778785803948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57187664"/>
        <c:crosses val="autoZero"/>
        <c:crossBetween val="midCat"/>
        <c:majorUnit val="200"/>
      </c:valAx>
      <c:valAx>
        <c:axId val="257187664"/>
        <c:scaling>
          <c:orientation val="minMax"/>
          <c:min val="0.9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MX" sz="10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k</a:t>
                </a:r>
                <a:endParaRPr lang="es-MX" sz="1000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1189675674343524"/>
              <c:y val="4.530744798204572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MX"/>
            </a:p>
          </c:txPr>
        </c:title>
        <c:numFmt formatCode="0.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57185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9609522712437133"/>
          <c:y val="0.12341928321725978"/>
          <c:w val="0.21772037547003645"/>
          <c:h val="0.208814496280756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701923480157115E-2"/>
          <c:y val="2.575292121677298E-2"/>
          <c:w val="0.87985216566252422"/>
          <c:h val="0.93265839165937592"/>
        </c:manualLayout>
      </c:layout>
      <c:scatterChart>
        <c:scatterStyle val="smoothMarker"/>
        <c:varyColors val="0"/>
        <c:ser>
          <c:idx val="0"/>
          <c:order val="0"/>
          <c:tx>
            <c:v>u= 0.1</c:v>
          </c:tx>
          <c:spPr>
            <a:ln w="127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'E vs K'!$E$4:$E$11</c:f>
              <c:numCache>
                <c:formatCode>General</c:formatCode>
                <c:ptCount val="8"/>
                <c:pt idx="0">
                  <c:v>10</c:v>
                </c:pt>
                <c:pt idx="1">
                  <c:v>40</c:v>
                </c:pt>
                <c:pt idx="2">
                  <c:v>100</c:v>
                </c:pt>
                <c:pt idx="3">
                  <c:v>200</c:v>
                </c:pt>
                <c:pt idx="4">
                  <c:v>300</c:v>
                </c:pt>
                <c:pt idx="5">
                  <c:v>500</c:v>
                </c:pt>
                <c:pt idx="6">
                  <c:v>700</c:v>
                </c:pt>
                <c:pt idx="7">
                  <c:v>1000</c:v>
                </c:pt>
              </c:numCache>
            </c:numRef>
          </c:xVal>
          <c:yVal>
            <c:numRef>
              <c:f>'E vs K'!$F$4:$F$11</c:f>
              <c:numCache>
                <c:formatCode>General</c:formatCode>
                <c:ptCount val="8"/>
                <c:pt idx="0">
                  <c:v>1.4007381733822328</c:v>
                </c:pt>
                <c:pt idx="1">
                  <c:v>1.2140668286409155</c:v>
                </c:pt>
                <c:pt idx="2">
                  <c:v>1.1177048296059127</c:v>
                </c:pt>
                <c:pt idx="3">
                  <c:v>1.0909213561826436</c:v>
                </c:pt>
                <c:pt idx="4">
                  <c:v>1.08058437749855</c:v>
                </c:pt>
                <c:pt idx="5">
                  <c:v>1.0723113034395499</c:v>
                </c:pt>
                <c:pt idx="6">
                  <c:v>1.0694334868948585</c:v>
                </c:pt>
                <c:pt idx="7">
                  <c:v>1.0629208338167233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DA-4CE6-9CE6-4E4AF1AB3781}"/>
            </c:ext>
          </c:extLst>
        </c:ser>
        <c:ser>
          <c:idx val="1"/>
          <c:order val="1"/>
          <c:tx>
            <c:v>u= 0.3</c:v>
          </c:tx>
          <c:spPr>
            <a:ln w="127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'E vs K'!$E$15:$E$22</c:f>
              <c:numCache>
                <c:formatCode>General</c:formatCode>
                <c:ptCount val="8"/>
                <c:pt idx="0">
                  <c:v>10</c:v>
                </c:pt>
                <c:pt idx="1">
                  <c:v>40</c:v>
                </c:pt>
                <c:pt idx="2">
                  <c:v>100</c:v>
                </c:pt>
                <c:pt idx="3">
                  <c:v>200</c:v>
                </c:pt>
                <c:pt idx="4">
                  <c:v>300</c:v>
                </c:pt>
                <c:pt idx="5">
                  <c:v>500</c:v>
                </c:pt>
                <c:pt idx="6">
                  <c:v>700</c:v>
                </c:pt>
                <c:pt idx="7">
                  <c:v>1000</c:v>
                </c:pt>
              </c:numCache>
            </c:numRef>
          </c:xVal>
          <c:yVal>
            <c:numRef>
              <c:f>'E vs K'!$F$15:$F$22</c:f>
              <c:numCache>
                <c:formatCode>General</c:formatCode>
                <c:ptCount val="8"/>
                <c:pt idx="0">
                  <c:v>1.3259736795022041</c:v>
                </c:pt>
                <c:pt idx="1">
                  <c:v>1.1531017802399695</c:v>
                </c:pt>
                <c:pt idx="2">
                  <c:v>1.0821813204036701</c:v>
                </c:pt>
                <c:pt idx="3">
                  <c:v>1.05394888195359</c:v>
                </c:pt>
                <c:pt idx="4">
                  <c:v>1.0434829598242401</c:v>
                </c:pt>
                <c:pt idx="5">
                  <c:v>1.0350255733857601</c:v>
                </c:pt>
                <c:pt idx="6">
                  <c:v>1.0306193761935976</c:v>
                </c:pt>
                <c:pt idx="7">
                  <c:v>1.0245285302824279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4DA-4CE6-9CE6-4E4AF1AB3781}"/>
            </c:ext>
          </c:extLst>
        </c:ser>
        <c:ser>
          <c:idx val="2"/>
          <c:order val="2"/>
          <c:tx>
            <c:v>u= 0.495</c:v>
          </c:tx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'E vs K'!$E$26:$E$33</c:f>
              <c:numCache>
                <c:formatCode>General</c:formatCode>
                <c:ptCount val="8"/>
                <c:pt idx="0">
                  <c:v>10</c:v>
                </c:pt>
                <c:pt idx="1">
                  <c:v>40</c:v>
                </c:pt>
                <c:pt idx="2">
                  <c:v>100</c:v>
                </c:pt>
                <c:pt idx="3">
                  <c:v>200</c:v>
                </c:pt>
                <c:pt idx="4">
                  <c:v>300</c:v>
                </c:pt>
                <c:pt idx="5">
                  <c:v>500</c:v>
                </c:pt>
                <c:pt idx="6">
                  <c:v>700</c:v>
                </c:pt>
                <c:pt idx="7">
                  <c:v>1000</c:v>
                </c:pt>
              </c:numCache>
            </c:numRef>
          </c:xVal>
          <c:yVal>
            <c:numRef>
              <c:f>'E vs K'!$F$26:$F$33</c:f>
              <c:numCache>
                <c:formatCode>General</c:formatCode>
                <c:ptCount val="8"/>
                <c:pt idx="0">
                  <c:v>1.2535678601649396</c:v>
                </c:pt>
                <c:pt idx="1">
                  <c:v>1.0971579631994441</c:v>
                </c:pt>
                <c:pt idx="2">
                  <c:v>1.0400670315095699</c:v>
                </c:pt>
                <c:pt idx="3">
                  <c:v>1.0169791360217704</c:v>
                </c:pt>
                <c:pt idx="4">
                  <c:v>1.00942182278415</c:v>
                </c:pt>
                <c:pt idx="5">
                  <c:v>0.99776030496475798</c:v>
                </c:pt>
                <c:pt idx="6">
                  <c:v>0.98765618756805007</c:v>
                </c:pt>
                <c:pt idx="7">
                  <c:v>0.97950536977613056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4DA-4CE6-9CE6-4E4AF1AB3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185392"/>
        <c:axId val="257187664"/>
      </c:scatterChart>
      <c:valAx>
        <c:axId val="257185392"/>
        <c:scaling>
          <c:logBase val="10"/>
          <c:orientation val="minMax"/>
          <c:max val="1500"/>
          <c:min val="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MX" sz="10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 (MPa)</a:t>
                </a:r>
              </a:p>
            </c:rich>
          </c:tx>
          <c:layout>
            <c:manualLayout>
              <c:xMode val="edge"/>
              <c:yMode val="edge"/>
              <c:x val="0.77112213966211951"/>
              <c:y val="0.801778785803948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57187664"/>
        <c:crosses val="autoZero"/>
        <c:crossBetween val="midCat"/>
      </c:valAx>
      <c:valAx>
        <c:axId val="257187664"/>
        <c:scaling>
          <c:orientation val="minMax"/>
          <c:min val="0.9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MX" sz="10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k</a:t>
                </a:r>
                <a:endParaRPr lang="es-MX" sz="1000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1189675674343524"/>
              <c:y val="4.530744798204572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MX"/>
            </a:p>
          </c:txPr>
        </c:title>
        <c:numFmt formatCode="0.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57185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9609522712437133"/>
          <c:y val="0.12341928321725978"/>
          <c:w val="0.21772037547003645"/>
          <c:h val="0.208814496280756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'ConPlaca#1'!$AA$4:$AA$234</c:f>
              <c:numCache>
                <c:formatCode>0.00000</c:formatCode>
                <c:ptCount val="231"/>
                <c:pt idx="0">
                  <c:v>0</c:v>
                </c:pt>
                <c:pt idx="1">
                  <c:v>1.000009999785334E-5</c:v>
                </c:pt>
                <c:pt idx="2">
                  <c:v>2.000019999570668E-5</c:v>
                </c:pt>
                <c:pt idx="3">
                  <c:v>3.0000300000665447E-5</c:v>
                </c:pt>
                <c:pt idx="4">
                  <c:v>4.0000399998518787E-5</c:v>
                </c:pt>
                <c:pt idx="5">
                  <c:v>5.0000499996372127E-5</c:v>
                </c:pt>
                <c:pt idx="6">
                  <c:v>6.0000599994225468E-5</c:v>
                </c:pt>
                <c:pt idx="7">
                  <c:v>7.0000699999184235E-5</c:v>
                </c:pt>
                <c:pt idx="8">
                  <c:v>8.0000799997037575E-5</c:v>
                </c:pt>
                <c:pt idx="9">
                  <c:v>9.0000899994890915E-5</c:v>
                </c:pt>
                <c:pt idx="10">
                  <c:v>1.0000099999984968E-4</c:v>
                </c:pt>
                <c:pt idx="11">
                  <c:v>1.1000109999770302E-4</c:v>
                </c:pt>
                <c:pt idx="12">
                  <c:v>1.2000119999555636E-4</c:v>
                </c:pt>
                <c:pt idx="13">
                  <c:v>1.3000130000051513E-4</c:v>
                </c:pt>
                <c:pt idx="14">
                  <c:v>1.4000139999836847E-4</c:v>
                </c:pt>
                <c:pt idx="15">
                  <c:v>1.5000149999622181E-4</c:v>
                </c:pt>
                <c:pt idx="16">
                  <c:v>1.6000159999407515E-4</c:v>
                </c:pt>
                <c:pt idx="17">
                  <c:v>1.7000169999903392E-4</c:v>
                </c:pt>
                <c:pt idx="18">
                  <c:v>1.8000179999688726E-4</c:v>
                </c:pt>
                <c:pt idx="19">
                  <c:v>1.900018999947406E-4</c:v>
                </c:pt>
                <c:pt idx="20">
                  <c:v>2.0000199999969936E-4</c:v>
                </c:pt>
                <c:pt idx="21">
                  <c:v>2.100020999975527E-4</c:v>
                </c:pt>
                <c:pt idx="22">
                  <c:v>2.2000219999540604E-4</c:v>
                </c:pt>
                <c:pt idx="23">
                  <c:v>2.3000230000036481E-4</c:v>
                </c:pt>
                <c:pt idx="24">
                  <c:v>2.4000239999821815E-4</c:v>
                </c:pt>
                <c:pt idx="25">
                  <c:v>2.5000249999607149E-4</c:v>
                </c:pt>
                <c:pt idx="26">
                  <c:v>2.6000259999392483E-4</c:v>
                </c:pt>
                <c:pt idx="27">
                  <c:v>2.700026999988836E-4</c:v>
                </c:pt>
                <c:pt idx="28">
                  <c:v>2.8000279999673694E-4</c:v>
                </c:pt>
                <c:pt idx="29">
                  <c:v>2.9000289999459028E-4</c:v>
                </c:pt>
                <c:pt idx="30">
                  <c:v>3.0000299999954905E-4</c:v>
                </c:pt>
                <c:pt idx="31">
                  <c:v>3.1000309999740239E-4</c:v>
                </c:pt>
                <c:pt idx="32">
                  <c:v>3.2000319999525573E-4</c:v>
                </c:pt>
                <c:pt idx="33">
                  <c:v>3.3000330000021449E-4</c:v>
                </c:pt>
                <c:pt idx="34">
                  <c:v>3.4000339999806783E-4</c:v>
                </c:pt>
                <c:pt idx="35">
                  <c:v>3.5000349999592117E-4</c:v>
                </c:pt>
                <c:pt idx="36">
                  <c:v>3.6000359999377451E-4</c:v>
                </c:pt>
                <c:pt idx="37">
                  <c:v>3.7000369999873328E-4</c:v>
                </c:pt>
                <c:pt idx="38">
                  <c:v>3.8000379999658662E-4</c:v>
                </c:pt>
                <c:pt idx="39">
                  <c:v>3.9000389999443996E-4</c:v>
                </c:pt>
                <c:pt idx="40">
                  <c:v>4.0000399999939873E-4</c:v>
                </c:pt>
                <c:pt idx="41">
                  <c:v>4.1000409999725207E-4</c:v>
                </c:pt>
                <c:pt idx="42">
                  <c:v>4.2000419999510541E-4</c:v>
                </c:pt>
                <c:pt idx="43">
                  <c:v>4.3000430000006418E-4</c:v>
                </c:pt>
                <c:pt idx="44">
                  <c:v>4.4000439999791752E-4</c:v>
                </c:pt>
                <c:pt idx="45">
                  <c:v>4.5000449999577086E-4</c:v>
                </c:pt>
                <c:pt idx="46">
                  <c:v>4.6000460000072962E-4</c:v>
                </c:pt>
                <c:pt idx="47">
                  <c:v>4.7000469999858296E-4</c:v>
                </c:pt>
                <c:pt idx="48">
                  <c:v>4.800047999964363E-4</c:v>
                </c:pt>
                <c:pt idx="49">
                  <c:v>4.9000489999428964E-4</c:v>
                </c:pt>
                <c:pt idx="50">
                  <c:v>5.0000499999924841E-4</c:v>
                </c:pt>
                <c:pt idx="51">
                  <c:v>5.1000509999710175E-4</c:v>
                </c:pt>
                <c:pt idx="52">
                  <c:v>5.2000519999495509E-4</c:v>
                </c:pt>
                <c:pt idx="53">
                  <c:v>5.3000529999991386E-4</c:v>
                </c:pt>
                <c:pt idx="54">
                  <c:v>5.400053999977672E-4</c:v>
                </c:pt>
                <c:pt idx="55">
                  <c:v>5.5000549999562054E-4</c:v>
                </c:pt>
                <c:pt idx="56">
                  <c:v>5.6000560000057931E-4</c:v>
                </c:pt>
                <c:pt idx="57">
                  <c:v>5.7000569999843265E-4</c:v>
                </c:pt>
                <c:pt idx="58">
                  <c:v>5.8000579999628599E-4</c:v>
                </c:pt>
                <c:pt idx="59">
                  <c:v>5.9000589999413933E-4</c:v>
                </c:pt>
                <c:pt idx="60">
                  <c:v>6.0000599999909809E-4</c:v>
                </c:pt>
                <c:pt idx="61">
                  <c:v>6.1000609999695143E-4</c:v>
                </c:pt>
                <c:pt idx="62">
                  <c:v>6.2000619999480477E-4</c:v>
                </c:pt>
                <c:pt idx="63">
                  <c:v>6.3000629999976354E-4</c:v>
                </c:pt>
                <c:pt idx="64">
                  <c:v>6.4000639999761688E-4</c:v>
                </c:pt>
                <c:pt idx="65">
                  <c:v>6.5000649999547022E-4</c:v>
                </c:pt>
                <c:pt idx="66">
                  <c:v>6.6000660000042899E-4</c:v>
                </c:pt>
                <c:pt idx="67">
                  <c:v>6.7000669999828233E-4</c:v>
                </c:pt>
                <c:pt idx="68">
                  <c:v>6.8000679999613567E-4</c:v>
                </c:pt>
                <c:pt idx="69">
                  <c:v>6.9000689999398901E-4</c:v>
                </c:pt>
                <c:pt idx="70">
                  <c:v>7.0000699999894778E-4</c:v>
                </c:pt>
                <c:pt idx="71">
                  <c:v>7.1000709999680112E-4</c:v>
                </c:pt>
                <c:pt idx="72">
                  <c:v>7.2000719999465446E-4</c:v>
                </c:pt>
                <c:pt idx="73">
                  <c:v>7.3000729999961322E-4</c:v>
                </c:pt>
                <c:pt idx="74">
                  <c:v>7.4000739999746656E-4</c:v>
                </c:pt>
                <c:pt idx="75">
                  <c:v>7.500074999953199E-4</c:v>
                </c:pt>
                <c:pt idx="76">
                  <c:v>7.6000760000027867E-4</c:v>
                </c:pt>
                <c:pt idx="77">
                  <c:v>7.7000769999813201E-4</c:v>
                </c:pt>
                <c:pt idx="78">
                  <c:v>7.8000779999598535E-4</c:v>
                </c:pt>
                <c:pt idx="79">
                  <c:v>7.9000789999383869E-4</c:v>
                </c:pt>
                <c:pt idx="80">
                  <c:v>8.0000799999879746E-4</c:v>
                </c:pt>
                <c:pt idx="81">
                  <c:v>8.100080999966508E-4</c:v>
                </c:pt>
                <c:pt idx="82">
                  <c:v>8.2000820009398012E-4</c:v>
                </c:pt>
                <c:pt idx="83">
                  <c:v>8.3000829999946291E-4</c:v>
                </c:pt>
                <c:pt idx="84">
                  <c:v>8.4000840009679223E-4</c:v>
                </c:pt>
                <c:pt idx="85">
                  <c:v>8.5000850009464557E-4</c:v>
                </c:pt>
                <c:pt idx="86">
                  <c:v>8.6000860000012835E-4</c:v>
                </c:pt>
                <c:pt idx="87">
                  <c:v>8.7000870009745768E-4</c:v>
                </c:pt>
                <c:pt idx="88">
                  <c:v>8.8000880009531102E-4</c:v>
                </c:pt>
                <c:pt idx="89">
                  <c:v>8.9000890010026978E-4</c:v>
                </c:pt>
                <c:pt idx="90">
                  <c:v>9.0000900009812312E-4</c:v>
                </c:pt>
                <c:pt idx="91">
                  <c:v>9.1000910009597646E-4</c:v>
                </c:pt>
                <c:pt idx="92">
                  <c:v>9.200092000938298E-4</c:v>
                </c:pt>
                <c:pt idx="93">
                  <c:v>9.3000930009878857E-4</c:v>
                </c:pt>
                <c:pt idx="94">
                  <c:v>9.4000940009664191E-4</c:v>
                </c:pt>
                <c:pt idx="95">
                  <c:v>9.5000950009449525E-4</c:v>
                </c:pt>
                <c:pt idx="96">
                  <c:v>9.6000960009945402E-4</c:v>
                </c:pt>
                <c:pt idx="97">
                  <c:v>9.7000970009730736E-4</c:v>
                </c:pt>
                <c:pt idx="98">
                  <c:v>9.800098000951607E-4</c:v>
                </c:pt>
                <c:pt idx="99">
                  <c:v>9.9000990010011947E-4</c:v>
                </c:pt>
                <c:pt idx="100">
                  <c:v>1.0000100000979728E-3</c:v>
                </c:pt>
                <c:pt idx="101">
                  <c:v>1.0100101000958261E-3</c:v>
                </c:pt>
                <c:pt idx="102">
                  <c:v>1.0200102001007849E-3</c:v>
                </c:pt>
                <c:pt idx="103">
                  <c:v>1.0300103000986383E-3</c:v>
                </c:pt>
                <c:pt idx="104">
                  <c:v>1.0400104000964916E-3</c:v>
                </c:pt>
                <c:pt idx="105">
                  <c:v>1.0500105000943449E-3</c:v>
                </c:pt>
                <c:pt idx="106">
                  <c:v>1.0600106000993037E-3</c:v>
                </c:pt>
                <c:pt idx="107">
                  <c:v>1.070010700097157E-3</c:v>
                </c:pt>
                <c:pt idx="108">
                  <c:v>1.0800108000950104E-3</c:v>
                </c:pt>
                <c:pt idx="109">
                  <c:v>1.0900109000999691E-3</c:v>
                </c:pt>
                <c:pt idx="110">
                  <c:v>1.1000110000978225E-3</c:v>
                </c:pt>
                <c:pt idx="111">
                  <c:v>1.1100111000956758E-3</c:v>
                </c:pt>
                <c:pt idx="112">
                  <c:v>1.1200112001006346E-3</c:v>
                </c:pt>
                <c:pt idx="113">
                  <c:v>1.1300113000984879E-3</c:v>
                </c:pt>
                <c:pt idx="114">
                  <c:v>1.1400114000963413E-3</c:v>
                </c:pt>
                <c:pt idx="115">
                  <c:v>1.1500115000941946E-3</c:v>
                </c:pt>
                <c:pt idx="116">
                  <c:v>1.1600116000991534E-3</c:v>
                </c:pt>
                <c:pt idx="117">
                  <c:v>1.1700117000970067E-3</c:v>
                </c:pt>
                <c:pt idx="118">
                  <c:v>1.1800118000948601E-3</c:v>
                </c:pt>
                <c:pt idx="119">
                  <c:v>1.1900119000998188E-3</c:v>
                </c:pt>
                <c:pt idx="120">
                  <c:v>1.2000120000976722E-3</c:v>
                </c:pt>
                <c:pt idx="121">
                  <c:v>1.2100121000955255E-3</c:v>
                </c:pt>
                <c:pt idx="122">
                  <c:v>1.2200122001004843E-3</c:v>
                </c:pt>
                <c:pt idx="123">
                  <c:v>1.2300123000983376E-3</c:v>
                </c:pt>
                <c:pt idx="124">
                  <c:v>1.240012400096191E-3</c:v>
                </c:pt>
                <c:pt idx="125">
                  <c:v>1.2500125000940443E-3</c:v>
                </c:pt>
                <c:pt idx="126">
                  <c:v>1.2600126000990031E-3</c:v>
                </c:pt>
                <c:pt idx="127">
                  <c:v>1.2700127000968564E-3</c:v>
                </c:pt>
                <c:pt idx="128">
                  <c:v>1.2800128000947097E-3</c:v>
                </c:pt>
                <c:pt idx="129">
                  <c:v>1.2900129000996685E-3</c:v>
                </c:pt>
                <c:pt idx="130">
                  <c:v>1.3000130000975219E-3</c:v>
                </c:pt>
                <c:pt idx="131">
                  <c:v>1.3100131000953752E-3</c:v>
                </c:pt>
                <c:pt idx="132">
                  <c:v>1.320013200100334E-3</c:v>
                </c:pt>
                <c:pt idx="133">
                  <c:v>1.3300133000981873E-3</c:v>
                </c:pt>
                <c:pt idx="134">
                  <c:v>1.3400134000960406E-3</c:v>
                </c:pt>
                <c:pt idx="135">
                  <c:v>1.350013500093894E-3</c:v>
                </c:pt>
                <c:pt idx="136">
                  <c:v>1.3600136000988527E-3</c:v>
                </c:pt>
                <c:pt idx="137">
                  <c:v>1.3700137000967061E-3</c:v>
                </c:pt>
                <c:pt idx="138">
                  <c:v>1.3800138000945594E-3</c:v>
                </c:pt>
                <c:pt idx="139">
                  <c:v>1.3900139000995182E-3</c:v>
                </c:pt>
                <c:pt idx="140">
                  <c:v>1.4000140000973715E-3</c:v>
                </c:pt>
                <c:pt idx="141">
                  <c:v>1.4100141000952249E-3</c:v>
                </c:pt>
                <c:pt idx="142">
                  <c:v>1.4200142001001836E-3</c:v>
                </c:pt>
                <c:pt idx="143">
                  <c:v>1.430014300098037E-3</c:v>
                </c:pt>
                <c:pt idx="144">
                  <c:v>1.4400144000958903E-3</c:v>
                </c:pt>
                <c:pt idx="145">
                  <c:v>1.4500145001008491E-3</c:v>
                </c:pt>
                <c:pt idx="146">
                  <c:v>1.4600146000987024E-3</c:v>
                </c:pt>
                <c:pt idx="147">
                  <c:v>1.4700147000965558E-3</c:v>
                </c:pt>
                <c:pt idx="148">
                  <c:v>1.4800148000944091E-3</c:v>
                </c:pt>
                <c:pt idx="149">
                  <c:v>1.4900149000993679E-3</c:v>
                </c:pt>
                <c:pt idx="150">
                  <c:v>1.5000150000972212E-3</c:v>
                </c:pt>
                <c:pt idx="151">
                  <c:v>1.5100151000950746E-3</c:v>
                </c:pt>
                <c:pt idx="152">
                  <c:v>1.5200152001000333E-3</c:v>
                </c:pt>
                <c:pt idx="153">
                  <c:v>1.5300153000978867E-3</c:v>
                </c:pt>
                <c:pt idx="154">
                  <c:v>1.54001540009574E-3</c:v>
                </c:pt>
                <c:pt idx="155">
                  <c:v>1.5500155001006988E-3</c:v>
                </c:pt>
                <c:pt idx="156">
                  <c:v>1.5600156000985521E-3</c:v>
                </c:pt>
                <c:pt idx="157">
                  <c:v>1.5700157000964055E-3</c:v>
                </c:pt>
                <c:pt idx="158">
                  <c:v>1.5800158000942588E-3</c:v>
                </c:pt>
                <c:pt idx="159">
                  <c:v>1.5900159000992176E-3</c:v>
                </c:pt>
                <c:pt idx="160">
                  <c:v>1.6000160000970709E-3</c:v>
                </c:pt>
                <c:pt idx="161">
                  <c:v>1.6100161000949242E-3</c:v>
                </c:pt>
                <c:pt idx="162">
                  <c:v>1.620016200099883E-3</c:v>
                </c:pt>
                <c:pt idx="163">
                  <c:v>1.6300163000977363E-3</c:v>
                </c:pt>
                <c:pt idx="164">
                  <c:v>1.6400164000955897E-3</c:v>
                </c:pt>
                <c:pt idx="165">
                  <c:v>1.6500165001005485E-3</c:v>
                </c:pt>
                <c:pt idx="166">
                  <c:v>1.6600166000984018E-3</c:v>
                </c:pt>
                <c:pt idx="167">
                  <c:v>1.6700167000962551E-3</c:v>
                </c:pt>
                <c:pt idx="168">
                  <c:v>1.6800168000941085E-3</c:v>
                </c:pt>
                <c:pt idx="169">
                  <c:v>1.6900169000990672E-3</c:v>
                </c:pt>
                <c:pt idx="170">
                  <c:v>1.7000170000969206E-3</c:v>
                </c:pt>
                <c:pt idx="171">
                  <c:v>1.7100171000947739E-3</c:v>
                </c:pt>
                <c:pt idx="172">
                  <c:v>1.7200172000997327E-3</c:v>
                </c:pt>
                <c:pt idx="173">
                  <c:v>1.730017300097586E-3</c:v>
                </c:pt>
                <c:pt idx="174">
                  <c:v>1.7400174000954394E-3</c:v>
                </c:pt>
                <c:pt idx="175">
                  <c:v>1.7500175001003981E-3</c:v>
                </c:pt>
                <c:pt idx="176">
                  <c:v>1.7600176000982515E-3</c:v>
                </c:pt>
                <c:pt idx="177">
                  <c:v>1.7700177000961048E-3</c:v>
                </c:pt>
                <c:pt idx="178">
                  <c:v>1.7800178000939582E-3</c:v>
                </c:pt>
                <c:pt idx="179">
                  <c:v>1.7900179000989169E-3</c:v>
                </c:pt>
                <c:pt idx="180">
                  <c:v>1.8000180000967703E-3</c:v>
                </c:pt>
                <c:pt idx="181">
                  <c:v>1.8100181001940996E-3</c:v>
                </c:pt>
                <c:pt idx="182">
                  <c:v>1.8200182000995824E-3</c:v>
                </c:pt>
                <c:pt idx="183">
                  <c:v>1.8300183000974357E-3</c:v>
                </c:pt>
                <c:pt idx="184">
                  <c:v>1.840018400194765E-3</c:v>
                </c:pt>
                <c:pt idx="185">
                  <c:v>1.8500185001002478E-3</c:v>
                </c:pt>
                <c:pt idx="186">
                  <c:v>1.8600186001975771E-3</c:v>
                </c:pt>
                <c:pt idx="187">
                  <c:v>1.8700187001954305E-3</c:v>
                </c:pt>
                <c:pt idx="188">
                  <c:v>1.8800188002003893E-3</c:v>
                </c:pt>
                <c:pt idx="189">
                  <c:v>1.8900189001982426E-3</c:v>
                </c:pt>
                <c:pt idx="190">
                  <c:v>1.9000190001960959E-3</c:v>
                </c:pt>
                <c:pt idx="191">
                  <c:v>1.9100191001939493E-3</c:v>
                </c:pt>
                <c:pt idx="192">
                  <c:v>1.920019200198908E-3</c:v>
                </c:pt>
                <c:pt idx="193">
                  <c:v>1.9300193001967614E-3</c:v>
                </c:pt>
                <c:pt idx="194">
                  <c:v>1.9400194001946147E-3</c:v>
                </c:pt>
                <c:pt idx="195">
                  <c:v>1.9500195001995735E-3</c:v>
                </c:pt>
                <c:pt idx="196">
                  <c:v>1.9600196001974268E-3</c:v>
                </c:pt>
                <c:pt idx="197">
                  <c:v>1.9700197001952802E-3</c:v>
                </c:pt>
                <c:pt idx="198">
                  <c:v>1.9800198002002389E-3</c:v>
                </c:pt>
                <c:pt idx="199">
                  <c:v>1.9900199001980923E-3</c:v>
                </c:pt>
                <c:pt idx="200">
                  <c:v>2.0000200001959456E-3</c:v>
                </c:pt>
                <c:pt idx="201">
                  <c:v>2.010020100193799E-3</c:v>
                </c:pt>
                <c:pt idx="202">
                  <c:v>2.0200202001987577E-3</c:v>
                </c:pt>
                <c:pt idx="203">
                  <c:v>2.0300203001966111E-3</c:v>
                </c:pt>
                <c:pt idx="204">
                  <c:v>2.0400204001944644E-3</c:v>
                </c:pt>
                <c:pt idx="205">
                  <c:v>2.0500205001994232E-3</c:v>
                </c:pt>
                <c:pt idx="206">
                  <c:v>2.0600206001972765E-3</c:v>
                </c:pt>
                <c:pt idx="207">
                  <c:v>2.0700207001951298E-3</c:v>
                </c:pt>
                <c:pt idx="208">
                  <c:v>2.0800208002000886E-3</c:v>
                </c:pt>
                <c:pt idx="209">
                  <c:v>2.090020900197942E-3</c:v>
                </c:pt>
                <c:pt idx="210">
                  <c:v>2.1000210001957953E-3</c:v>
                </c:pt>
                <c:pt idx="211">
                  <c:v>2.1100211002007541E-3</c:v>
                </c:pt>
                <c:pt idx="212">
                  <c:v>2.1200212001986074E-3</c:v>
                </c:pt>
                <c:pt idx="213">
                  <c:v>2.1300213001964607E-3</c:v>
                </c:pt>
                <c:pt idx="214">
                  <c:v>2.1400214001943141E-3</c:v>
                </c:pt>
                <c:pt idx="215">
                  <c:v>2.1500215001992729E-3</c:v>
                </c:pt>
                <c:pt idx="216">
                  <c:v>2.1600216001971262E-3</c:v>
                </c:pt>
                <c:pt idx="217">
                  <c:v>2.1700217001949795E-3</c:v>
                </c:pt>
                <c:pt idx="218">
                  <c:v>2.1800218001999383E-3</c:v>
                </c:pt>
                <c:pt idx="219">
                  <c:v>2.1900219001977916E-3</c:v>
                </c:pt>
                <c:pt idx="220">
                  <c:v>2.200022000195645E-3</c:v>
                </c:pt>
                <c:pt idx="221">
                  <c:v>2.2100221002006037E-3</c:v>
                </c:pt>
                <c:pt idx="222">
                  <c:v>2.2200222001984571E-3</c:v>
                </c:pt>
                <c:pt idx="223">
                  <c:v>2.2300223001963104E-3</c:v>
                </c:pt>
                <c:pt idx="224">
                  <c:v>2.2400224001941638E-3</c:v>
                </c:pt>
                <c:pt idx="225">
                  <c:v>2.2500225001991225E-3</c:v>
                </c:pt>
                <c:pt idx="226">
                  <c:v>2.2600226001969759E-3</c:v>
                </c:pt>
                <c:pt idx="227">
                  <c:v>2.2700227001948292E-3</c:v>
                </c:pt>
                <c:pt idx="228">
                  <c:v>2.280022800199788E-3</c:v>
                </c:pt>
                <c:pt idx="229">
                  <c:v>2.2900229001976413E-3</c:v>
                </c:pt>
                <c:pt idx="230">
                  <c:v>2.3000230001954947E-3</c:v>
                </c:pt>
              </c:numCache>
            </c:numRef>
          </c:xVal>
          <c:yVal>
            <c:numRef>
              <c:f>'ConPlaca#1'!$AC$4:$AC$384</c:f>
              <c:numCache>
                <c:formatCode>General</c:formatCode>
                <c:ptCount val="381"/>
                <c:pt idx="0">
                  <c:v>3.8401400755799227E-3</c:v>
                </c:pt>
                <c:pt idx="1">
                  <c:v>1.6371327456304611E-3</c:v>
                </c:pt>
                <c:pt idx="2">
                  <c:v>1.8374061392622304E-3</c:v>
                </c:pt>
                <c:pt idx="3">
                  <c:v>4.0404134692116917E-3</c:v>
                </c:pt>
                <c:pt idx="4">
                  <c:v>-2.5686085206366922E-3</c:v>
                </c:pt>
                <c:pt idx="5">
                  <c:v>8.6467015227423838E-3</c:v>
                </c:pt>
                <c:pt idx="6">
                  <c:v>4.2406868628434612E-3</c:v>
                </c:pt>
                <c:pt idx="7">
                  <c:v>3.4945596576307796E-5</c:v>
                </c:pt>
                <c:pt idx="8">
                  <c:v>-5.6587458431899972E-4</c:v>
                </c:pt>
                <c:pt idx="9">
                  <c:v>8.3603917110338418E-4</c:v>
                </c:pt>
                <c:pt idx="10">
                  <c:v>1.8374061392622304E-3</c:v>
                </c:pt>
                <c:pt idx="11">
                  <c:v>-2.3683351270049236E-3</c:v>
                </c:pt>
                <c:pt idx="12">
                  <c:v>1.2365859583669226E-3</c:v>
                </c:pt>
                <c:pt idx="13">
                  <c:v>2.2379529265257685E-3</c:v>
                </c:pt>
                <c:pt idx="14">
                  <c:v>2.6384997137893071E-3</c:v>
                </c:pt>
                <c:pt idx="15">
                  <c:v>6.3576577747161513E-4</c:v>
                </c:pt>
                <c:pt idx="16">
                  <c:v>2.6384997137893071E-3</c:v>
                </c:pt>
                <c:pt idx="17">
                  <c:v>-7.6614797795076953E-4</c:v>
                </c:pt>
                <c:pt idx="18">
                  <c:v>2.8387731074210765E-3</c:v>
                </c:pt>
                <c:pt idx="19">
                  <c:v>1.0363125647351536E-3</c:v>
                </c:pt>
                <c:pt idx="20">
                  <c:v>2.0376795328939995E-3</c:v>
                </c:pt>
                <c:pt idx="21">
                  <c:v>3.2393198946846146E-3</c:v>
                </c:pt>
                <c:pt idx="22">
                  <c:v>4.3549238383984581E-4</c:v>
                </c:pt>
                <c:pt idx="23">
                  <c:v>6.8442409800564602E-3</c:v>
                </c:pt>
                <c:pt idx="24">
                  <c:v>3.0390465010528456E-3</c:v>
                </c:pt>
                <c:pt idx="25">
                  <c:v>6.4436941927929221E-3</c:v>
                </c:pt>
                <c:pt idx="26">
                  <c:v>-3.7702488824273078E-3</c:v>
                </c:pt>
                <c:pt idx="27">
                  <c:v>5.8428740118976153E-3</c:v>
                </c:pt>
                <c:pt idx="28">
                  <c:v>1.8374061392622304E-3</c:v>
                </c:pt>
                <c:pt idx="29">
                  <c:v>4.3549238383984581E-4</c:v>
                </c:pt>
                <c:pt idx="30">
                  <c:v>3.4395932883163837E-3</c:v>
                </c:pt>
                <c:pt idx="31">
                  <c:v>2.2379529265257685E-3</c:v>
                </c:pt>
                <c:pt idx="32">
                  <c:v>2.8387731074210765E-3</c:v>
                </c:pt>
                <c:pt idx="33">
                  <c:v>6.3576577747161513E-4</c:v>
                </c:pt>
                <c:pt idx="34">
                  <c:v>3.4945596576307796E-5</c:v>
                </c:pt>
                <c:pt idx="35">
                  <c:v>1.0363125647351536E-3</c:v>
                </c:pt>
                <c:pt idx="36">
                  <c:v>4.8415070437387688E-3</c:v>
                </c:pt>
                <c:pt idx="37">
                  <c:v>6.3576577747161513E-4</c:v>
                </c:pt>
                <c:pt idx="38">
                  <c:v>1.4368593519986919E-3</c:v>
                </c:pt>
                <c:pt idx="39">
                  <c:v>3.0390465010528456E-3</c:v>
                </c:pt>
                <c:pt idx="40">
                  <c:v>1.0363125647351536E-3</c:v>
                </c:pt>
                <c:pt idx="41">
                  <c:v>2.6384997137893071E-3</c:v>
                </c:pt>
                <c:pt idx="42">
                  <c:v>2.438226320157538E-3</c:v>
                </c:pt>
                <c:pt idx="43">
                  <c:v>4.0404134692116917E-3</c:v>
                </c:pt>
                <c:pt idx="44">
                  <c:v>2.0376795328939995E-3</c:v>
                </c:pt>
                <c:pt idx="45">
                  <c:v>6.4436941927929221E-3</c:v>
                </c:pt>
                <c:pt idx="46">
                  <c:v>7.2447877673199991E-3</c:v>
                </c:pt>
                <c:pt idx="47">
                  <c:v>4.3549238383984581E-4</c:v>
                </c:pt>
                <c:pt idx="48">
                  <c:v>-1.166694765214308E-3</c:v>
                </c:pt>
                <c:pt idx="49">
                  <c:v>6.3576577747161513E-4</c:v>
                </c:pt>
                <c:pt idx="50">
                  <c:v>-7.6614797795076953E-4</c:v>
                </c:pt>
                <c:pt idx="51">
                  <c:v>-2.3683351270049236E-3</c:v>
                </c:pt>
                <c:pt idx="52">
                  <c:v>2.2379529265257685E-3</c:v>
                </c:pt>
                <c:pt idx="53">
                  <c:v>9.848341884532999E-3</c:v>
                </c:pt>
                <c:pt idx="54">
                  <c:v>3.5283062875767691E-2</c:v>
                </c:pt>
                <c:pt idx="55">
                  <c:v>9.9570822231565603E-2</c:v>
                </c:pt>
                <c:pt idx="56">
                  <c:v>0.24416821243370301</c:v>
                </c:pt>
                <c:pt idx="57">
                  <c:v>0.48189273067461302</c:v>
                </c:pt>
                <c:pt idx="58">
                  <c:v>0.73944431488506823</c:v>
                </c:pt>
                <c:pt idx="59">
                  <c:v>0.95573958000737891</c:v>
                </c:pt>
                <c:pt idx="60">
                  <c:v>1</c:v>
                </c:pt>
                <c:pt idx="61">
                  <c:v>0.90286740408859201</c:v>
                </c:pt>
                <c:pt idx="62">
                  <c:v>0.73043201217163867</c:v>
                </c:pt>
                <c:pt idx="63">
                  <c:v>0.54377720930682971</c:v>
                </c:pt>
                <c:pt idx="64">
                  <c:v>0.39196997693394864</c:v>
                </c:pt>
                <c:pt idx="65">
                  <c:v>0.29483738102254059</c:v>
                </c:pt>
                <c:pt idx="66">
                  <c:v>0.26019008392424453</c:v>
                </c:pt>
                <c:pt idx="67">
                  <c:v>0.21132337587809283</c:v>
                </c:pt>
                <c:pt idx="68">
                  <c:v>0.16125502747015052</c:v>
                </c:pt>
                <c:pt idx="69">
                  <c:v>0.20651681443093037</c:v>
                </c:pt>
                <c:pt idx="70">
                  <c:v>0.28542453152184744</c:v>
                </c:pt>
                <c:pt idx="71">
                  <c:v>0.22133704555968131</c:v>
                </c:pt>
                <c:pt idx="72">
                  <c:v>0.16285721461920469</c:v>
                </c:pt>
                <c:pt idx="73">
                  <c:v>0.1594525669274646</c:v>
                </c:pt>
                <c:pt idx="74">
                  <c:v>9.5565354358930224E-2</c:v>
                </c:pt>
                <c:pt idx="75">
                  <c:v>3.007595464134169E-2</c:v>
                </c:pt>
                <c:pt idx="76">
                  <c:v>2.6270760162338078E-2</c:v>
                </c:pt>
                <c:pt idx="77">
                  <c:v>1.8059551023435538E-2</c:v>
                </c:pt>
                <c:pt idx="78">
                  <c:v>1.6371327456304611E-3</c:v>
                </c:pt>
                <c:pt idx="79">
                  <c:v>-1.0379270872275692E-2</c:v>
                </c:pt>
                <c:pt idx="80">
                  <c:v>1.8374061392622304E-3</c:v>
                </c:pt>
                <c:pt idx="81">
                  <c:v>8.2461547354788448E-3</c:v>
                </c:pt>
                <c:pt idx="82">
                  <c:v>7.0445143736882305E-3</c:v>
                </c:pt>
                <c:pt idx="83">
                  <c:v>4.4409602564752298E-3</c:v>
                </c:pt>
                <c:pt idx="84">
                  <c:v>1.0363125647351536E-3</c:v>
                </c:pt>
                <c:pt idx="85">
                  <c:v>-1.118036444680277E-2</c:v>
                </c:pt>
                <c:pt idx="86">
                  <c:v>-7.7757167550626923E-3</c:v>
                </c:pt>
                <c:pt idx="87">
                  <c:v>-1.5586379106701692E-2</c:v>
                </c:pt>
                <c:pt idx="88">
                  <c:v>-1.338337177675223E-2</c:v>
                </c:pt>
                <c:pt idx="89">
                  <c:v>-2.2996494671077151E-2</c:v>
                </c:pt>
                <c:pt idx="90">
                  <c:v>-1.3984191957647539E-2</c:v>
                </c:pt>
                <c:pt idx="91">
                  <c:v>-1.8390206617546461E-2</c:v>
                </c:pt>
                <c:pt idx="92">
                  <c:v>-1.0579544265907461E-2</c:v>
                </c:pt>
                <c:pt idx="93">
                  <c:v>-1.9591846979337076E-2</c:v>
                </c:pt>
                <c:pt idx="94">
                  <c:v>-1.4985558925806384E-2</c:v>
                </c:pt>
                <c:pt idx="95">
                  <c:v>-1.5986925893965231E-2</c:v>
                </c:pt>
                <c:pt idx="96">
                  <c:v>-2.0192667160232384E-2</c:v>
                </c:pt>
                <c:pt idx="97">
                  <c:v>-1.578665250033346E-2</c:v>
                </c:pt>
                <c:pt idx="98">
                  <c:v>-2.3196768064708922E-2</c:v>
                </c:pt>
                <c:pt idx="99">
                  <c:v>-2.1794854309286536E-2</c:v>
                </c:pt>
                <c:pt idx="100">
                  <c:v>-2.1194034128391229E-2</c:v>
                </c:pt>
                <c:pt idx="101">
                  <c:v>-2.1194034128391229E-2</c:v>
                </c:pt>
                <c:pt idx="102">
                  <c:v>-1.2181731414961615E-2</c:v>
                </c:pt>
                <c:pt idx="103">
                  <c:v>-1.5986925893965231E-2</c:v>
                </c:pt>
                <c:pt idx="104">
                  <c:v>-1.6988292862124076E-2</c:v>
                </c:pt>
                <c:pt idx="105">
                  <c:v>-1.4585012138542847E-2</c:v>
                </c:pt>
                <c:pt idx="106">
                  <c:v>-1.6988292862124076E-2</c:v>
                </c:pt>
                <c:pt idx="107">
                  <c:v>-1.7589113043019383E-2</c:v>
                </c:pt>
                <c:pt idx="108">
                  <c:v>-1.6988292862124076E-2</c:v>
                </c:pt>
                <c:pt idx="109">
                  <c:v>-1.9792120372968847E-2</c:v>
                </c:pt>
                <c:pt idx="110">
                  <c:v>-1.5986925893965231E-2</c:v>
                </c:pt>
                <c:pt idx="111">
                  <c:v>-1.5386105713069923E-2</c:v>
                </c:pt>
                <c:pt idx="112">
                  <c:v>-1.6788019468492309E-2</c:v>
                </c:pt>
                <c:pt idx="113">
                  <c:v>-9.1776305104850769E-3</c:v>
                </c:pt>
                <c:pt idx="114">
                  <c:v>-7.9759901486944618E-3</c:v>
                </c:pt>
                <c:pt idx="115">
                  <c:v>-5.3724360314814611E-3</c:v>
                </c:pt>
                <c:pt idx="116">
                  <c:v>-2.7688819142684621E-3</c:v>
                </c:pt>
                <c:pt idx="117">
                  <c:v>1.0363125647351536E-3</c:v>
                </c:pt>
                <c:pt idx="118">
                  <c:v>-7.6614797795076953E-4</c:v>
                </c:pt>
                <c:pt idx="119">
                  <c:v>1.0363125647351536E-3</c:v>
                </c:pt>
                <c:pt idx="120">
                  <c:v>-1.7675149461096155E-3</c:v>
                </c:pt>
                <c:pt idx="121">
                  <c:v>-9.664213715825388E-4</c:v>
                </c:pt>
                <c:pt idx="122">
                  <c:v>-1.0178997478643922E-2</c:v>
                </c:pt>
                <c:pt idx="123">
                  <c:v>-1.1981458021329846E-2</c:v>
                </c:pt>
                <c:pt idx="124">
                  <c:v>-1.3783918564015767E-2</c:v>
                </c:pt>
                <c:pt idx="125">
                  <c:v>-1.5185832319438153E-2</c:v>
                </c:pt>
                <c:pt idx="126">
                  <c:v>-1.8590480011178228E-2</c:v>
                </c:pt>
                <c:pt idx="127">
                  <c:v>-2.1194034128391229E-2</c:v>
                </c:pt>
                <c:pt idx="128">
                  <c:v>-2.2796221277445385E-2</c:v>
                </c:pt>
                <c:pt idx="129">
                  <c:v>-1.798965983028292E-2</c:v>
                </c:pt>
                <c:pt idx="130">
                  <c:v>-1.3783918564015767E-2</c:v>
                </c:pt>
                <c:pt idx="131">
                  <c:v>-8.777083723221538E-3</c:v>
                </c:pt>
                <c:pt idx="132">
                  <c:v>-1.6587746074860538E-2</c:v>
                </c:pt>
                <c:pt idx="133">
                  <c:v>-1.5386105713069923E-2</c:v>
                </c:pt>
                <c:pt idx="134">
                  <c:v>-1.4184465351279308E-2</c:v>
                </c:pt>
                <c:pt idx="135">
                  <c:v>-1.2782551595856922E-2</c:v>
                </c:pt>
                <c:pt idx="136">
                  <c:v>-1.8390206617546461E-2</c:v>
                </c:pt>
                <c:pt idx="137">
                  <c:v>-1.7388839649387616E-2</c:v>
                </c:pt>
                <c:pt idx="138">
                  <c:v>-1.3583645170383999E-2</c:v>
                </c:pt>
                <c:pt idx="139">
                  <c:v>-1.338337177675223E-2</c:v>
                </c:pt>
                <c:pt idx="140">
                  <c:v>-1.6587746074860538E-2</c:v>
                </c:pt>
                <c:pt idx="141">
                  <c:v>-1.8390206617546461E-2</c:v>
                </c:pt>
                <c:pt idx="142">
                  <c:v>-1.7188566255755846E-2</c:v>
                </c:pt>
                <c:pt idx="143">
                  <c:v>-1.7388839649387616E-2</c:v>
                </c:pt>
                <c:pt idx="144">
                  <c:v>-1.8590480011178228E-2</c:v>
                </c:pt>
                <c:pt idx="145">
                  <c:v>-1.6587746074860538E-2</c:v>
                </c:pt>
                <c:pt idx="146">
                  <c:v>-1.7789386436651154E-2</c:v>
                </c:pt>
                <c:pt idx="147">
                  <c:v>-1.4585012138542847E-2</c:v>
                </c:pt>
                <c:pt idx="148">
                  <c:v>-1.6187199287597001E-2</c:v>
                </c:pt>
                <c:pt idx="149">
                  <c:v>-1.7188566255755846E-2</c:v>
                </c:pt>
                <c:pt idx="150">
                  <c:v>-2.0392940553864151E-2</c:v>
                </c:pt>
                <c:pt idx="151">
                  <c:v>-2.0192667160232384E-2</c:v>
                </c:pt>
                <c:pt idx="152">
                  <c:v>-1.3783918564015767E-2</c:v>
                </c:pt>
                <c:pt idx="153">
                  <c:v>-1.9792120372968847E-2</c:v>
                </c:pt>
                <c:pt idx="154">
                  <c:v>-1.9391573585705309E-2</c:v>
                </c:pt>
                <c:pt idx="155">
                  <c:v>-1.9391573585705309E-2</c:v>
                </c:pt>
                <c:pt idx="156">
                  <c:v>-2.199512770291831E-2</c:v>
                </c:pt>
                <c:pt idx="157">
                  <c:v>-2.2996494671077151E-2</c:v>
                </c:pt>
                <c:pt idx="158">
                  <c:v>-1.6187199287597001E-2</c:v>
                </c:pt>
                <c:pt idx="159">
                  <c:v>-1.2382004808593383E-2</c:v>
                </c:pt>
                <c:pt idx="160">
                  <c:v>-1.1380637840434539E-2</c:v>
                </c:pt>
                <c:pt idx="161">
                  <c:v>-2.2395674490181847E-2</c:v>
                </c:pt>
                <c:pt idx="162">
                  <c:v>-2.2195401096550077E-2</c:v>
                </c:pt>
                <c:pt idx="163">
                  <c:v>-1.6387472681228768E-2</c:v>
                </c:pt>
                <c:pt idx="164">
                  <c:v>-1.5986925893965231E-2</c:v>
                </c:pt>
                <c:pt idx="165">
                  <c:v>-1.8189933223914691E-2</c:v>
                </c:pt>
                <c:pt idx="166">
                  <c:v>-1.8590480011178228E-2</c:v>
                </c:pt>
                <c:pt idx="167">
                  <c:v>-1.6788019468492309E-2</c:v>
                </c:pt>
                <c:pt idx="168">
                  <c:v>-1.798965983028292E-2</c:v>
                </c:pt>
                <c:pt idx="169">
                  <c:v>-2.0192667160232384E-2</c:v>
                </c:pt>
                <c:pt idx="170">
                  <c:v>-2.0993760734759462E-2</c:v>
                </c:pt>
                <c:pt idx="171">
                  <c:v>-1.7589113043019383E-2</c:v>
                </c:pt>
                <c:pt idx="172">
                  <c:v>-1.6587746074860538E-2</c:v>
                </c:pt>
                <c:pt idx="173">
                  <c:v>-1.8991026798441769E-2</c:v>
                </c:pt>
                <c:pt idx="174">
                  <c:v>-1.6988292862124076E-2</c:v>
                </c:pt>
                <c:pt idx="175">
                  <c:v>-1.6187199287597001E-2</c:v>
                </c:pt>
                <c:pt idx="176">
                  <c:v>-2.0993760734759462E-2</c:v>
                </c:pt>
                <c:pt idx="177">
                  <c:v>-1.9191300192073539E-2</c:v>
                </c:pt>
                <c:pt idx="178">
                  <c:v>-1.6788019468492309E-2</c:v>
                </c:pt>
                <c:pt idx="179">
                  <c:v>-1.1380637840434539E-2</c:v>
                </c:pt>
                <c:pt idx="180">
                  <c:v>-1.5185832319438153E-2</c:v>
                </c:pt>
                <c:pt idx="181">
                  <c:v>-1.7188566255755846E-2</c:v>
                </c:pt>
                <c:pt idx="182">
                  <c:v>8.3603917110338418E-4</c:v>
                </c:pt>
                <c:pt idx="183">
                  <c:v>2.5069119800547462E-2</c:v>
                </c:pt>
                <c:pt idx="184">
                  <c:v>8.4750591102814687E-2</c:v>
                </c:pt>
                <c:pt idx="185">
                  <c:v>0.11879706802021545</c:v>
                </c:pt>
                <c:pt idx="186">
                  <c:v>0.16345803480009999</c:v>
                </c:pt>
                <c:pt idx="187">
                  <c:v>0.20110943280287261</c:v>
                </c:pt>
                <c:pt idx="188">
                  <c:v>0.25257969496623728</c:v>
                </c:pt>
                <c:pt idx="189">
                  <c:v>0.34710873676043236</c:v>
                </c:pt>
                <c:pt idx="190">
                  <c:v>0.42321262634050466</c:v>
                </c:pt>
                <c:pt idx="191">
                  <c:v>0.39297134390210753</c:v>
                </c:pt>
                <c:pt idx="192">
                  <c:v>0.35351748535664895</c:v>
                </c:pt>
                <c:pt idx="193">
                  <c:v>0.25037668763628784</c:v>
                </c:pt>
                <c:pt idx="194">
                  <c:v>0.13261593218080753</c:v>
                </c:pt>
                <c:pt idx="195">
                  <c:v>5.0503840791782148E-2</c:v>
                </c:pt>
                <c:pt idx="196">
                  <c:v>4.6412336501069993E-3</c:v>
                </c:pt>
                <c:pt idx="197">
                  <c:v>3.2393198946846146E-3</c:v>
                </c:pt>
                <c:pt idx="198">
                  <c:v>-1.4184465351279308E-2</c:v>
                </c:pt>
                <c:pt idx="199">
                  <c:v>-1.6587746074860538E-2</c:v>
                </c:pt>
                <c:pt idx="200">
                  <c:v>-1.4785285532174616E-2</c:v>
                </c:pt>
                <c:pt idx="201">
                  <c:v>2.8073220705024E-2</c:v>
                </c:pt>
                <c:pt idx="202">
                  <c:v>6.2520244409688314E-2</c:v>
                </c:pt>
                <c:pt idx="203">
                  <c:v>8.1345943411074623E-2</c:v>
                </c:pt>
                <c:pt idx="204">
                  <c:v>9.2761526848085446E-2</c:v>
                </c:pt>
                <c:pt idx="205">
                  <c:v>8.435004431555114E-2</c:v>
                </c:pt>
                <c:pt idx="206">
                  <c:v>5.7713682962525846E-2</c:v>
                </c:pt>
                <c:pt idx="207">
                  <c:v>3.6084156450294766E-2</c:v>
                </c:pt>
                <c:pt idx="208">
                  <c:v>7.2447877673199991E-3</c:v>
                </c:pt>
                <c:pt idx="209">
                  <c:v>-1.0379270872275692E-2</c:v>
                </c:pt>
                <c:pt idx="210">
                  <c:v>-2.3597314851972463E-2</c:v>
                </c:pt>
                <c:pt idx="211">
                  <c:v>-1.8590480011178228E-2</c:v>
                </c:pt>
                <c:pt idx="212">
                  <c:v>-1.4785285532174616E-2</c:v>
                </c:pt>
                <c:pt idx="213">
                  <c:v>-1.1981458021329846E-2</c:v>
                </c:pt>
                <c:pt idx="214">
                  <c:v>-2.2595947883813614E-2</c:v>
                </c:pt>
                <c:pt idx="215">
                  <c:v>-1.8189933223914691E-2</c:v>
                </c:pt>
                <c:pt idx="216">
                  <c:v>-1.6587746074860538E-2</c:v>
                </c:pt>
                <c:pt idx="217">
                  <c:v>-1.4785285532174616E-2</c:v>
                </c:pt>
                <c:pt idx="218">
                  <c:v>-1.6788019468492309E-2</c:v>
                </c:pt>
                <c:pt idx="219">
                  <c:v>-1.5185832319438153E-2</c:v>
                </c:pt>
                <c:pt idx="220">
                  <c:v>-1.4985558925806384E-2</c:v>
                </c:pt>
                <c:pt idx="221">
                  <c:v>-1.6387472681228768E-2</c:v>
                </c:pt>
                <c:pt idx="222">
                  <c:v>-1.9591846979337076E-2</c:v>
                </c:pt>
                <c:pt idx="223">
                  <c:v>-1.4785285532174616E-2</c:v>
                </c:pt>
                <c:pt idx="224">
                  <c:v>-1.6187199287597001E-2</c:v>
                </c:pt>
                <c:pt idx="225">
                  <c:v>-1.5586379106701692E-2</c:v>
                </c:pt>
                <c:pt idx="226">
                  <c:v>-1.798965983028292E-2</c:v>
                </c:pt>
                <c:pt idx="227">
                  <c:v>-1.4985558925806384E-2</c:v>
                </c:pt>
                <c:pt idx="228">
                  <c:v>-1.4785285532174616E-2</c:v>
                </c:pt>
                <c:pt idx="229">
                  <c:v>-1.5586379106701692E-2</c:v>
                </c:pt>
                <c:pt idx="230">
                  <c:v>-9.1776305104850769E-3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67B-4EE1-8D89-CF8836D2ED2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'ConPlaca#1'!$S$4:$S$234</c:f>
              <c:numCache>
                <c:formatCode>0.00000</c:formatCode>
                <c:ptCount val="231"/>
                <c:pt idx="0">
                  <c:v>0</c:v>
                </c:pt>
                <c:pt idx="1">
                  <c:v>1.000009999785334E-5</c:v>
                </c:pt>
                <c:pt idx="2">
                  <c:v>2.0000199999259394E-5</c:v>
                </c:pt>
                <c:pt idx="3">
                  <c:v>3.0000299997112734E-5</c:v>
                </c:pt>
                <c:pt idx="4">
                  <c:v>4.0000399998518787E-5</c:v>
                </c:pt>
                <c:pt idx="5">
                  <c:v>5.0000499999924841E-5</c:v>
                </c:pt>
                <c:pt idx="6">
                  <c:v>6.0000599997778181E-5</c:v>
                </c:pt>
                <c:pt idx="7">
                  <c:v>7.0000699999184235E-5</c:v>
                </c:pt>
                <c:pt idx="8">
                  <c:v>8.0000799997037575E-5</c:v>
                </c:pt>
                <c:pt idx="9">
                  <c:v>9.0000899998443629E-5</c:v>
                </c:pt>
                <c:pt idx="10">
                  <c:v>1.0000099999984968E-4</c:v>
                </c:pt>
                <c:pt idx="11">
                  <c:v>1.1000109999770302E-4</c:v>
                </c:pt>
                <c:pt idx="12">
                  <c:v>1.2000119999910908E-4</c:v>
                </c:pt>
                <c:pt idx="13">
                  <c:v>1.3000129999696242E-4</c:v>
                </c:pt>
                <c:pt idx="14">
                  <c:v>1.4000139999836847E-4</c:v>
                </c:pt>
                <c:pt idx="15">
                  <c:v>1.5000149999977452E-4</c:v>
                </c:pt>
                <c:pt idx="16">
                  <c:v>1.6000159999762786E-4</c:v>
                </c:pt>
                <c:pt idx="17">
                  <c:v>1.7000169999903392E-4</c:v>
                </c:pt>
                <c:pt idx="18">
                  <c:v>1.8000179999688726E-4</c:v>
                </c:pt>
                <c:pt idx="19">
                  <c:v>1.9000189999829331E-4</c:v>
                </c:pt>
                <c:pt idx="20">
                  <c:v>2.0000199999969936E-4</c:v>
                </c:pt>
                <c:pt idx="21">
                  <c:v>2.100020999975527E-4</c:v>
                </c:pt>
                <c:pt idx="22">
                  <c:v>2.2000219999895876E-4</c:v>
                </c:pt>
                <c:pt idx="23">
                  <c:v>2.300022999968121E-4</c:v>
                </c:pt>
                <c:pt idx="24">
                  <c:v>2.4000239999821815E-4</c:v>
                </c:pt>
                <c:pt idx="25">
                  <c:v>2.5000249999962421E-4</c:v>
                </c:pt>
                <c:pt idx="26">
                  <c:v>2.6000259999747755E-4</c:v>
                </c:pt>
                <c:pt idx="27">
                  <c:v>2.700026999988836E-4</c:v>
                </c:pt>
                <c:pt idx="28">
                  <c:v>2.8000279999673694E-4</c:v>
                </c:pt>
                <c:pt idx="29">
                  <c:v>2.9000289999814299E-4</c:v>
                </c:pt>
                <c:pt idx="30">
                  <c:v>3.0000299999954905E-4</c:v>
                </c:pt>
                <c:pt idx="31">
                  <c:v>3.1000310009687837E-4</c:v>
                </c:pt>
                <c:pt idx="32">
                  <c:v>3.2000320009828442E-4</c:v>
                </c:pt>
                <c:pt idx="33">
                  <c:v>3.3000330009969048E-4</c:v>
                </c:pt>
                <c:pt idx="34">
                  <c:v>3.4000340009754382E-4</c:v>
                </c:pt>
                <c:pt idx="35">
                  <c:v>3.5000350009894987E-4</c:v>
                </c:pt>
                <c:pt idx="36">
                  <c:v>3.6000360009680321E-4</c:v>
                </c:pt>
                <c:pt idx="37">
                  <c:v>3.7000370009820926E-4</c:v>
                </c:pt>
                <c:pt idx="38">
                  <c:v>3.8000380009961532E-4</c:v>
                </c:pt>
                <c:pt idx="39">
                  <c:v>3.9000390009746866E-4</c:v>
                </c:pt>
                <c:pt idx="40">
                  <c:v>4.0000400009887471E-4</c:v>
                </c:pt>
                <c:pt idx="41">
                  <c:v>4.1000410009672805E-4</c:v>
                </c:pt>
                <c:pt idx="42">
                  <c:v>4.2000420009813411E-4</c:v>
                </c:pt>
                <c:pt idx="43">
                  <c:v>4.3000430009954016E-4</c:v>
                </c:pt>
                <c:pt idx="44">
                  <c:v>4.400044000973935E-4</c:v>
                </c:pt>
                <c:pt idx="45">
                  <c:v>4.5000450009879955E-4</c:v>
                </c:pt>
                <c:pt idx="46">
                  <c:v>4.6000460009665289E-4</c:v>
                </c:pt>
                <c:pt idx="47">
                  <c:v>4.7000470009805895E-4</c:v>
                </c:pt>
                <c:pt idx="48">
                  <c:v>4.80004800099465E-4</c:v>
                </c:pt>
                <c:pt idx="49">
                  <c:v>4.9000490009731834E-4</c:v>
                </c:pt>
                <c:pt idx="50">
                  <c:v>5.0000500009872439E-4</c:v>
                </c:pt>
                <c:pt idx="51">
                  <c:v>5.1000510010013045E-4</c:v>
                </c:pt>
                <c:pt idx="52">
                  <c:v>5.2000520009798379E-4</c:v>
                </c:pt>
                <c:pt idx="53">
                  <c:v>5.3000530009938984E-4</c:v>
                </c:pt>
                <c:pt idx="54">
                  <c:v>5.4000540009724318E-4</c:v>
                </c:pt>
                <c:pt idx="55">
                  <c:v>5.5000550009864924E-4</c:v>
                </c:pt>
                <c:pt idx="56">
                  <c:v>5.6000560010005529E-4</c:v>
                </c:pt>
                <c:pt idx="57">
                  <c:v>5.7000570009790863E-4</c:v>
                </c:pt>
                <c:pt idx="58">
                  <c:v>5.8000580009931468E-4</c:v>
                </c:pt>
                <c:pt idx="59">
                  <c:v>5.9000590009716802E-4</c:v>
                </c:pt>
                <c:pt idx="60">
                  <c:v>6.0000600009857408E-4</c:v>
                </c:pt>
                <c:pt idx="61">
                  <c:v>6.1000610009998013E-4</c:v>
                </c:pt>
                <c:pt idx="62">
                  <c:v>6.2000620009783347E-4</c:v>
                </c:pt>
                <c:pt idx="63">
                  <c:v>6.3000630009923952E-4</c:v>
                </c:pt>
                <c:pt idx="64">
                  <c:v>6.4000640009709286E-4</c:v>
                </c:pt>
                <c:pt idx="65">
                  <c:v>6.5000650009849892E-4</c:v>
                </c:pt>
                <c:pt idx="66">
                  <c:v>6.6000660009990497E-4</c:v>
                </c:pt>
                <c:pt idx="67">
                  <c:v>6.7000670009775831E-4</c:v>
                </c:pt>
                <c:pt idx="68">
                  <c:v>6.8000680009916437E-4</c:v>
                </c:pt>
                <c:pt idx="69">
                  <c:v>6.9000690009701771E-4</c:v>
                </c:pt>
                <c:pt idx="70">
                  <c:v>7.0000700009842376E-4</c:v>
                </c:pt>
                <c:pt idx="71">
                  <c:v>7.1000710009982981E-4</c:v>
                </c:pt>
                <c:pt idx="72">
                  <c:v>7.2000720009768315E-4</c:v>
                </c:pt>
                <c:pt idx="73">
                  <c:v>7.3000730009908921E-4</c:v>
                </c:pt>
                <c:pt idx="74">
                  <c:v>7.4000740009694255E-4</c:v>
                </c:pt>
                <c:pt idx="75">
                  <c:v>7.500075000983486E-4</c:v>
                </c:pt>
                <c:pt idx="76">
                  <c:v>7.6000760009975465E-4</c:v>
                </c:pt>
                <c:pt idx="77">
                  <c:v>7.7000770009760799E-4</c:v>
                </c:pt>
                <c:pt idx="78">
                  <c:v>7.8000780009901405E-4</c:v>
                </c:pt>
                <c:pt idx="79">
                  <c:v>7.9000790009686739E-4</c:v>
                </c:pt>
                <c:pt idx="80">
                  <c:v>8.0000800009827344E-4</c:v>
                </c:pt>
                <c:pt idx="81">
                  <c:v>8.100081000996795E-4</c:v>
                </c:pt>
                <c:pt idx="82">
                  <c:v>8.2000820009753284E-4</c:v>
                </c:pt>
                <c:pt idx="83">
                  <c:v>8.3000830009893889E-4</c:v>
                </c:pt>
                <c:pt idx="84">
                  <c:v>8.4000840009679223E-4</c:v>
                </c:pt>
                <c:pt idx="85">
                  <c:v>8.5000850009819828E-4</c:v>
                </c:pt>
                <c:pt idx="86">
                  <c:v>8.6000860009960434E-4</c:v>
                </c:pt>
                <c:pt idx="87">
                  <c:v>8.7000870009745768E-4</c:v>
                </c:pt>
                <c:pt idx="88">
                  <c:v>8.8000880009886373E-4</c:v>
                </c:pt>
                <c:pt idx="89">
                  <c:v>8.9000890009671707E-4</c:v>
                </c:pt>
                <c:pt idx="90">
                  <c:v>9.0000900009812312E-4</c:v>
                </c:pt>
                <c:pt idx="91">
                  <c:v>9.1000910009952918E-4</c:v>
                </c:pt>
                <c:pt idx="92">
                  <c:v>9.2000920009738252E-4</c:v>
                </c:pt>
                <c:pt idx="93">
                  <c:v>9.3000930009878857E-4</c:v>
                </c:pt>
                <c:pt idx="94">
                  <c:v>9.4000940009664191E-4</c:v>
                </c:pt>
                <c:pt idx="95">
                  <c:v>9.5000950009804797E-4</c:v>
                </c:pt>
                <c:pt idx="96">
                  <c:v>9.6000960009945402E-4</c:v>
                </c:pt>
                <c:pt idx="97">
                  <c:v>9.7000970009730736E-4</c:v>
                </c:pt>
                <c:pt idx="98">
                  <c:v>9.8000980009871341E-4</c:v>
                </c:pt>
                <c:pt idx="99">
                  <c:v>9.9000990010011947E-4</c:v>
                </c:pt>
                <c:pt idx="100">
                  <c:v>1.0000100000979728E-3</c:v>
                </c:pt>
                <c:pt idx="101">
                  <c:v>1.0100101000993789E-3</c:v>
                </c:pt>
                <c:pt idx="102">
                  <c:v>1.0200102000972322E-3</c:v>
                </c:pt>
                <c:pt idx="103">
                  <c:v>1.0300103000986383E-3</c:v>
                </c:pt>
                <c:pt idx="104">
                  <c:v>1.0400104001000443E-3</c:v>
                </c:pt>
                <c:pt idx="105">
                  <c:v>1.0500105000978976E-3</c:v>
                </c:pt>
                <c:pt idx="106">
                  <c:v>1.0600106000993037E-3</c:v>
                </c:pt>
                <c:pt idx="107">
                  <c:v>1.070010700097157E-3</c:v>
                </c:pt>
                <c:pt idx="108">
                  <c:v>1.0800108000985631E-3</c:v>
                </c:pt>
                <c:pt idx="109">
                  <c:v>1.0900109000999691E-3</c:v>
                </c:pt>
                <c:pt idx="110">
                  <c:v>1.1000110000978225E-3</c:v>
                </c:pt>
                <c:pt idx="111">
                  <c:v>1.1100111000992285E-3</c:v>
                </c:pt>
                <c:pt idx="112">
                  <c:v>1.1200112000970819E-3</c:v>
                </c:pt>
                <c:pt idx="113">
                  <c:v>1.1300113000984879E-3</c:v>
                </c:pt>
                <c:pt idx="114">
                  <c:v>1.140011400099894E-3</c:v>
                </c:pt>
                <c:pt idx="115">
                  <c:v>1.1500115000977473E-3</c:v>
                </c:pt>
                <c:pt idx="116">
                  <c:v>1.1600116000991534E-3</c:v>
                </c:pt>
                <c:pt idx="117">
                  <c:v>1.1700117000970067E-3</c:v>
                </c:pt>
                <c:pt idx="118">
                  <c:v>1.1800118000984128E-3</c:v>
                </c:pt>
                <c:pt idx="119">
                  <c:v>1.1900119000998188E-3</c:v>
                </c:pt>
                <c:pt idx="120">
                  <c:v>1.2000120000976722E-3</c:v>
                </c:pt>
                <c:pt idx="121">
                  <c:v>1.2100121000990782E-3</c:v>
                </c:pt>
                <c:pt idx="122">
                  <c:v>1.2200122000969316E-3</c:v>
                </c:pt>
                <c:pt idx="123">
                  <c:v>1.2300123000983376E-3</c:v>
                </c:pt>
                <c:pt idx="124">
                  <c:v>1.2400124000997437E-3</c:v>
                </c:pt>
                <c:pt idx="125">
                  <c:v>1.250012500097597E-3</c:v>
                </c:pt>
                <c:pt idx="126">
                  <c:v>1.2600126000990031E-3</c:v>
                </c:pt>
                <c:pt idx="127">
                  <c:v>1.2700127000968564E-3</c:v>
                </c:pt>
                <c:pt idx="128">
                  <c:v>1.2800128000982625E-3</c:v>
                </c:pt>
                <c:pt idx="129">
                  <c:v>1.2900129000996685E-3</c:v>
                </c:pt>
                <c:pt idx="130">
                  <c:v>1.3000130000975219E-3</c:v>
                </c:pt>
                <c:pt idx="131">
                  <c:v>1.3100131000989279E-3</c:v>
                </c:pt>
                <c:pt idx="132">
                  <c:v>1.3200132000967812E-3</c:v>
                </c:pt>
                <c:pt idx="133">
                  <c:v>1.3300133001976633E-3</c:v>
                </c:pt>
                <c:pt idx="134">
                  <c:v>1.3400134001990693E-3</c:v>
                </c:pt>
                <c:pt idx="135">
                  <c:v>1.3500135001969227E-3</c:v>
                </c:pt>
                <c:pt idx="136">
                  <c:v>1.3600136001983287E-3</c:v>
                </c:pt>
                <c:pt idx="137">
                  <c:v>1.3700137001997348E-3</c:v>
                </c:pt>
                <c:pt idx="138">
                  <c:v>1.3800138001975881E-3</c:v>
                </c:pt>
                <c:pt idx="139">
                  <c:v>1.3900139001989942E-3</c:v>
                </c:pt>
                <c:pt idx="140">
                  <c:v>1.4000140001968475E-3</c:v>
                </c:pt>
                <c:pt idx="141">
                  <c:v>1.4100141001982536E-3</c:v>
                </c:pt>
                <c:pt idx="142">
                  <c:v>1.4200142001996596E-3</c:v>
                </c:pt>
                <c:pt idx="143">
                  <c:v>1.430014300197513E-3</c:v>
                </c:pt>
                <c:pt idx="144">
                  <c:v>1.440014400198919E-3</c:v>
                </c:pt>
                <c:pt idx="145">
                  <c:v>1.4500145001967724E-3</c:v>
                </c:pt>
                <c:pt idx="146">
                  <c:v>1.4600146001981784E-3</c:v>
                </c:pt>
                <c:pt idx="147">
                  <c:v>1.4700147001995845E-3</c:v>
                </c:pt>
                <c:pt idx="148">
                  <c:v>1.4800148001974378E-3</c:v>
                </c:pt>
                <c:pt idx="149">
                  <c:v>1.4900149001988439E-3</c:v>
                </c:pt>
                <c:pt idx="150">
                  <c:v>1.5000150001966972E-3</c:v>
                </c:pt>
                <c:pt idx="151">
                  <c:v>1.5100151001981033E-3</c:v>
                </c:pt>
                <c:pt idx="152">
                  <c:v>1.5200152001995093E-3</c:v>
                </c:pt>
                <c:pt idx="153">
                  <c:v>1.5300153001973626E-3</c:v>
                </c:pt>
                <c:pt idx="154">
                  <c:v>1.5400154001987687E-3</c:v>
                </c:pt>
                <c:pt idx="155">
                  <c:v>1.5500155002001748E-3</c:v>
                </c:pt>
                <c:pt idx="156">
                  <c:v>1.5600156001980281E-3</c:v>
                </c:pt>
                <c:pt idx="157">
                  <c:v>1.5700157001994341E-3</c:v>
                </c:pt>
                <c:pt idx="158">
                  <c:v>1.5800158001972875E-3</c:v>
                </c:pt>
                <c:pt idx="159">
                  <c:v>1.5900159001986935E-3</c:v>
                </c:pt>
                <c:pt idx="160">
                  <c:v>1.6000160002000996E-3</c:v>
                </c:pt>
                <c:pt idx="161">
                  <c:v>1.6100161001979529E-3</c:v>
                </c:pt>
                <c:pt idx="162">
                  <c:v>1.620016200199359E-3</c:v>
                </c:pt>
                <c:pt idx="163">
                  <c:v>1.6300163001972123E-3</c:v>
                </c:pt>
                <c:pt idx="164">
                  <c:v>1.6400164001986184E-3</c:v>
                </c:pt>
                <c:pt idx="165">
                  <c:v>1.6500165002000244E-3</c:v>
                </c:pt>
                <c:pt idx="166">
                  <c:v>1.6600166001978778E-3</c:v>
                </c:pt>
                <c:pt idx="167">
                  <c:v>1.6700167001992838E-3</c:v>
                </c:pt>
                <c:pt idx="168">
                  <c:v>1.6800168001971372E-3</c:v>
                </c:pt>
                <c:pt idx="169">
                  <c:v>1.6900169001985432E-3</c:v>
                </c:pt>
                <c:pt idx="170">
                  <c:v>1.7000170001999493E-3</c:v>
                </c:pt>
                <c:pt idx="171">
                  <c:v>1.7100171001978026E-3</c:v>
                </c:pt>
                <c:pt idx="172">
                  <c:v>1.7200172001992087E-3</c:v>
                </c:pt>
                <c:pt idx="173">
                  <c:v>1.730017300197062E-3</c:v>
                </c:pt>
                <c:pt idx="174">
                  <c:v>1.7400174001984681E-3</c:v>
                </c:pt>
                <c:pt idx="175">
                  <c:v>1.7500175001998741E-3</c:v>
                </c:pt>
                <c:pt idx="176">
                  <c:v>1.7600176001977275E-3</c:v>
                </c:pt>
                <c:pt idx="177">
                  <c:v>1.7700177001991335E-3</c:v>
                </c:pt>
                <c:pt idx="178">
                  <c:v>1.7800178001969869E-3</c:v>
                </c:pt>
                <c:pt idx="179">
                  <c:v>1.7900179001983929E-3</c:v>
                </c:pt>
                <c:pt idx="180">
                  <c:v>1.800018000199799E-3</c:v>
                </c:pt>
                <c:pt idx="181">
                  <c:v>1.8100181001976523E-3</c:v>
                </c:pt>
                <c:pt idx="182">
                  <c:v>1.8200182001990584E-3</c:v>
                </c:pt>
                <c:pt idx="183">
                  <c:v>1.8300183001969117E-3</c:v>
                </c:pt>
                <c:pt idx="184">
                  <c:v>1.8400184001983177E-3</c:v>
                </c:pt>
                <c:pt idx="185">
                  <c:v>1.8500185001997238E-3</c:v>
                </c:pt>
                <c:pt idx="186">
                  <c:v>1.8600186001975771E-3</c:v>
                </c:pt>
                <c:pt idx="187">
                  <c:v>1.8700187001989832E-3</c:v>
                </c:pt>
                <c:pt idx="188">
                  <c:v>1.8800188001968365E-3</c:v>
                </c:pt>
                <c:pt idx="189">
                  <c:v>1.8900189001982426E-3</c:v>
                </c:pt>
                <c:pt idx="190">
                  <c:v>1.9000190001996486E-3</c:v>
                </c:pt>
                <c:pt idx="191">
                  <c:v>1.910019100197502E-3</c:v>
                </c:pt>
                <c:pt idx="192">
                  <c:v>1.920019200198908E-3</c:v>
                </c:pt>
                <c:pt idx="193">
                  <c:v>1.9300193001967614E-3</c:v>
                </c:pt>
                <c:pt idx="194">
                  <c:v>1.9400194001981674E-3</c:v>
                </c:pt>
                <c:pt idx="195">
                  <c:v>1.9500195001995735E-3</c:v>
                </c:pt>
                <c:pt idx="196">
                  <c:v>1.9600196001974268E-3</c:v>
                </c:pt>
                <c:pt idx="197">
                  <c:v>1.9700197001988329E-3</c:v>
                </c:pt>
                <c:pt idx="198">
                  <c:v>1.9800198001966862E-3</c:v>
                </c:pt>
                <c:pt idx="199">
                  <c:v>1.9900199001980923E-3</c:v>
                </c:pt>
                <c:pt idx="200">
                  <c:v>2.0000200001994983E-3</c:v>
                </c:pt>
                <c:pt idx="201">
                  <c:v>2.0100201001973517E-3</c:v>
                </c:pt>
                <c:pt idx="202">
                  <c:v>2.0200202001987577E-3</c:v>
                </c:pt>
                <c:pt idx="203">
                  <c:v>2.0300203002001638E-3</c:v>
                </c:pt>
                <c:pt idx="204">
                  <c:v>2.0400204001980171E-3</c:v>
                </c:pt>
                <c:pt idx="205">
                  <c:v>2.0500205001994232E-3</c:v>
                </c:pt>
                <c:pt idx="206">
                  <c:v>2.0600206001972765E-3</c:v>
                </c:pt>
                <c:pt idx="207">
                  <c:v>2.0700207001986826E-3</c:v>
                </c:pt>
                <c:pt idx="208">
                  <c:v>2.0800208002000886E-3</c:v>
                </c:pt>
                <c:pt idx="209">
                  <c:v>2.090020900197942E-3</c:v>
                </c:pt>
                <c:pt idx="210">
                  <c:v>2.100021000199348E-3</c:v>
                </c:pt>
                <c:pt idx="211">
                  <c:v>2.1100211001972013E-3</c:v>
                </c:pt>
                <c:pt idx="212">
                  <c:v>2.1200212001986074E-3</c:v>
                </c:pt>
                <c:pt idx="213">
                  <c:v>2.1300213002000135E-3</c:v>
                </c:pt>
                <c:pt idx="214">
                  <c:v>2.1400214001978668E-3</c:v>
                </c:pt>
                <c:pt idx="215">
                  <c:v>2.1500215001992729E-3</c:v>
                </c:pt>
                <c:pt idx="216">
                  <c:v>2.1600216001971262E-3</c:v>
                </c:pt>
                <c:pt idx="217">
                  <c:v>2.1700217001985322E-3</c:v>
                </c:pt>
                <c:pt idx="218">
                  <c:v>2.1800218001999383E-3</c:v>
                </c:pt>
                <c:pt idx="219">
                  <c:v>2.1900219001977916E-3</c:v>
                </c:pt>
                <c:pt idx="220">
                  <c:v>2.2000220001991977E-3</c:v>
                </c:pt>
                <c:pt idx="221">
                  <c:v>2.210022100197051E-3</c:v>
                </c:pt>
                <c:pt idx="222">
                  <c:v>2.2200222001984571E-3</c:v>
                </c:pt>
                <c:pt idx="223">
                  <c:v>2.2300223001998631E-3</c:v>
                </c:pt>
                <c:pt idx="224">
                  <c:v>2.2400224001977165E-3</c:v>
                </c:pt>
                <c:pt idx="225">
                  <c:v>2.2500225001991225E-3</c:v>
                </c:pt>
                <c:pt idx="226">
                  <c:v>2.2600226001969759E-3</c:v>
                </c:pt>
                <c:pt idx="227">
                  <c:v>2.2700227001983819E-3</c:v>
                </c:pt>
                <c:pt idx="228">
                  <c:v>2.280022800199788E-3</c:v>
                </c:pt>
                <c:pt idx="229">
                  <c:v>2.2900229001976413E-3</c:v>
                </c:pt>
                <c:pt idx="230">
                  <c:v>2.3000230001990474E-3</c:v>
                </c:pt>
              </c:numCache>
            </c:numRef>
          </c:xVal>
          <c:yVal>
            <c:numRef>
              <c:f>'ConPlaca#1'!$U$4:$U$234</c:f>
              <c:numCache>
                <c:formatCode>General</c:formatCode>
                <c:ptCount val="231"/>
                <c:pt idx="0">
                  <c:v>6.3669529670777394E-3</c:v>
                </c:pt>
                <c:pt idx="1">
                  <c:v>-8.3486793168932355E-4</c:v>
                </c:pt>
                <c:pt idx="2">
                  <c:v>2.0022130284310341E-3</c:v>
                </c:pt>
                <c:pt idx="3">
                  <c:v>-2.36252691021567E-3</c:v>
                </c:pt>
                <c:pt idx="4">
                  <c:v>5.7122419762807332E-3</c:v>
                </c:pt>
                <c:pt idx="5">
                  <c:v>8.7675599333334256E-3</c:v>
                </c:pt>
                <c:pt idx="6">
                  <c:v>7.2399009548070794E-3</c:v>
                </c:pt>
                <c:pt idx="7">
                  <c:v>-1.8015694089231727E-4</c:v>
                </c:pt>
                <c:pt idx="8">
                  <c:v>-6.2907928549977036E-3</c:v>
                </c:pt>
                <c:pt idx="9">
                  <c:v>9.1102804376935818E-4</c:v>
                </c:pt>
                <c:pt idx="10">
                  <c:v>3.0933980130927103E-3</c:v>
                </c:pt>
                <c:pt idx="11">
                  <c:v>2.6569240192280399E-3</c:v>
                </c:pt>
                <c:pt idx="12">
                  <c:v>-1.271341925553994E-3</c:v>
                </c:pt>
                <c:pt idx="13">
                  <c:v>3.8080056040017761E-5</c:v>
                </c:pt>
                <c:pt idx="14">
                  <c:v>3.8080056040017761E-5</c:v>
                </c:pt>
                <c:pt idx="15">
                  <c:v>2.2204500253633695E-3</c:v>
                </c:pt>
                <c:pt idx="16">
                  <c:v>9.1102804376935818E-4</c:v>
                </c:pt>
                <c:pt idx="17">
                  <c:v>9.1102804376935818E-4</c:v>
                </c:pt>
                <c:pt idx="18">
                  <c:v>1.1292650407016935E-3</c:v>
                </c:pt>
                <c:pt idx="19">
                  <c:v>1.1292650407016935E-3</c:v>
                </c:pt>
                <c:pt idx="20">
                  <c:v>3.0933980130927103E-3</c:v>
                </c:pt>
                <c:pt idx="21">
                  <c:v>-2.144289913283335E-3</c:v>
                </c:pt>
                <c:pt idx="22">
                  <c:v>-1.4895789224863292E-3</c:v>
                </c:pt>
                <c:pt idx="23">
                  <c:v>-1.271341925553994E-3</c:v>
                </c:pt>
                <c:pt idx="24">
                  <c:v>-1.0531049286216588E-3</c:v>
                </c:pt>
                <c:pt idx="25">
                  <c:v>3.8080056040017761E-5</c:v>
                </c:pt>
                <c:pt idx="26">
                  <c:v>-1.9260529163509996E-3</c:v>
                </c:pt>
                <c:pt idx="27">
                  <c:v>-6.9455038457947099E-3</c:v>
                </c:pt>
                <c:pt idx="28">
                  <c:v>1.5657390345663637E-3</c:v>
                </c:pt>
                <c:pt idx="29">
                  <c:v>1.7839760314986991E-3</c:v>
                </c:pt>
                <c:pt idx="30">
                  <c:v>-1.271341925553994E-3</c:v>
                </c:pt>
                <c:pt idx="31">
                  <c:v>-3.8901858887420166E-3</c:v>
                </c:pt>
                <c:pt idx="32">
                  <c:v>-4.7631338764713574E-3</c:v>
                </c:pt>
                <c:pt idx="33">
                  <c:v>1.3475020376340285E-3</c:v>
                </c:pt>
                <c:pt idx="34">
                  <c:v>4.4028199946867215E-3</c:v>
                </c:pt>
                <c:pt idx="35">
                  <c:v>1.7839760314986991E-3</c:v>
                </c:pt>
                <c:pt idx="36">
                  <c:v>3.8080056040017761E-5</c:v>
                </c:pt>
                <c:pt idx="37">
                  <c:v>-8.3486793168932355E-4</c:v>
                </c:pt>
                <c:pt idx="38">
                  <c:v>2.5631705297235317E-4</c:v>
                </c:pt>
                <c:pt idx="39">
                  <c:v>2.6569240192280399E-3</c:v>
                </c:pt>
                <c:pt idx="40">
                  <c:v>-3.9839393782465244E-4</c:v>
                </c:pt>
                <c:pt idx="41">
                  <c:v>-3.4537118948773462E-3</c:v>
                </c:pt>
                <c:pt idx="42">
                  <c:v>-1.4895789224863292E-3</c:v>
                </c:pt>
                <c:pt idx="43">
                  <c:v>2.5631705297235317E-4</c:v>
                </c:pt>
                <c:pt idx="44">
                  <c:v>6.9279104683702298E-4</c:v>
                </c:pt>
                <c:pt idx="45">
                  <c:v>-1.8015694089231727E-4</c:v>
                </c:pt>
                <c:pt idx="46">
                  <c:v>-2.36252691021567E-3</c:v>
                </c:pt>
                <c:pt idx="47">
                  <c:v>1.1292650407016935E-3</c:v>
                </c:pt>
                <c:pt idx="48">
                  <c:v>1.3475020376340285E-3</c:v>
                </c:pt>
                <c:pt idx="49">
                  <c:v>-6.166309347569877E-4</c:v>
                </c:pt>
                <c:pt idx="50">
                  <c:v>1.3475020376340285E-3</c:v>
                </c:pt>
                <c:pt idx="51">
                  <c:v>-3.9839393782465244E-4</c:v>
                </c:pt>
                <c:pt idx="52">
                  <c:v>1.0949929902656778E-2</c:v>
                </c:pt>
                <c:pt idx="53">
                  <c:v>1.0513455908792107E-2</c:v>
                </c:pt>
                <c:pt idx="54">
                  <c:v>4.041192448852203E-2</c:v>
                </c:pt>
                <c:pt idx="55">
                  <c:v>0.10391889059583159</c:v>
                </c:pt>
                <c:pt idx="56">
                  <c:v>0.2547206554760752</c:v>
                </c:pt>
                <c:pt idx="57">
                  <c:v>0.49128956015072661</c:v>
                </c:pt>
                <c:pt idx="58">
                  <c:v>0.74619037256769416</c:v>
                </c:pt>
                <c:pt idx="59">
                  <c:v>0.95613436361660054</c:v>
                </c:pt>
                <c:pt idx="60">
                  <c:v>1</c:v>
                </c:pt>
                <c:pt idx="61">
                  <c:v>0.89808332243259947</c:v>
                </c:pt>
                <c:pt idx="62">
                  <c:v>0.74706332055542346</c:v>
                </c:pt>
                <c:pt idx="63">
                  <c:v>0.55457828926110386</c:v>
                </c:pt>
                <c:pt idx="64">
                  <c:v>0.40945068630110087</c:v>
                </c:pt>
                <c:pt idx="65">
                  <c:v>0.3184458585803171</c:v>
                </c:pt>
                <c:pt idx="66">
                  <c:v>0.28134556910182013</c:v>
                </c:pt>
                <c:pt idx="67">
                  <c:v>0.21783860299451058</c:v>
                </c:pt>
                <c:pt idx="68">
                  <c:v>0.17506415159577288</c:v>
                </c:pt>
                <c:pt idx="69">
                  <c:v>0.2167474180098489</c:v>
                </c:pt>
                <c:pt idx="70">
                  <c:v>0.29422155192082788</c:v>
                </c:pt>
                <c:pt idx="71">
                  <c:v>0.23246048178897702</c:v>
                </c:pt>
                <c:pt idx="72">
                  <c:v>0.19339605933808904</c:v>
                </c:pt>
                <c:pt idx="73">
                  <c:v>0.17528238859270517</c:v>
                </c:pt>
                <c:pt idx="74">
                  <c:v>0.10784715654061362</c:v>
                </c:pt>
                <c:pt idx="75">
                  <c:v>3.692013253760467E-2</c:v>
                </c:pt>
                <c:pt idx="76">
                  <c:v>3.4083051577484313E-2</c:v>
                </c:pt>
                <c:pt idx="77">
                  <c:v>2.2516490740070547E-2</c:v>
                </c:pt>
                <c:pt idx="78">
                  <c:v>3.5298720069573807E-3</c:v>
                </c:pt>
                <c:pt idx="79">
                  <c:v>-8.2549258273887198E-3</c:v>
                </c:pt>
                <c:pt idx="80">
                  <c:v>1.2259351884250789E-2</c:v>
                </c:pt>
                <c:pt idx="81">
                  <c:v>1.5532906838235817E-2</c:v>
                </c:pt>
                <c:pt idx="82">
                  <c:v>-1.0531049286216588E-3</c:v>
                </c:pt>
                <c:pt idx="83">
                  <c:v>-6.0725558580653691E-3</c:v>
                </c:pt>
                <c:pt idx="84">
                  <c:v>-4.5448968795390229E-3</c:v>
                </c:pt>
                <c:pt idx="85">
                  <c:v>-1.3492613753764765E-2</c:v>
                </c:pt>
                <c:pt idx="86">
                  <c:v>-1.5674983723088117E-2</c:v>
                </c:pt>
                <c:pt idx="87">
                  <c:v>-1.8293827686276142E-2</c:v>
                </c:pt>
                <c:pt idx="88">
                  <c:v>-1.2183191772170756E-2</c:v>
                </c:pt>
                <c:pt idx="89">
                  <c:v>-1.1964954775238418E-2</c:v>
                </c:pt>
                <c:pt idx="90">
                  <c:v>-1.3929087747629436E-2</c:v>
                </c:pt>
                <c:pt idx="91">
                  <c:v>-2.0912671649464164E-2</c:v>
                </c:pt>
                <c:pt idx="92">
                  <c:v>-2.3749752609584521E-2</c:v>
                </c:pt>
                <c:pt idx="93">
                  <c:v>-2.0694434652531828E-2</c:v>
                </c:pt>
                <c:pt idx="94">
                  <c:v>-1.9821486664802487E-2</c:v>
                </c:pt>
                <c:pt idx="95">
                  <c:v>-1.6547931710817459E-2</c:v>
                </c:pt>
                <c:pt idx="96">
                  <c:v>-1.9603249667870151E-2</c:v>
                </c:pt>
                <c:pt idx="97">
                  <c:v>-1.9603249667870151E-2</c:v>
                </c:pt>
                <c:pt idx="98">
                  <c:v>-2.3095041618787514E-2</c:v>
                </c:pt>
                <c:pt idx="99">
                  <c:v>-2.1349145643328835E-2</c:v>
                </c:pt>
                <c:pt idx="100">
                  <c:v>-1.7202642701614465E-2</c:v>
                </c:pt>
                <c:pt idx="101">
                  <c:v>-1.2619665766035425E-2</c:v>
                </c:pt>
                <c:pt idx="102">
                  <c:v>-1.3710850750697102E-2</c:v>
                </c:pt>
                <c:pt idx="103">
                  <c:v>-1.8512064683208478E-2</c:v>
                </c:pt>
                <c:pt idx="104">
                  <c:v>-2.3749752609584521E-2</c:v>
                </c:pt>
                <c:pt idx="105">
                  <c:v>-2.0694434652531828E-2</c:v>
                </c:pt>
                <c:pt idx="106">
                  <c:v>-1.873030168014081E-2</c:v>
                </c:pt>
                <c:pt idx="107">
                  <c:v>-1.5238509729223448E-2</c:v>
                </c:pt>
                <c:pt idx="108">
                  <c:v>-2.2658567624922847E-2</c:v>
                </c:pt>
                <c:pt idx="109">
                  <c:v>-1.916677567400548E-2</c:v>
                </c:pt>
                <c:pt idx="110">
                  <c:v>-2.3531515612652185E-2</c:v>
                </c:pt>
                <c:pt idx="111">
                  <c:v>-2.4840937594246198E-2</c:v>
                </c:pt>
                <c:pt idx="112">
                  <c:v>-2.0039723661734822E-2</c:v>
                </c:pt>
                <c:pt idx="113">
                  <c:v>-1.8948538677073148E-2</c:v>
                </c:pt>
                <c:pt idx="114">
                  <c:v>-1.8948538677073148E-2</c:v>
                </c:pt>
                <c:pt idx="115">
                  <c:v>-1.8948538677073148E-2</c:v>
                </c:pt>
                <c:pt idx="116">
                  <c:v>-1.8948538677073148E-2</c:v>
                </c:pt>
                <c:pt idx="117">
                  <c:v>-1.873030168014081E-2</c:v>
                </c:pt>
                <c:pt idx="118">
                  <c:v>-1.2401428769103089E-2</c:v>
                </c:pt>
                <c:pt idx="119">
                  <c:v>-1.0655532793644409E-2</c:v>
                </c:pt>
                <c:pt idx="120">
                  <c:v>-5.6360818642006991E-3</c:v>
                </c:pt>
                <c:pt idx="121">
                  <c:v>-8.2549258273887198E-3</c:v>
                </c:pt>
                <c:pt idx="122">
                  <c:v>-1.0531049286216588E-3</c:v>
                </c:pt>
                <c:pt idx="123">
                  <c:v>-6.166309347569877E-4</c:v>
                </c:pt>
                <c:pt idx="124">
                  <c:v>2.5631705297235317E-4</c:v>
                </c:pt>
                <c:pt idx="125">
                  <c:v>-4.5448968795390229E-3</c:v>
                </c:pt>
                <c:pt idx="126">
                  <c:v>-1.1528480781373749E-2</c:v>
                </c:pt>
                <c:pt idx="127">
                  <c:v>-9.7825848059150677E-3</c:v>
                </c:pt>
                <c:pt idx="128">
                  <c:v>-1.2837902762967762E-2</c:v>
                </c:pt>
                <c:pt idx="129">
                  <c:v>-1.6111457716952788E-2</c:v>
                </c:pt>
                <c:pt idx="130">
                  <c:v>-1.6329694713885123E-2</c:v>
                </c:pt>
                <c:pt idx="131">
                  <c:v>-1.2837902762967762E-2</c:v>
                </c:pt>
                <c:pt idx="132">
                  <c:v>-1.4583798738426442E-2</c:v>
                </c:pt>
                <c:pt idx="133">
                  <c:v>-1.74208796985468E-2</c:v>
                </c:pt>
                <c:pt idx="134">
                  <c:v>-1.0219058799779737E-2</c:v>
                </c:pt>
                <c:pt idx="135">
                  <c:v>-1.1964954775238418E-2</c:v>
                </c:pt>
                <c:pt idx="136">
                  <c:v>-1.2619665766035425E-2</c:v>
                </c:pt>
                <c:pt idx="137">
                  <c:v>-1.0655532793644409E-2</c:v>
                </c:pt>
                <c:pt idx="138">
                  <c:v>-1.3492613753764765E-2</c:v>
                </c:pt>
                <c:pt idx="139">
                  <c:v>-1.6111457716952788E-2</c:v>
                </c:pt>
                <c:pt idx="140">
                  <c:v>-1.74208796985468E-2</c:v>
                </c:pt>
                <c:pt idx="141">
                  <c:v>-1.7639116695479136E-2</c:v>
                </c:pt>
                <c:pt idx="142">
                  <c:v>-1.5456746726155783E-2</c:v>
                </c:pt>
                <c:pt idx="143">
                  <c:v>-1.9385012670937816E-2</c:v>
                </c:pt>
                <c:pt idx="144">
                  <c:v>-2.156738264026117E-2</c:v>
                </c:pt>
                <c:pt idx="145">
                  <c:v>-2.0476197655599493E-2</c:v>
                </c:pt>
                <c:pt idx="146">
                  <c:v>-1.9603249667870151E-2</c:v>
                </c:pt>
                <c:pt idx="147">
                  <c:v>-2.2003856634125837E-2</c:v>
                </c:pt>
                <c:pt idx="148">
                  <c:v>-1.9821486664802487E-2</c:v>
                </c:pt>
                <c:pt idx="149">
                  <c:v>-1.9603249667870151E-2</c:v>
                </c:pt>
                <c:pt idx="150">
                  <c:v>-1.6766168707749794E-2</c:v>
                </c:pt>
                <c:pt idx="151">
                  <c:v>-2.505917459117853E-2</c:v>
                </c:pt>
                <c:pt idx="152">
                  <c:v>-1.9385012670937816E-2</c:v>
                </c:pt>
                <c:pt idx="153">
                  <c:v>-1.9603249667870151E-2</c:v>
                </c:pt>
                <c:pt idx="154">
                  <c:v>-1.8293827686276142E-2</c:v>
                </c:pt>
                <c:pt idx="155">
                  <c:v>-9.3461108120503969E-3</c:v>
                </c:pt>
                <c:pt idx="156">
                  <c:v>-1.8948538677073148E-2</c:v>
                </c:pt>
                <c:pt idx="157">
                  <c:v>-2.1130908646396499E-2</c:v>
                </c:pt>
                <c:pt idx="158">
                  <c:v>-1.9603249667870151E-2</c:v>
                </c:pt>
                <c:pt idx="159">
                  <c:v>-2.0912671649464164E-2</c:v>
                </c:pt>
                <c:pt idx="160">
                  <c:v>-2.0694434652531828E-2</c:v>
                </c:pt>
                <c:pt idx="161">
                  <c:v>-1.6547931710817459E-2</c:v>
                </c:pt>
                <c:pt idx="162">
                  <c:v>-2.3531515612652185E-2</c:v>
                </c:pt>
                <c:pt idx="163">
                  <c:v>-1.8293827686276142E-2</c:v>
                </c:pt>
                <c:pt idx="164">
                  <c:v>-1.8512064683208478E-2</c:v>
                </c:pt>
                <c:pt idx="165">
                  <c:v>-2.0694434652531828E-2</c:v>
                </c:pt>
                <c:pt idx="166">
                  <c:v>-1.8293827686276142E-2</c:v>
                </c:pt>
                <c:pt idx="167">
                  <c:v>-1.7639116695479136E-2</c:v>
                </c:pt>
                <c:pt idx="168">
                  <c:v>-1.7639116695479136E-2</c:v>
                </c:pt>
                <c:pt idx="169">
                  <c:v>-1.9821486664802487E-2</c:v>
                </c:pt>
                <c:pt idx="170">
                  <c:v>-2.2440330627990512E-2</c:v>
                </c:pt>
                <c:pt idx="171">
                  <c:v>-1.9385012670937816E-2</c:v>
                </c:pt>
                <c:pt idx="172">
                  <c:v>-1.8948538677073148E-2</c:v>
                </c:pt>
                <c:pt idx="173">
                  <c:v>-1.873030168014081E-2</c:v>
                </c:pt>
                <c:pt idx="174">
                  <c:v>-1.9821486664802487E-2</c:v>
                </c:pt>
                <c:pt idx="175">
                  <c:v>-2.1130908646396499E-2</c:v>
                </c:pt>
                <c:pt idx="176">
                  <c:v>-1.8075590689343803E-2</c:v>
                </c:pt>
                <c:pt idx="177">
                  <c:v>-1.1092006787509079E-2</c:v>
                </c:pt>
                <c:pt idx="178">
                  <c:v>-2.0039723661734822E-2</c:v>
                </c:pt>
                <c:pt idx="179">
                  <c:v>-1.873030168014081E-2</c:v>
                </c:pt>
                <c:pt idx="180">
                  <c:v>-1.5674983723088117E-2</c:v>
                </c:pt>
                <c:pt idx="181">
                  <c:v>-1.5893220720020456E-2</c:v>
                </c:pt>
                <c:pt idx="182">
                  <c:v>-1.4583798738426442E-2</c:v>
                </c:pt>
                <c:pt idx="183">
                  <c:v>-1.1528480781373749E-2</c:v>
                </c:pt>
                <c:pt idx="184">
                  <c:v>9.1102804376935818E-4</c:v>
                </c:pt>
                <c:pt idx="185">
                  <c:v>3.1900681608160959E-2</c:v>
                </c:pt>
                <c:pt idx="186">
                  <c:v>8.209519090259805E-2</c:v>
                </c:pt>
                <c:pt idx="187">
                  <c:v>0.11897724338416271</c:v>
                </c:pt>
                <c:pt idx="188">
                  <c:v>0.16873527868473515</c:v>
                </c:pt>
                <c:pt idx="189">
                  <c:v>0.23005987482272133</c:v>
                </c:pt>
                <c:pt idx="190">
                  <c:v>0.29945923984720396</c:v>
                </c:pt>
                <c:pt idx="191">
                  <c:v>0.35205435610789676</c:v>
                </c:pt>
                <c:pt idx="192">
                  <c:v>0.37409629279806256</c:v>
                </c:pt>
                <c:pt idx="193">
                  <c:v>0.37562395177658892</c:v>
                </c:pt>
                <c:pt idx="194">
                  <c:v>0.3193188065680464</c:v>
                </c:pt>
                <c:pt idx="195">
                  <c:v>0.23376990377057102</c:v>
                </c:pt>
                <c:pt idx="196">
                  <c:v>0.15040337094241898</c:v>
                </c:pt>
                <c:pt idx="197">
                  <c:v>6.6382127123469928E-2</c:v>
                </c:pt>
                <c:pt idx="198">
                  <c:v>1.6624091822897494E-2</c:v>
                </c:pt>
                <c:pt idx="199">
                  <c:v>9.8587449179951027E-3</c:v>
                </c:pt>
                <c:pt idx="200">
                  <c:v>9.2040339271980964E-3</c:v>
                </c:pt>
                <c:pt idx="201">
                  <c:v>1.6187617829032823E-2</c:v>
                </c:pt>
                <c:pt idx="202">
                  <c:v>3.1900681608160959E-2</c:v>
                </c:pt>
                <c:pt idx="203">
                  <c:v>7.7293976970086692E-2</c:v>
                </c:pt>
                <c:pt idx="204">
                  <c:v>7.8821635948613036E-2</c:v>
                </c:pt>
                <c:pt idx="205">
                  <c:v>6.3545046163349564E-2</c:v>
                </c:pt>
                <c:pt idx="206">
                  <c:v>6.1580913190958542E-2</c:v>
                </c:pt>
                <c:pt idx="207">
                  <c:v>4.0193687491589698E-2</c:v>
                </c:pt>
                <c:pt idx="208">
                  <c:v>3.3116350100250453E-3</c:v>
                </c:pt>
                <c:pt idx="209">
                  <c:v>-1.3274376756832431E-2</c:v>
                </c:pt>
                <c:pt idx="210">
                  <c:v>-1.4147324744561771E-2</c:v>
                </c:pt>
                <c:pt idx="211">
                  <c:v>-2.156738264026117E-2</c:v>
                </c:pt>
                <c:pt idx="212">
                  <c:v>-2.396798960651686E-2</c:v>
                </c:pt>
                <c:pt idx="213">
                  <c:v>-1.5456746726155783E-2</c:v>
                </c:pt>
                <c:pt idx="214">
                  <c:v>-1.3274376756832431E-2</c:v>
                </c:pt>
                <c:pt idx="215">
                  <c:v>-1.873030168014081E-2</c:v>
                </c:pt>
                <c:pt idx="216">
                  <c:v>-2.1130908646396499E-2</c:v>
                </c:pt>
                <c:pt idx="217">
                  <c:v>-1.4365561741494108E-2</c:v>
                </c:pt>
                <c:pt idx="218">
                  <c:v>-1.4802035735358777E-2</c:v>
                </c:pt>
                <c:pt idx="219">
                  <c:v>-2.2440330627990512E-2</c:v>
                </c:pt>
                <c:pt idx="220">
                  <c:v>-2.0257960658667157E-2</c:v>
                </c:pt>
                <c:pt idx="221">
                  <c:v>-1.8293827686276142E-2</c:v>
                </c:pt>
                <c:pt idx="222">
                  <c:v>-1.698440570468213E-2</c:v>
                </c:pt>
                <c:pt idx="223">
                  <c:v>-1.8075590689343803E-2</c:v>
                </c:pt>
                <c:pt idx="224">
                  <c:v>-3.8901858887420166E-3</c:v>
                </c:pt>
                <c:pt idx="225">
                  <c:v>2.4386870222957045E-3</c:v>
                </c:pt>
                <c:pt idx="226">
                  <c:v>-1.0000821802847403E-2</c:v>
                </c:pt>
                <c:pt idx="227">
                  <c:v>-2.8332729545163558E-2</c:v>
                </c:pt>
                <c:pt idx="228">
                  <c:v>-2.7678018554366555E-2</c:v>
                </c:pt>
                <c:pt idx="229">
                  <c:v>-1.5893220720020456E-2</c:v>
                </c:pt>
                <c:pt idx="230">
                  <c:v>-1.4147324744561771E-2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67B-4EE1-8D89-CF8836D2ED2A}"/>
            </c:ext>
          </c:extLst>
        </c:ser>
        <c:ser>
          <c:idx val="3"/>
          <c:order val="2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'ConPlaca#1'!$W$4:$W$234</c:f>
              <c:numCache>
                <c:formatCode>0.00000</c:formatCode>
                <c:ptCount val="231"/>
                <c:pt idx="0">
                  <c:v>0</c:v>
                </c:pt>
                <c:pt idx="1">
                  <c:v>1.0000100004958767E-5</c:v>
                </c:pt>
                <c:pt idx="2">
                  <c:v>2.0000200002812107E-5</c:v>
                </c:pt>
                <c:pt idx="3">
                  <c:v>3.0000300000665447E-5</c:v>
                </c:pt>
                <c:pt idx="4">
                  <c:v>4.0000399998518787E-5</c:v>
                </c:pt>
                <c:pt idx="5">
                  <c:v>5.0000500003477555E-5</c:v>
                </c:pt>
                <c:pt idx="6">
                  <c:v>6.0000600001330895E-5</c:v>
                </c:pt>
                <c:pt idx="7">
                  <c:v>7.0000699999184235E-5</c:v>
                </c:pt>
                <c:pt idx="8">
                  <c:v>8.0000800004143002E-5</c:v>
                </c:pt>
                <c:pt idx="9">
                  <c:v>9.0000900001996342E-5</c:v>
                </c:pt>
                <c:pt idx="10">
                  <c:v>1.0000099999984968E-4</c:v>
                </c:pt>
                <c:pt idx="11">
                  <c:v>1.1000110000480845E-4</c:v>
                </c:pt>
                <c:pt idx="12">
                  <c:v>1.2000120000266179E-4</c:v>
                </c:pt>
                <c:pt idx="13">
                  <c:v>1.3000130000051513E-4</c:v>
                </c:pt>
                <c:pt idx="14">
                  <c:v>1.4000139999836847E-4</c:v>
                </c:pt>
                <c:pt idx="15">
                  <c:v>1.5000150000332724E-4</c:v>
                </c:pt>
                <c:pt idx="16">
                  <c:v>1.6000160000118058E-4</c:v>
                </c:pt>
                <c:pt idx="17">
                  <c:v>1.7000169999903392E-4</c:v>
                </c:pt>
                <c:pt idx="18">
                  <c:v>1.8000180000399268E-4</c:v>
                </c:pt>
                <c:pt idx="19">
                  <c:v>1.9000190000184602E-4</c:v>
                </c:pt>
                <c:pt idx="20">
                  <c:v>2.0000199999969936E-4</c:v>
                </c:pt>
                <c:pt idx="21">
                  <c:v>2.1000210000465813E-4</c:v>
                </c:pt>
                <c:pt idx="22">
                  <c:v>2.2000220000251147E-4</c:v>
                </c:pt>
                <c:pt idx="23">
                  <c:v>2.3000230000036481E-4</c:v>
                </c:pt>
                <c:pt idx="24">
                  <c:v>2.4000239999821815E-4</c:v>
                </c:pt>
                <c:pt idx="25">
                  <c:v>2.5000250000317692E-4</c:v>
                </c:pt>
                <c:pt idx="26">
                  <c:v>2.6000260000103026E-4</c:v>
                </c:pt>
                <c:pt idx="27">
                  <c:v>2.700026999988836E-4</c:v>
                </c:pt>
                <c:pt idx="28">
                  <c:v>2.8000280000384237E-4</c:v>
                </c:pt>
                <c:pt idx="29">
                  <c:v>2.9000290000169571E-4</c:v>
                </c:pt>
                <c:pt idx="30">
                  <c:v>3.0000299999954905E-4</c:v>
                </c:pt>
                <c:pt idx="31">
                  <c:v>3.1000310000450781E-4</c:v>
                </c:pt>
                <c:pt idx="32">
                  <c:v>3.2000320000236115E-4</c:v>
                </c:pt>
                <c:pt idx="33">
                  <c:v>3.3000330000021449E-4</c:v>
                </c:pt>
                <c:pt idx="34">
                  <c:v>3.4000339999806783E-4</c:v>
                </c:pt>
                <c:pt idx="35">
                  <c:v>3.500035000030266E-4</c:v>
                </c:pt>
                <c:pt idx="36">
                  <c:v>3.6000360000087994E-4</c:v>
                </c:pt>
                <c:pt idx="37">
                  <c:v>3.7000369999873328E-4</c:v>
                </c:pt>
                <c:pt idx="38">
                  <c:v>3.8000380000369205E-4</c:v>
                </c:pt>
                <c:pt idx="39">
                  <c:v>3.9000390000154539E-4</c:v>
                </c:pt>
                <c:pt idx="40">
                  <c:v>4.0000399999939873E-4</c:v>
                </c:pt>
                <c:pt idx="41">
                  <c:v>4.100041000043575E-4</c:v>
                </c:pt>
                <c:pt idx="42">
                  <c:v>4.2000420000221084E-4</c:v>
                </c:pt>
                <c:pt idx="43">
                  <c:v>4.3000430000006418E-4</c:v>
                </c:pt>
                <c:pt idx="44">
                  <c:v>4.4000440000502294E-4</c:v>
                </c:pt>
                <c:pt idx="45">
                  <c:v>4.5000450000287628E-4</c:v>
                </c:pt>
                <c:pt idx="46">
                  <c:v>4.6000460000072962E-4</c:v>
                </c:pt>
                <c:pt idx="47">
                  <c:v>4.7000469999858296E-4</c:v>
                </c:pt>
                <c:pt idx="48">
                  <c:v>4.8000480000354173E-4</c:v>
                </c:pt>
                <c:pt idx="49">
                  <c:v>4.9000490000139507E-4</c:v>
                </c:pt>
                <c:pt idx="50">
                  <c:v>5.0000499999924841E-4</c:v>
                </c:pt>
                <c:pt idx="51">
                  <c:v>5.1000510000420718E-4</c:v>
                </c:pt>
                <c:pt idx="52">
                  <c:v>5.2000520000206052E-4</c:v>
                </c:pt>
                <c:pt idx="53">
                  <c:v>5.3000529999991386E-4</c:v>
                </c:pt>
                <c:pt idx="54">
                  <c:v>5.4000540000487263E-4</c:v>
                </c:pt>
                <c:pt idx="55">
                  <c:v>5.5000550000272597E-4</c:v>
                </c:pt>
                <c:pt idx="56">
                  <c:v>5.6000560000057931E-4</c:v>
                </c:pt>
                <c:pt idx="57">
                  <c:v>5.7000569999843265E-4</c:v>
                </c:pt>
                <c:pt idx="58">
                  <c:v>5.8000580000339141E-4</c:v>
                </c:pt>
                <c:pt idx="59">
                  <c:v>5.9000590000124475E-4</c:v>
                </c:pt>
                <c:pt idx="60">
                  <c:v>6.0000599999909809E-4</c:v>
                </c:pt>
                <c:pt idx="61">
                  <c:v>6.1000610000405686E-4</c:v>
                </c:pt>
                <c:pt idx="62">
                  <c:v>6.200062000019102E-4</c:v>
                </c:pt>
                <c:pt idx="63">
                  <c:v>6.3000629999976354E-4</c:v>
                </c:pt>
                <c:pt idx="64">
                  <c:v>6.4000640000472231E-4</c:v>
                </c:pt>
                <c:pt idx="65">
                  <c:v>6.5000650000257565E-4</c:v>
                </c:pt>
                <c:pt idx="66">
                  <c:v>6.6000660000042899E-4</c:v>
                </c:pt>
                <c:pt idx="67">
                  <c:v>6.7000669999828233E-4</c:v>
                </c:pt>
                <c:pt idx="68">
                  <c:v>6.800068000032411E-4</c:v>
                </c:pt>
                <c:pt idx="69">
                  <c:v>6.9000690000109444E-4</c:v>
                </c:pt>
                <c:pt idx="70">
                  <c:v>7.0000699999894778E-4</c:v>
                </c:pt>
                <c:pt idx="71">
                  <c:v>7.1000710000390654E-4</c:v>
                </c:pt>
                <c:pt idx="72">
                  <c:v>7.2000720000175988E-4</c:v>
                </c:pt>
                <c:pt idx="73">
                  <c:v>7.3000729999961322E-4</c:v>
                </c:pt>
                <c:pt idx="74">
                  <c:v>7.4000740000457199E-4</c:v>
                </c:pt>
                <c:pt idx="75">
                  <c:v>7.5000750000242533E-4</c:v>
                </c:pt>
                <c:pt idx="76">
                  <c:v>7.6000760000027867E-4</c:v>
                </c:pt>
                <c:pt idx="77">
                  <c:v>7.7000769999813201E-4</c:v>
                </c:pt>
                <c:pt idx="78">
                  <c:v>7.8000780000309078E-4</c:v>
                </c:pt>
                <c:pt idx="79">
                  <c:v>7.9000790000094412E-4</c:v>
                </c:pt>
                <c:pt idx="80">
                  <c:v>8.0000799999879746E-4</c:v>
                </c:pt>
                <c:pt idx="81">
                  <c:v>8.1000810000375623E-4</c:v>
                </c:pt>
                <c:pt idx="82">
                  <c:v>8.2000820000160957E-4</c:v>
                </c:pt>
                <c:pt idx="83">
                  <c:v>8.3000829999946291E-4</c:v>
                </c:pt>
                <c:pt idx="84">
                  <c:v>8.4000840000442167E-4</c:v>
                </c:pt>
                <c:pt idx="85">
                  <c:v>8.5000850000227501E-4</c:v>
                </c:pt>
                <c:pt idx="86">
                  <c:v>8.6000860009960434E-4</c:v>
                </c:pt>
                <c:pt idx="87">
                  <c:v>8.7000870000508712E-4</c:v>
                </c:pt>
                <c:pt idx="88">
                  <c:v>8.8000880010241644E-4</c:v>
                </c:pt>
                <c:pt idx="89">
                  <c:v>8.9000890010026978E-4</c:v>
                </c:pt>
                <c:pt idx="90">
                  <c:v>9.0000900009812312E-4</c:v>
                </c:pt>
                <c:pt idx="91">
                  <c:v>9.1000910010308189E-4</c:v>
                </c:pt>
                <c:pt idx="92">
                  <c:v>9.2000920010093523E-4</c:v>
                </c:pt>
                <c:pt idx="93">
                  <c:v>9.3000930009878857E-4</c:v>
                </c:pt>
                <c:pt idx="94">
                  <c:v>9.4000940010374734E-4</c:v>
                </c:pt>
                <c:pt idx="95">
                  <c:v>9.5000950010160068E-4</c:v>
                </c:pt>
                <c:pt idx="96">
                  <c:v>9.6000960009945402E-4</c:v>
                </c:pt>
                <c:pt idx="97">
                  <c:v>9.7000970010441279E-4</c:v>
                </c:pt>
                <c:pt idx="98">
                  <c:v>9.8000980010226613E-4</c:v>
                </c:pt>
                <c:pt idx="99">
                  <c:v>9.9000990010011947E-4</c:v>
                </c:pt>
                <c:pt idx="100">
                  <c:v>1.0000100001050782E-3</c:v>
                </c:pt>
                <c:pt idx="101">
                  <c:v>1.0100101001029316E-3</c:v>
                </c:pt>
                <c:pt idx="102">
                  <c:v>1.0200102001007849E-3</c:v>
                </c:pt>
                <c:pt idx="103">
                  <c:v>1.0300103000986383E-3</c:v>
                </c:pt>
                <c:pt idx="104">
                  <c:v>1.040010400103597E-3</c:v>
                </c:pt>
                <c:pt idx="105">
                  <c:v>1.0500105001014504E-3</c:v>
                </c:pt>
                <c:pt idx="106">
                  <c:v>1.0600106000993037E-3</c:v>
                </c:pt>
                <c:pt idx="107">
                  <c:v>1.0700107001042625E-3</c:v>
                </c:pt>
                <c:pt idx="108">
                  <c:v>1.0800108001021158E-3</c:v>
                </c:pt>
                <c:pt idx="109">
                  <c:v>1.0900109000999691E-3</c:v>
                </c:pt>
                <c:pt idx="110">
                  <c:v>1.1000110001049279E-3</c:v>
                </c:pt>
                <c:pt idx="111">
                  <c:v>1.1100111001027813E-3</c:v>
                </c:pt>
                <c:pt idx="112">
                  <c:v>1.1200112001006346E-3</c:v>
                </c:pt>
                <c:pt idx="113">
                  <c:v>1.1300113000984879E-3</c:v>
                </c:pt>
                <c:pt idx="114">
                  <c:v>1.1400114001034467E-3</c:v>
                </c:pt>
                <c:pt idx="115">
                  <c:v>1.1500115001013E-3</c:v>
                </c:pt>
                <c:pt idx="116">
                  <c:v>1.1600116000991534E-3</c:v>
                </c:pt>
                <c:pt idx="117">
                  <c:v>1.1700117001041122E-3</c:v>
                </c:pt>
                <c:pt idx="118">
                  <c:v>1.1800118001019655E-3</c:v>
                </c:pt>
                <c:pt idx="119">
                  <c:v>1.1900119000998188E-3</c:v>
                </c:pt>
                <c:pt idx="120">
                  <c:v>1.2000120001047776E-3</c:v>
                </c:pt>
                <c:pt idx="121">
                  <c:v>1.2100121001026309E-3</c:v>
                </c:pt>
                <c:pt idx="122">
                  <c:v>1.2200122001004843E-3</c:v>
                </c:pt>
                <c:pt idx="123">
                  <c:v>1.2300123000983376E-3</c:v>
                </c:pt>
                <c:pt idx="124">
                  <c:v>1.2400124001032964E-3</c:v>
                </c:pt>
                <c:pt idx="125">
                  <c:v>1.2500125001011497E-3</c:v>
                </c:pt>
                <c:pt idx="126">
                  <c:v>1.2600126000990031E-3</c:v>
                </c:pt>
                <c:pt idx="127">
                  <c:v>1.2700127001039618E-3</c:v>
                </c:pt>
                <c:pt idx="128">
                  <c:v>1.2800128001018152E-3</c:v>
                </c:pt>
                <c:pt idx="129">
                  <c:v>1.2900129000996685E-3</c:v>
                </c:pt>
                <c:pt idx="130">
                  <c:v>1.3000130001046273E-3</c:v>
                </c:pt>
                <c:pt idx="131">
                  <c:v>1.3100131001024806E-3</c:v>
                </c:pt>
                <c:pt idx="132">
                  <c:v>1.320013200100334E-3</c:v>
                </c:pt>
                <c:pt idx="133">
                  <c:v>1.3300133000981873E-3</c:v>
                </c:pt>
                <c:pt idx="134">
                  <c:v>1.3400134001031461E-3</c:v>
                </c:pt>
                <c:pt idx="135">
                  <c:v>1.3500135001009994E-3</c:v>
                </c:pt>
                <c:pt idx="136">
                  <c:v>1.3600136000988527E-3</c:v>
                </c:pt>
                <c:pt idx="137">
                  <c:v>1.3700137001038115E-3</c:v>
                </c:pt>
                <c:pt idx="138">
                  <c:v>1.3800138001016649E-3</c:v>
                </c:pt>
                <c:pt idx="139">
                  <c:v>1.3900139000995182E-3</c:v>
                </c:pt>
                <c:pt idx="140">
                  <c:v>1.400014000104477E-3</c:v>
                </c:pt>
                <c:pt idx="141">
                  <c:v>1.4100141001023303E-3</c:v>
                </c:pt>
                <c:pt idx="142">
                  <c:v>1.4200142001001836E-3</c:v>
                </c:pt>
                <c:pt idx="143">
                  <c:v>1.430014300098037E-3</c:v>
                </c:pt>
                <c:pt idx="144">
                  <c:v>1.4400144001029958E-3</c:v>
                </c:pt>
                <c:pt idx="145">
                  <c:v>1.4500145001008491E-3</c:v>
                </c:pt>
                <c:pt idx="146">
                  <c:v>1.4600146000987024E-3</c:v>
                </c:pt>
                <c:pt idx="147">
                  <c:v>1.4700147001036612E-3</c:v>
                </c:pt>
                <c:pt idx="148">
                  <c:v>1.4800148001015145E-3</c:v>
                </c:pt>
                <c:pt idx="149">
                  <c:v>1.4900149000993679E-3</c:v>
                </c:pt>
                <c:pt idx="150">
                  <c:v>1.5000150001043266E-3</c:v>
                </c:pt>
                <c:pt idx="151">
                  <c:v>1.51001510010218E-3</c:v>
                </c:pt>
                <c:pt idx="152">
                  <c:v>1.5200152001000333E-3</c:v>
                </c:pt>
                <c:pt idx="153">
                  <c:v>1.5300153001049921E-3</c:v>
                </c:pt>
                <c:pt idx="154">
                  <c:v>1.5400154001028454E-3</c:v>
                </c:pt>
                <c:pt idx="155">
                  <c:v>1.5500155001006988E-3</c:v>
                </c:pt>
                <c:pt idx="156">
                  <c:v>1.5600156000985521E-3</c:v>
                </c:pt>
                <c:pt idx="157">
                  <c:v>1.5700157001035109E-3</c:v>
                </c:pt>
                <c:pt idx="158">
                  <c:v>1.5800158001013642E-3</c:v>
                </c:pt>
                <c:pt idx="159">
                  <c:v>1.5900159000992176E-3</c:v>
                </c:pt>
                <c:pt idx="160">
                  <c:v>1.6000160001041763E-3</c:v>
                </c:pt>
                <c:pt idx="161">
                  <c:v>1.6100161001020297E-3</c:v>
                </c:pt>
                <c:pt idx="162">
                  <c:v>1.620016200099883E-3</c:v>
                </c:pt>
                <c:pt idx="163">
                  <c:v>1.6300163001048418E-3</c:v>
                </c:pt>
                <c:pt idx="164">
                  <c:v>1.6400164001026951E-3</c:v>
                </c:pt>
                <c:pt idx="165">
                  <c:v>1.6500165001005485E-3</c:v>
                </c:pt>
                <c:pt idx="166">
                  <c:v>1.6600166000984018E-3</c:v>
                </c:pt>
                <c:pt idx="167">
                  <c:v>1.6700167001033606E-3</c:v>
                </c:pt>
                <c:pt idx="168">
                  <c:v>1.6800168001012139E-3</c:v>
                </c:pt>
                <c:pt idx="169">
                  <c:v>1.6900169000990672E-3</c:v>
                </c:pt>
                <c:pt idx="170">
                  <c:v>1.700017000104026E-3</c:v>
                </c:pt>
                <c:pt idx="171">
                  <c:v>1.7100171001018794E-3</c:v>
                </c:pt>
                <c:pt idx="172">
                  <c:v>1.7200172000997327E-3</c:v>
                </c:pt>
                <c:pt idx="173">
                  <c:v>1.7300173001046915E-3</c:v>
                </c:pt>
                <c:pt idx="174">
                  <c:v>1.7400174001025448E-3</c:v>
                </c:pt>
                <c:pt idx="175">
                  <c:v>1.7500175001003981E-3</c:v>
                </c:pt>
                <c:pt idx="176">
                  <c:v>1.7600176000982515E-3</c:v>
                </c:pt>
                <c:pt idx="177">
                  <c:v>1.7700177001032102E-3</c:v>
                </c:pt>
                <c:pt idx="178">
                  <c:v>1.7800178001010636E-3</c:v>
                </c:pt>
                <c:pt idx="179">
                  <c:v>1.7900179000989169E-3</c:v>
                </c:pt>
                <c:pt idx="180">
                  <c:v>1.8000180001038757E-3</c:v>
                </c:pt>
                <c:pt idx="181">
                  <c:v>1.810018100101729E-3</c:v>
                </c:pt>
                <c:pt idx="182">
                  <c:v>1.8200182000995824E-3</c:v>
                </c:pt>
                <c:pt idx="183">
                  <c:v>1.8300183001045411E-3</c:v>
                </c:pt>
                <c:pt idx="184">
                  <c:v>1.8400184001023945E-3</c:v>
                </c:pt>
                <c:pt idx="185">
                  <c:v>1.8500185001997238E-3</c:v>
                </c:pt>
                <c:pt idx="186">
                  <c:v>1.8600186000981012E-3</c:v>
                </c:pt>
                <c:pt idx="187">
                  <c:v>1.8700187001030599E-3</c:v>
                </c:pt>
                <c:pt idx="188">
                  <c:v>1.8800188002003893E-3</c:v>
                </c:pt>
                <c:pt idx="189">
                  <c:v>1.8900189001982426E-3</c:v>
                </c:pt>
                <c:pt idx="190">
                  <c:v>1.9000190002032014E-3</c:v>
                </c:pt>
                <c:pt idx="191">
                  <c:v>1.9100191002010547E-3</c:v>
                </c:pt>
                <c:pt idx="192">
                  <c:v>1.920019200198908E-3</c:v>
                </c:pt>
                <c:pt idx="193">
                  <c:v>1.9300193002038668E-3</c:v>
                </c:pt>
                <c:pt idx="194">
                  <c:v>1.9400194002017201E-3</c:v>
                </c:pt>
                <c:pt idx="195">
                  <c:v>1.9500195001995735E-3</c:v>
                </c:pt>
                <c:pt idx="196">
                  <c:v>1.9600196002045323E-3</c:v>
                </c:pt>
                <c:pt idx="197">
                  <c:v>1.9700197002023856E-3</c:v>
                </c:pt>
                <c:pt idx="198">
                  <c:v>1.9800198002002389E-3</c:v>
                </c:pt>
                <c:pt idx="199">
                  <c:v>1.9900199001980923E-3</c:v>
                </c:pt>
                <c:pt idx="200">
                  <c:v>2.000020000203051E-3</c:v>
                </c:pt>
                <c:pt idx="201">
                  <c:v>2.0100201002009044E-3</c:v>
                </c:pt>
                <c:pt idx="202">
                  <c:v>2.0200202001987577E-3</c:v>
                </c:pt>
                <c:pt idx="203">
                  <c:v>2.0300203002037165E-3</c:v>
                </c:pt>
                <c:pt idx="204">
                  <c:v>2.0400204002015698E-3</c:v>
                </c:pt>
                <c:pt idx="205">
                  <c:v>2.0500205001994232E-3</c:v>
                </c:pt>
                <c:pt idx="206">
                  <c:v>2.0600206002043819E-3</c:v>
                </c:pt>
                <c:pt idx="207">
                  <c:v>2.0700207002022353E-3</c:v>
                </c:pt>
                <c:pt idx="208">
                  <c:v>2.0800208002000886E-3</c:v>
                </c:pt>
                <c:pt idx="209">
                  <c:v>2.0900209002050474E-3</c:v>
                </c:pt>
                <c:pt idx="210">
                  <c:v>2.1000210002029007E-3</c:v>
                </c:pt>
                <c:pt idx="211">
                  <c:v>2.1100211002007541E-3</c:v>
                </c:pt>
                <c:pt idx="212">
                  <c:v>2.1200212001986074E-3</c:v>
                </c:pt>
                <c:pt idx="213">
                  <c:v>2.1300213002035662E-3</c:v>
                </c:pt>
                <c:pt idx="214">
                  <c:v>2.1400214002014195E-3</c:v>
                </c:pt>
                <c:pt idx="215">
                  <c:v>2.1500215001992729E-3</c:v>
                </c:pt>
                <c:pt idx="216">
                  <c:v>2.1600216002042316E-3</c:v>
                </c:pt>
                <c:pt idx="217">
                  <c:v>2.170021700202085E-3</c:v>
                </c:pt>
                <c:pt idx="218">
                  <c:v>2.1800218001999383E-3</c:v>
                </c:pt>
                <c:pt idx="219">
                  <c:v>2.1900219002048971E-3</c:v>
                </c:pt>
                <c:pt idx="220">
                  <c:v>2.2000220002027504E-3</c:v>
                </c:pt>
                <c:pt idx="221">
                  <c:v>2.2100221002006037E-3</c:v>
                </c:pt>
                <c:pt idx="222">
                  <c:v>2.2200222001984571E-3</c:v>
                </c:pt>
                <c:pt idx="223">
                  <c:v>2.2300223002034159E-3</c:v>
                </c:pt>
                <c:pt idx="224">
                  <c:v>2.2400224002012692E-3</c:v>
                </c:pt>
                <c:pt idx="225">
                  <c:v>2.2500225001991225E-3</c:v>
                </c:pt>
                <c:pt idx="226">
                  <c:v>2.2600226002040813E-3</c:v>
                </c:pt>
                <c:pt idx="227">
                  <c:v>2.2700227002019346E-3</c:v>
                </c:pt>
                <c:pt idx="228">
                  <c:v>2.280022800199788E-3</c:v>
                </c:pt>
                <c:pt idx="229">
                  <c:v>2.2900229002047467E-3</c:v>
                </c:pt>
                <c:pt idx="230">
                  <c:v>2.3000230002026001E-3</c:v>
                </c:pt>
              </c:numCache>
            </c:numRef>
          </c:xVal>
          <c:yVal>
            <c:numRef>
              <c:f>'ConPlaca#1'!$Y$4:$Y$384</c:f>
              <c:numCache>
                <c:formatCode>General</c:formatCode>
                <c:ptCount val="381"/>
                <c:pt idx="0">
                  <c:v>-2.3688095365296713E-3</c:v>
                </c:pt>
                <c:pt idx="1">
                  <c:v>-9.6661495884068098E-4</c:v>
                </c:pt>
                <c:pt idx="2">
                  <c:v>-3.3703770920218072E-3</c:v>
                </c:pt>
                <c:pt idx="3">
                  <c:v>6.3589312994673664E-4</c:v>
                </c:pt>
                <c:pt idx="4">
                  <c:v>-1.3672419810375352E-3</c:v>
                </c:pt>
                <c:pt idx="5">
                  <c:v>-1.5675554921359626E-3</c:v>
                </c:pt>
                <c:pt idx="6">
                  <c:v>-3.17006358092338E-3</c:v>
                </c:pt>
                <c:pt idx="7">
                  <c:v>-4.5722581586123707E-3</c:v>
                </c:pt>
                <c:pt idx="8">
                  <c:v>-2.1684960254312441E-3</c:v>
                </c:pt>
                <c:pt idx="9">
                  <c:v>-3.3703770920218072E-3</c:v>
                </c:pt>
                <c:pt idx="10">
                  <c:v>8.3620664104516371E-4</c:v>
                </c:pt>
                <c:pt idx="11">
                  <c:v>-7.176333802891924E-3</c:v>
                </c:pt>
                <c:pt idx="12">
                  <c:v>-4.3719446475139435E-3</c:v>
                </c:pt>
                <c:pt idx="13">
                  <c:v>-1.5675554921359626E-3</c:v>
                </c:pt>
                <c:pt idx="14">
                  <c:v>-6.3750797584982153E-3</c:v>
                </c:pt>
                <c:pt idx="15">
                  <c:v>1.2368336632420181E-3</c:v>
                </c:pt>
                <c:pt idx="16">
                  <c:v>-5.6598793664382598E-4</c:v>
                </c:pt>
                <c:pt idx="17">
                  <c:v>-2.9697500698249528E-3</c:v>
                </c:pt>
                <c:pt idx="18">
                  <c:v>-1.7678690032343898E-3</c:v>
                </c:pt>
                <c:pt idx="19">
                  <c:v>-2.1684960254312441E-3</c:v>
                </c:pt>
                <c:pt idx="20">
                  <c:v>-3.3703770920218072E-3</c:v>
                </c:pt>
                <c:pt idx="21">
                  <c:v>-4.972885180809225E-3</c:v>
                </c:pt>
                <c:pt idx="22">
                  <c:v>-3.5706906031202344E-3</c:v>
                </c:pt>
                <c:pt idx="23">
                  <c:v>-2.5691230476280981E-3</c:v>
                </c:pt>
                <c:pt idx="24">
                  <c:v>-2.9697500698249528E-3</c:v>
                </c:pt>
                <c:pt idx="25">
                  <c:v>-3.3703770920218072E-3</c:v>
                </c:pt>
                <c:pt idx="26">
                  <c:v>-2.1684960254312441E-3</c:v>
                </c:pt>
                <c:pt idx="27">
                  <c:v>-2.1684960254312441E-3</c:v>
                </c:pt>
                <c:pt idx="28">
                  <c:v>-2.7694365587265261E-3</c:v>
                </c:pt>
                <c:pt idx="29">
                  <c:v>-1.968182514332817E-3</c:v>
                </c:pt>
                <c:pt idx="30">
                  <c:v>-2.1684960254312441E-3</c:v>
                </c:pt>
                <c:pt idx="31">
                  <c:v>-2.3688095365296713E-3</c:v>
                </c:pt>
                <c:pt idx="32">
                  <c:v>-1.7678690032343898E-3</c:v>
                </c:pt>
                <c:pt idx="33">
                  <c:v>-2.1684960254312441E-3</c:v>
                </c:pt>
                <c:pt idx="34">
                  <c:v>1.4371471743404452E-3</c:v>
                </c:pt>
                <c:pt idx="35">
                  <c:v>-6.7757067806950696E-3</c:v>
                </c:pt>
                <c:pt idx="36">
                  <c:v>-1.7678690032343898E-3</c:v>
                </c:pt>
                <c:pt idx="37">
                  <c:v>-2.5691230476280981E-3</c:v>
                </c:pt>
                <c:pt idx="38">
                  <c:v>-2.3688095365296713E-3</c:v>
                </c:pt>
                <c:pt idx="39">
                  <c:v>-1.5675554921359626E-3</c:v>
                </c:pt>
                <c:pt idx="40">
                  <c:v>-6.1747662473997872E-3</c:v>
                </c:pt>
                <c:pt idx="41">
                  <c:v>-1.7678690032343898E-3</c:v>
                </c:pt>
                <c:pt idx="42">
                  <c:v>-3.3703770920218072E-3</c:v>
                </c:pt>
                <c:pt idx="43">
                  <c:v>-4.972885180809225E-3</c:v>
                </c:pt>
                <c:pt idx="44">
                  <c:v>-2.3688095365296713E-3</c:v>
                </c:pt>
                <c:pt idx="45">
                  <c:v>-1.5675554921359626E-3</c:v>
                </c:pt>
                <c:pt idx="46">
                  <c:v>-2.7694365587265261E-3</c:v>
                </c:pt>
                <c:pt idx="47">
                  <c:v>-4.5722581586123707E-3</c:v>
                </c:pt>
                <c:pt idx="48">
                  <c:v>-3.9713176253170883E-3</c:v>
                </c:pt>
                <c:pt idx="49">
                  <c:v>-1.968182514332817E-3</c:v>
                </c:pt>
                <c:pt idx="50">
                  <c:v>-3.7710041142186615E-3</c:v>
                </c:pt>
                <c:pt idx="51">
                  <c:v>-4.1716311364155163E-3</c:v>
                </c:pt>
                <c:pt idx="52">
                  <c:v>-3.17006358092338E-3</c:v>
                </c:pt>
                <c:pt idx="53">
                  <c:v>8.3620664104516371E-4</c:v>
                </c:pt>
                <c:pt idx="54">
                  <c:v>5.443417396308989E-3</c:v>
                </c:pt>
                <c:pt idx="55">
                  <c:v>2.7678217128234411E-2</c:v>
                </c:pt>
                <c:pt idx="56">
                  <c:v>0.10860487561199898</c:v>
                </c:pt>
                <c:pt idx="57">
                  <c:v>0.31873374875424909</c:v>
                </c:pt>
                <c:pt idx="58">
                  <c:v>0.59095981033701162</c:v>
                </c:pt>
                <c:pt idx="59">
                  <c:v>0.81571156978944703</c:v>
                </c:pt>
                <c:pt idx="60">
                  <c:v>1</c:v>
                </c:pt>
                <c:pt idx="61">
                  <c:v>0.93870406560388131</c:v>
                </c:pt>
                <c:pt idx="62">
                  <c:v>0.81491031574505324</c:v>
                </c:pt>
                <c:pt idx="63">
                  <c:v>0.63262502064548454</c:v>
                </c:pt>
                <c:pt idx="64">
                  <c:v>0.45534756332337645</c:v>
                </c:pt>
                <c:pt idx="65">
                  <c:v>0.34978234297450533</c:v>
                </c:pt>
                <c:pt idx="66">
                  <c:v>0.28227668973433534</c:v>
                </c:pt>
                <c:pt idx="67">
                  <c:v>0.22358483098249621</c:v>
                </c:pt>
                <c:pt idx="68">
                  <c:v>0.16549391276395231</c:v>
                </c:pt>
                <c:pt idx="69">
                  <c:v>0.13504625907699139</c:v>
                </c:pt>
                <c:pt idx="70">
                  <c:v>0.16469265871955863</c:v>
                </c:pt>
                <c:pt idx="71">
                  <c:v>0.20755975009462205</c:v>
                </c:pt>
                <c:pt idx="72">
                  <c:v>0.22598859311567734</c:v>
                </c:pt>
                <c:pt idx="73">
                  <c:v>0.18412306929610606</c:v>
                </c:pt>
                <c:pt idx="74">
                  <c:v>0.15547823720903098</c:v>
                </c:pt>
                <c:pt idx="75">
                  <c:v>0.11601647552264079</c:v>
                </c:pt>
                <c:pt idx="76">
                  <c:v>5.7524930281900054E-2</c:v>
                </c:pt>
                <c:pt idx="77">
                  <c:v>3.3086681927891944E-2</c:v>
                </c:pt>
                <c:pt idx="78">
                  <c:v>1.7662541573313047E-2</c:v>
                </c:pt>
                <c:pt idx="79">
                  <c:v>1.045125517376967E-2</c:v>
                </c:pt>
                <c:pt idx="80">
                  <c:v>-5.6598793664382598E-4</c:v>
                </c:pt>
                <c:pt idx="81">
                  <c:v>7.6468660183916888E-3</c:v>
                </c:pt>
                <c:pt idx="82">
                  <c:v>7.2462389961948336E-3</c:v>
                </c:pt>
                <c:pt idx="83">
                  <c:v>1.4858152417935068E-2</c:v>
                </c:pt>
                <c:pt idx="84">
                  <c:v>2.4387147298325813E-3</c:v>
                </c:pt>
                <c:pt idx="85">
                  <c:v>1.8377741965372998E-3</c:v>
                </c:pt>
                <c:pt idx="86">
                  <c:v>-8.1779013583840598E-3</c:v>
                </c:pt>
                <c:pt idx="87">
                  <c:v>1.0365201521435911E-3</c:v>
                </c:pt>
                <c:pt idx="88">
                  <c:v>-1.3986993180238449E-2</c:v>
                </c:pt>
                <c:pt idx="89">
                  <c:v>-5.5738257141045066E-3</c:v>
                </c:pt>
                <c:pt idx="90">
                  <c:v>-1.6591068824517999E-2</c:v>
                </c:pt>
                <c:pt idx="91">
                  <c:v>-5.9744527363013609E-3</c:v>
                </c:pt>
                <c:pt idx="92">
                  <c:v>-1.8794517446600701E-2</c:v>
                </c:pt>
                <c:pt idx="93">
                  <c:v>-1.1983858069254177E-2</c:v>
                </c:pt>
                <c:pt idx="94">
                  <c:v>-2.1799220113077108E-2</c:v>
                </c:pt>
                <c:pt idx="95">
                  <c:v>-1.318573913584474E-2</c:v>
                </c:pt>
                <c:pt idx="96">
                  <c:v>-2.0797652557584975E-2</c:v>
                </c:pt>
                <c:pt idx="97">
                  <c:v>-1.6390755313419575E-2</c:v>
                </c:pt>
                <c:pt idx="98">
                  <c:v>-2.4002668735159809E-2</c:v>
                </c:pt>
                <c:pt idx="99">
                  <c:v>-1.819357691330542E-2</c:v>
                </c:pt>
                <c:pt idx="100">
                  <c:v>-2.2600474157470817E-2</c:v>
                </c:pt>
                <c:pt idx="101">
                  <c:v>-1.6390755313419575E-2</c:v>
                </c:pt>
                <c:pt idx="102">
                  <c:v>-2.019671202428969E-2</c:v>
                </c:pt>
                <c:pt idx="103">
                  <c:v>-1.7792949891108564E-2</c:v>
                </c:pt>
                <c:pt idx="104">
                  <c:v>-1.7392322868911712E-2</c:v>
                </c:pt>
                <c:pt idx="105">
                  <c:v>-1.5789814780124294E-2</c:v>
                </c:pt>
                <c:pt idx="106">
                  <c:v>-1.2584798602549459E-2</c:v>
                </c:pt>
                <c:pt idx="107">
                  <c:v>-1.3586366158041594E-2</c:v>
                </c:pt>
                <c:pt idx="108">
                  <c:v>-1.3386052646943166E-2</c:v>
                </c:pt>
                <c:pt idx="109">
                  <c:v>-1.318573913584474E-2</c:v>
                </c:pt>
                <c:pt idx="110">
                  <c:v>-1.7192009357813284E-2</c:v>
                </c:pt>
                <c:pt idx="111">
                  <c:v>-1.9796085002092838E-2</c:v>
                </c:pt>
                <c:pt idx="112">
                  <c:v>-1.7192009357813284E-2</c:v>
                </c:pt>
                <c:pt idx="113">
                  <c:v>-1.4788247224632158E-2</c:v>
                </c:pt>
                <c:pt idx="114">
                  <c:v>-1.3786679669140021E-2</c:v>
                </c:pt>
                <c:pt idx="115">
                  <c:v>-1.9395457979895985E-2</c:v>
                </c:pt>
                <c:pt idx="116">
                  <c:v>-1.7392322868911712E-2</c:v>
                </c:pt>
                <c:pt idx="117">
                  <c:v>-2.1198279579781827E-2</c:v>
                </c:pt>
                <c:pt idx="118">
                  <c:v>-1.6591068824517999E-2</c:v>
                </c:pt>
                <c:pt idx="119">
                  <c:v>-1.8594203935502273E-2</c:v>
                </c:pt>
                <c:pt idx="120">
                  <c:v>-1.038134998046676E-2</c:v>
                </c:pt>
                <c:pt idx="121">
                  <c:v>-1.0781977002663612E-2</c:v>
                </c:pt>
                <c:pt idx="122">
                  <c:v>-2.9697500698249528E-3</c:v>
                </c:pt>
                <c:pt idx="123">
                  <c:v>-5.5738257141045066E-3</c:v>
                </c:pt>
                <c:pt idx="124">
                  <c:v>1.2368336632420181E-3</c:v>
                </c:pt>
                <c:pt idx="125">
                  <c:v>3.0396552631278629E-3</c:v>
                </c:pt>
                <c:pt idx="126">
                  <c:v>1.4371471743404452E-3</c:v>
                </c:pt>
                <c:pt idx="127">
                  <c:v>-7.3766473139903511E-3</c:v>
                </c:pt>
                <c:pt idx="128">
                  <c:v>-7.176333802891924E-3</c:v>
                </c:pt>
                <c:pt idx="129">
                  <c:v>-8.3782148694824879E-3</c:v>
                </c:pt>
                <c:pt idx="130">
                  <c:v>-1.2184171580352603E-2</c:v>
                </c:pt>
                <c:pt idx="131">
                  <c:v>-1.038134998046676E-2</c:v>
                </c:pt>
                <c:pt idx="132">
                  <c:v>-9.7804094471714773E-3</c:v>
                </c:pt>
                <c:pt idx="133">
                  <c:v>-1.3586366158041594E-2</c:v>
                </c:pt>
                <c:pt idx="134">
                  <c:v>-1.3386052646943166E-2</c:v>
                </c:pt>
                <c:pt idx="135">
                  <c:v>-1.6991695846714856E-2</c:v>
                </c:pt>
                <c:pt idx="136">
                  <c:v>-1.4988560735730584E-2</c:v>
                </c:pt>
                <c:pt idx="137">
                  <c:v>-1.4387620202435301E-2</c:v>
                </c:pt>
                <c:pt idx="138">
                  <c:v>-1.4387620202435301E-2</c:v>
                </c:pt>
                <c:pt idx="139">
                  <c:v>-1.4788247224632158E-2</c:v>
                </c:pt>
                <c:pt idx="140">
                  <c:v>-1.6991695846714856E-2</c:v>
                </c:pt>
                <c:pt idx="141">
                  <c:v>-1.6591068824517999E-2</c:v>
                </c:pt>
                <c:pt idx="142">
                  <c:v>-1.9796085002092838E-2</c:v>
                </c:pt>
                <c:pt idx="143">
                  <c:v>-1.6791382335616431E-2</c:v>
                </c:pt>
                <c:pt idx="144">
                  <c:v>-1.759263638001014E-2</c:v>
                </c:pt>
                <c:pt idx="145">
                  <c:v>-1.4587933713533731E-2</c:v>
                </c:pt>
                <c:pt idx="146">
                  <c:v>-1.7792949891108564E-2</c:v>
                </c:pt>
                <c:pt idx="147">
                  <c:v>-1.5789814780124294E-2</c:v>
                </c:pt>
                <c:pt idx="148">
                  <c:v>-1.759263638001014E-2</c:v>
                </c:pt>
                <c:pt idx="149">
                  <c:v>-1.7392322868911712E-2</c:v>
                </c:pt>
                <c:pt idx="150">
                  <c:v>-1.9996398513191262E-2</c:v>
                </c:pt>
                <c:pt idx="151">
                  <c:v>-1.7993263402206992E-2</c:v>
                </c:pt>
                <c:pt idx="152">
                  <c:v>-2.2600474157470817E-2</c:v>
                </c:pt>
                <c:pt idx="153">
                  <c:v>-2.3602041712962957E-2</c:v>
                </c:pt>
                <c:pt idx="154">
                  <c:v>-1.819357691330542E-2</c:v>
                </c:pt>
                <c:pt idx="155">
                  <c:v>-1.759263638001014E-2</c:v>
                </c:pt>
                <c:pt idx="156">
                  <c:v>-1.6390755313419575E-2</c:v>
                </c:pt>
                <c:pt idx="157">
                  <c:v>-1.518887424682901E-2</c:v>
                </c:pt>
                <c:pt idx="158">
                  <c:v>-1.6591068824517999E-2</c:v>
                </c:pt>
                <c:pt idx="159">
                  <c:v>-1.6390755313419575E-2</c:v>
                </c:pt>
                <c:pt idx="160">
                  <c:v>-1.5789814780124294E-2</c:v>
                </c:pt>
                <c:pt idx="161">
                  <c:v>-1.959577149099441E-2</c:v>
                </c:pt>
                <c:pt idx="162">
                  <c:v>-2.0597339046486546E-2</c:v>
                </c:pt>
                <c:pt idx="163">
                  <c:v>-2.5805490335045651E-2</c:v>
                </c:pt>
                <c:pt idx="164">
                  <c:v>-2.2800787668569245E-2</c:v>
                </c:pt>
                <c:pt idx="165">
                  <c:v>-1.7993263402206992E-2</c:v>
                </c:pt>
                <c:pt idx="166">
                  <c:v>-1.6390755313419575E-2</c:v>
                </c:pt>
                <c:pt idx="167">
                  <c:v>-1.6791382335616431E-2</c:v>
                </c:pt>
                <c:pt idx="168">
                  <c:v>-1.538918775792744E-2</c:v>
                </c:pt>
                <c:pt idx="169">
                  <c:v>-1.8994830957699129E-2</c:v>
                </c:pt>
                <c:pt idx="170">
                  <c:v>-1.5789814780124294E-2</c:v>
                </c:pt>
                <c:pt idx="171">
                  <c:v>-1.8994830957699129E-2</c:v>
                </c:pt>
                <c:pt idx="172">
                  <c:v>-1.6791382335616431E-2</c:v>
                </c:pt>
                <c:pt idx="173">
                  <c:v>-1.8594203935502273E-2</c:v>
                </c:pt>
                <c:pt idx="174">
                  <c:v>-1.8393890424403848E-2</c:v>
                </c:pt>
                <c:pt idx="175">
                  <c:v>-1.6390755313419575E-2</c:v>
                </c:pt>
                <c:pt idx="176">
                  <c:v>-1.959577149099441E-2</c:v>
                </c:pt>
                <c:pt idx="177">
                  <c:v>-1.5789814780124294E-2</c:v>
                </c:pt>
                <c:pt idx="178">
                  <c:v>-1.7192009357813284E-2</c:v>
                </c:pt>
                <c:pt idx="179">
                  <c:v>-1.959577149099441E-2</c:v>
                </c:pt>
                <c:pt idx="180">
                  <c:v>-1.8994830957699129E-2</c:v>
                </c:pt>
                <c:pt idx="181">
                  <c:v>-1.4788247224632158E-2</c:v>
                </c:pt>
                <c:pt idx="182">
                  <c:v>-2.1999533624175539E-2</c:v>
                </c:pt>
                <c:pt idx="183">
                  <c:v>-2.0997966068683403E-2</c:v>
                </c:pt>
                <c:pt idx="184">
                  <c:v>-1.9395457979895985E-2</c:v>
                </c:pt>
                <c:pt idx="185">
                  <c:v>7.0459254850964072E-3</c:v>
                </c:pt>
                <c:pt idx="186">
                  <c:v>0.105800486456621</c:v>
                </c:pt>
                <c:pt idx="187">
                  <c:v>0.16950018298592084</c:v>
                </c:pt>
                <c:pt idx="188">
                  <c:v>0.16950018298592084</c:v>
                </c:pt>
                <c:pt idx="189">
                  <c:v>0.19974752316178335</c:v>
                </c:pt>
                <c:pt idx="190">
                  <c:v>0.21717479862734654</c:v>
                </c:pt>
                <c:pt idx="191">
                  <c:v>0.33435820261992649</c:v>
                </c:pt>
                <c:pt idx="192">
                  <c:v>0.43631777976902592</c:v>
                </c:pt>
                <c:pt idx="193">
                  <c:v>0.39505319648274989</c:v>
                </c:pt>
                <c:pt idx="194">
                  <c:v>0.36240209417370622</c:v>
                </c:pt>
                <c:pt idx="195">
                  <c:v>0.26204502511339423</c:v>
                </c:pt>
                <c:pt idx="196">
                  <c:v>0.16409171818626331</c:v>
                </c:pt>
                <c:pt idx="197">
                  <c:v>9.2379481213026388E-2</c:v>
                </c:pt>
                <c:pt idx="198">
                  <c:v>2.0466930728691025E-2</c:v>
                </c:pt>
                <c:pt idx="199">
                  <c:v>2.5675082017250134E-2</c:v>
                </c:pt>
                <c:pt idx="200">
                  <c:v>2.5875395528348562E-2</c:v>
                </c:pt>
                <c:pt idx="201">
                  <c:v>3.0883233305809242E-2</c:v>
                </c:pt>
                <c:pt idx="202">
                  <c:v>2.0867557750887885E-2</c:v>
                </c:pt>
                <c:pt idx="203">
                  <c:v>6.4135276148148151E-2</c:v>
                </c:pt>
                <c:pt idx="204">
                  <c:v>4.3903611527207016E-2</c:v>
                </c:pt>
                <c:pt idx="205">
                  <c:v>2.6676649572742274E-2</c:v>
                </c:pt>
                <c:pt idx="206">
                  <c:v>8.848747084982251E-3</c:v>
                </c:pt>
                <c:pt idx="207">
                  <c:v>1.0050628151572814E-2</c:v>
                </c:pt>
                <c:pt idx="208">
                  <c:v>-2.1398593090880255E-2</c:v>
                </c:pt>
                <c:pt idx="209">
                  <c:v>-2.0597339046486546E-2</c:v>
                </c:pt>
                <c:pt idx="210">
                  <c:v>-1.9996398513191262E-2</c:v>
                </c:pt>
                <c:pt idx="211">
                  <c:v>-7.9775878472856335E-3</c:v>
                </c:pt>
                <c:pt idx="212">
                  <c:v>-2.4403295757356662E-2</c:v>
                </c:pt>
                <c:pt idx="213">
                  <c:v>-1.819357691330542E-2</c:v>
                </c:pt>
                <c:pt idx="214">
                  <c:v>-1.759263638001014E-2</c:v>
                </c:pt>
                <c:pt idx="215">
                  <c:v>-1.6591068824517999E-2</c:v>
                </c:pt>
                <c:pt idx="216">
                  <c:v>-2.3401728201864529E-2</c:v>
                </c:pt>
                <c:pt idx="217">
                  <c:v>-1.759263638001014E-2</c:v>
                </c:pt>
                <c:pt idx="218">
                  <c:v>-1.6591068824517999E-2</c:v>
                </c:pt>
                <c:pt idx="219">
                  <c:v>-1.7192009357813284E-2</c:v>
                </c:pt>
                <c:pt idx="220">
                  <c:v>-1.3986993180238449E-2</c:v>
                </c:pt>
                <c:pt idx="221">
                  <c:v>-1.238448509145103E-2</c:v>
                </c:pt>
                <c:pt idx="222">
                  <c:v>-9.5800959360730509E-3</c:v>
                </c:pt>
                <c:pt idx="223">
                  <c:v>-1.2584798602549459E-2</c:v>
                </c:pt>
                <c:pt idx="224">
                  <c:v>-7.9775878472856335E-3</c:v>
                </c:pt>
                <c:pt idx="225">
                  <c:v>-1.1382917535958895E-2</c:v>
                </c:pt>
                <c:pt idx="226">
                  <c:v>-5.3735122030060794E-3</c:v>
                </c:pt>
                <c:pt idx="227">
                  <c:v>-1.0181036469368332E-2</c:v>
                </c:pt>
                <c:pt idx="228">
                  <c:v>-7.3766473139903511E-3</c:v>
                </c:pt>
                <c:pt idx="229">
                  <c:v>-1.1783544558155751E-2</c:v>
                </c:pt>
                <c:pt idx="230">
                  <c:v>-1.2785112113647886E-2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67B-4EE1-8D89-CF8836D2E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4656879"/>
        <c:axId val="344675599"/>
      </c:scatterChart>
      <c:valAx>
        <c:axId val="344656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675599"/>
        <c:crosses val="autoZero"/>
        <c:crossBetween val="midCat"/>
      </c:valAx>
      <c:valAx>
        <c:axId val="34467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656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'SinPlaca#1 '!$O$5:$O$235</c:f>
              <c:numCache>
                <c:formatCode>0.00000</c:formatCode>
                <c:ptCount val="231"/>
                <c:pt idx="0">
                  <c:v>0</c:v>
                </c:pt>
                <c:pt idx="1">
                  <c:v>1.0000099999629697E-5</c:v>
                </c:pt>
                <c:pt idx="2">
                  <c:v>2.0000200000147572E-5</c:v>
                </c:pt>
                <c:pt idx="3">
                  <c:v>3.0000299999777269E-5</c:v>
                </c:pt>
                <c:pt idx="4">
                  <c:v>4.0000399999406966E-5</c:v>
                </c:pt>
                <c:pt idx="5">
                  <c:v>5.0000500009694804E-5</c:v>
                </c:pt>
                <c:pt idx="6">
                  <c:v>6.0000600009324501E-5</c:v>
                </c:pt>
                <c:pt idx="7">
                  <c:v>7.0000700009842376E-5</c:v>
                </c:pt>
                <c:pt idx="8">
                  <c:v>8.0000800009472073E-5</c:v>
                </c:pt>
                <c:pt idx="9">
                  <c:v>9.0000900009989948E-5</c:v>
                </c:pt>
                <c:pt idx="10">
                  <c:v>1.0000100000961964E-4</c:v>
                </c:pt>
                <c:pt idx="11">
                  <c:v>1.1000110001013752E-4</c:v>
                </c:pt>
                <c:pt idx="12">
                  <c:v>1.2000120000976722E-4</c:v>
                </c:pt>
                <c:pt idx="13">
                  <c:v>1.3000130000939691E-4</c:v>
                </c:pt>
                <c:pt idx="14">
                  <c:v>1.4000140000991479E-4</c:v>
                </c:pt>
                <c:pt idx="15">
                  <c:v>1.5000150001931445E-4</c:v>
                </c:pt>
                <c:pt idx="16">
                  <c:v>1.6000160001983232E-4</c:v>
                </c:pt>
                <c:pt idx="17">
                  <c:v>1.7000170001946202E-4</c:v>
                </c:pt>
                <c:pt idx="18">
                  <c:v>1.800018000199799E-4</c:v>
                </c:pt>
                <c:pt idx="19">
                  <c:v>1.9000190001960959E-4</c:v>
                </c:pt>
                <c:pt idx="20">
                  <c:v>2.0000200002012747E-4</c:v>
                </c:pt>
                <c:pt idx="21">
                  <c:v>2.1000210001975717E-4</c:v>
                </c:pt>
                <c:pt idx="22">
                  <c:v>2.2000220001938686E-4</c:v>
                </c:pt>
                <c:pt idx="23">
                  <c:v>2.3000230001990474E-4</c:v>
                </c:pt>
                <c:pt idx="24">
                  <c:v>2.4000240001953443E-4</c:v>
                </c:pt>
                <c:pt idx="25">
                  <c:v>2.5000250002982227E-4</c:v>
                </c:pt>
                <c:pt idx="26">
                  <c:v>2.6000260002945197E-4</c:v>
                </c:pt>
                <c:pt idx="27">
                  <c:v>2.7000270002996984E-4</c:v>
                </c:pt>
                <c:pt idx="28">
                  <c:v>2.8000280002959954E-4</c:v>
                </c:pt>
                <c:pt idx="29">
                  <c:v>2.9000290003011742E-4</c:v>
                </c:pt>
                <c:pt idx="30">
                  <c:v>3.0000300002974711E-4</c:v>
                </c:pt>
                <c:pt idx="31">
                  <c:v>3.1000310002937681E-4</c:v>
                </c:pt>
                <c:pt idx="32">
                  <c:v>3.2000320002989469E-4</c:v>
                </c:pt>
                <c:pt idx="33">
                  <c:v>3.3000330002952438E-4</c:v>
                </c:pt>
                <c:pt idx="34">
                  <c:v>3.4000340003004226E-4</c:v>
                </c:pt>
                <c:pt idx="35">
                  <c:v>3.5000350003944192E-4</c:v>
                </c:pt>
                <c:pt idx="36">
                  <c:v>3.6000360003995979E-4</c:v>
                </c:pt>
                <c:pt idx="37">
                  <c:v>3.7000370003958949E-4</c:v>
                </c:pt>
                <c:pt idx="38">
                  <c:v>3.8000380004010736E-4</c:v>
                </c:pt>
                <c:pt idx="39">
                  <c:v>3.9000390003973706E-4</c:v>
                </c:pt>
                <c:pt idx="40">
                  <c:v>4.0000400003936676E-4</c:v>
                </c:pt>
                <c:pt idx="41">
                  <c:v>4.1000410003988463E-4</c:v>
                </c:pt>
                <c:pt idx="42">
                  <c:v>4.2000420003951433E-4</c:v>
                </c:pt>
                <c:pt idx="43">
                  <c:v>4.3000430004003221E-4</c:v>
                </c:pt>
                <c:pt idx="44">
                  <c:v>4.400044000396619E-4</c:v>
                </c:pt>
                <c:pt idx="45">
                  <c:v>4.5000450004994974E-4</c:v>
                </c:pt>
                <c:pt idx="46">
                  <c:v>4.6000460004957944E-4</c:v>
                </c:pt>
                <c:pt idx="47">
                  <c:v>4.7000470005009731E-4</c:v>
                </c:pt>
                <c:pt idx="48">
                  <c:v>4.8000480004972701E-4</c:v>
                </c:pt>
                <c:pt idx="49">
                  <c:v>4.9000490004935671E-4</c:v>
                </c:pt>
                <c:pt idx="50">
                  <c:v>5.0000500004987458E-4</c:v>
                </c:pt>
                <c:pt idx="51">
                  <c:v>5.1000510004950428E-4</c:v>
                </c:pt>
                <c:pt idx="52">
                  <c:v>5.2000520005002215E-4</c:v>
                </c:pt>
                <c:pt idx="53">
                  <c:v>5.3000530004965185E-4</c:v>
                </c:pt>
                <c:pt idx="54">
                  <c:v>5.4000540004928155E-4</c:v>
                </c:pt>
                <c:pt idx="55">
                  <c:v>5.5000550004979942E-4</c:v>
                </c:pt>
                <c:pt idx="56">
                  <c:v>5.6000560006008726E-4</c:v>
                </c:pt>
                <c:pt idx="57">
                  <c:v>5.7000570005971696E-4</c:v>
                </c:pt>
                <c:pt idx="58">
                  <c:v>5.8000580005934665E-4</c:v>
                </c:pt>
                <c:pt idx="59">
                  <c:v>5.9000590005986453E-4</c:v>
                </c:pt>
                <c:pt idx="60">
                  <c:v>6.0000600005949423E-4</c:v>
                </c:pt>
                <c:pt idx="61">
                  <c:v>6.100061000600121E-4</c:v>
                </c:pt>
                <c:pt idx="62">
                  <c:v>6.200062000596418E-4</c:v>
                </c:pt>
                <c:pt idx="63">
                  <c:v>6.300063000592715E-4</c:v>
                </c:pt>
                <c:pt idx="64">
                  <c:v>6.4000640005978937E-4</c:v>
                </c:pt>
                <c:pt idx="65">
                  <c:v>6.5000650007007721E-4</c:v>
                </c:pt>
                <c:pt idx="66">
                  <c:v>6.6000660006970691E-4</c:v>
                </c:pt>
                <c:pt idx="67">
                  <c:v>6.700067000693366E-4</c:v>
                </c:pt>
                <c:pt idx="68">
                  <c:v>6.8000680006985448E-4</c:v>
                </c:pt>
                <c:pt idx="69">
                  <c:v>6.9000690006948417E-4</c:v>
                </c:pt>
                <c:pt idx="70">
                  <c:v>7.0000700007000205E-4</c:v>
                </c:pt>
                <c:pt idx="71">
                  <c:v>7.1000710006963175E-4</c:v>
                </c:pt>
                <c:pt idx="72">
                  <c:v>7.2000720007014962E-4</c:v>
                </c:pt>
                <c:pt idx="73">
                  <c:v>7.3000730006977932E-4</c:v>
                </c:pt>
                <c:pt idx="74">
                  <c:v>7.4000740006940902E-4</c:v>
                </c:pt>
                <c:pt idx="75">
                  <c:v>7.5000750007969685E-4</c:v>
                </c:pt>
                <c:pt idx="76">
                  <c:v>7.6000760007932655E-4</c:v>
                </c:pt>
                <c:pt idx="77">
                  <c:v>7.7000770007984443E-4</c:v>
                </c:pt>
                <c:pt idx="78">
                  <c:v>7.8000780007947412E-4</c:v>
                </c:pt>
                <c:pt idx="79">
                  <c:v>7.90007900079992E-4</c:v>
                </c:pt>
                <c:pt idx="80">
                  <c:v>8.000080000796217E-4</c:v>
                </c:pt>
                <c:pt idx="81">
                  <c:v>8.1000810008013957E-4</c:v>
                </c:pt>
                <c:pt idx="82">
                  <c:v>8.2000820007976927E-4</c:v>
                </c:pt>
                <c:pt idx="83">
                  <c:v>8.3000830007939896E-4</c:v>
                </c:pt>
                <c:pt idx="84">
                  <c:v>8.4000840007991684E-4</c:v>
                </c:pt>
                <c:pt idx="85">
                  <c:v>8.500085000893165E-4</c:v>
                </c:pt>
                <c:pt idx="86">
                  <c:v>8.6000860008983437E-4</c:v>
                </c:pt>
                <c:pt idx="87">
                  <c:v>8.7000870008946407E-4</c:v>
                </c:pt>
                <c:pt idx="88">
                  <c:v>8.8000880008998195E-4</c:v>
                </c:pt>
                <c:pt idx="89">
                  <c:v>8.9000890008961164E-4</c:v>
                </c:pt>
                <c:pt idx="90">
                  <c:v>9.0000900009012952E-4</c:v>
                </c:pt>
                <c:pt idx="91">
                  <c:v>9.1000910008975922E-4</c:v>
                </c:pt>
                <c:pt idx="92">
                  <c:v>9.2000920008938891E-4</c:v>
                </c:pt>
                <c:pt idx="93">
                  <c:v>9.3000930008990679E-4</c:v>
                </c:pt>
                <c:pt idx="94">
                  <c:v>9.4000940008953648E-4</c:v>
                </c:pt>
                <c:pt idx="95">
                  <c:v>9.5000950009982432E-4</c:v>
                </c:pt>
                <c:pt idx="96">
                  <c:v>9.6000960009945402E-4</c:v>
                </c:pt>
                <c:pt idx="97">
                  <c:v>9.7000970009997189E-4</c:v>
                </c:pt>
                <c:pt idx="98">
                  <c:v>9.8000980009960159E-4</c:v>
                </c:pt>
                <c:pt idx="99">
                  <c:v>9.9000990010011947E-4</c:v>
                </c:pt>
                <c:pt idx="100">
                  <c:v>1.0000100000997492E-3</c:v>
                </c:pt>
                <c:pt idx="101">
                  <c:v>1.0100101000993789E-3</c:v>
                </c:pt>
                <c:pt idx="102">
                  <c:v>1.0200102000998967E-3</c:v>
                </c:pt>
                <c:pt idx="103">
                  <c:v>1.0300103000995264E-3</c:v>
                </c:pt>
                <c:pt idx="104">
                  <c:v>1.0400104001000443E-3</c:v>
                </c:pt>
                <c:pt idx="105">
                  <c:v>1.050010500109444E-3</c:v>
                </c:pt>
                <c:pt idx="106">
                  <c:v>1.0600106001099618E-3</c:v>
                </c:pt>
                <c:pt idx="107">
                  <c:v>1.0700107001095915E-3</c:v>
                </c:pt>
                <c:pt idx="108">
                  <c:v>1.0800108001101094E-3</c:v>
                </c:pt>
                <c:pt idx="109">
                  <c:v>1.0900109001097391E-3</c:v>
                </c:pt>
                <c:pt idx="110">
                  <c:v>1.1000110001093688E-3</c:v>
                </c:pt>
                <c:pt idx="111">
                  <c:v>1.1100111001098867E-3</c:v>
                </c:pt>
                <c:pt idx="112">
                  <c:v>1.1200112001095164E-3</c:v>
                </c:pt>
                <c:pt idx="113">
                  <c:v>1.1300113001100343E-3</c:v>
                </c:pt>
                <c:pt idx="114">
                  <c:v>1.140011400109664E-3</c:v>
                </c:pt>
                <c:pt idx="115">
                  <c:v>1.1500115001199518E-3</c:v>
                </c:pt>
                <c:pt idx="116">
                  <c:v>1.1600116001195815E-3</c:v>
                </c:pt>
                <c:pt idx="117">
                  <c:v>1.1700117001200994E-3</c:v>
                </c:pt>
                <c:pt idx="118">
                  <c:v>1.1800118001197291E-3</c:v>
                </c:pt>
                <c:pt idx="119">
                  <c:v>1.1900119001193588E-3</c:v>
                </c:pt>
                <c:pt idx="120">
                  <c:v>1.2000120001198766E-3</c:v>
                </c:pt>
                <c:pt idx="121">
                  <c:v>1.2100121001195063E-3</c:v>
                </c:pt>
                <c:pt idx="122">
                  <c:v>1.2200122001200242E-3</c:v>
                </c:pt>
                <c:pt idx="123">
                  <c:v>1.2300123001196539E-3</c:v>
                </c:pt>
                <c:pt idx="124">
                  <c:v>1.2400124001192836E-3</c:v>
                </c:pt>
                <c:pt idx="125">
                  <c:v>1.2500125001198015E-3</c:v>
                </c:pt>
                <c:pt idx="126">
                  <c:v>1.2600126001300893E-3</c:v>
                </c:pt>
                <c:pt idx="127">
                  <c:v>1.270012700129719E-3</c:v>
                </c:pt>
                <c:pt idx="128">
                  <c:v>1.2800128001293487E-3</c:v>
                </c:pt>
                <c:pt idx="129">
                  <c:v>1.2900129001298666E-3</c:v>
                </c:pt>
                <c:pt idx="130">
                  <c:v>1.3000130001294963E-3</c:v>
                </c:pt>
                <c:pt idx="131">
                  <c:v>1.3100131001300142E-3</c:v>
                </c:pt>
                <c:pt idx="132">
                  <c:v>1.3200132001296438E-3</c:v>
                </c:pt>
                <c:pt idx="133">
                  <c:v>1.3300133001292735E-3</c:v>
                </c:pt>
                <c:pt idx="134">
                  <c:v>1.3400134001297914E-3</c:v>
                </c:pt>
                <c:pt idx="135">
                  <c:v>1.3500135001400793E-3</c:v>
                </c:pt>
                <c:pt idx="136">
                  <c:v>1.360013600139709E-3</c:v>
                </c:pt>
                <c:pt idx="137">
                  <c:v>1.3700137001393387E-3</c:v>
                </c:pt>
                <c:pt idx="138">
                  <c:v>1.3800138001398565E-3</c:v>
                </c:pt>
                <c:pt idx="139">
                  <c:v>1.3900139001394862E-3</c:v>
                </c:pt>
                <c:pt idx="140">
                  <c:v>1.4000140001400041E-3</c:v>
                </c:pt>
                <c:pt idx="141">
                  <c:v>1.4100141001396338E-3</c:v>
                </c:pt>
                <c:pt idx="142">
                  <c:v>1.4200142001401517E-3</c:v>
                </c:pt>
                <c:pt idx="143">
                  <c:v>1.4300143001397814E-3</c:v>
                </c:pt>
                <c:pt idx="144">
                  <c:v>1.4400144001394111E-3</c:v>
                </c:pt>
                <c:pt idx="145">
                  <c:v>1.4500145001496989E-3</c:v>
                </c:pt>
                <c:pt idx="146">
                  <c:v>1.4600146001493286E-3</c:v>
                </c:pt>
                <c:pt idx="147">
                  <c:v>1.4700147001498465E-3</c:v>
                </c:pt>
                <c:pt idx="148">
                  <c:v>1.4800148001494762E-3</c:v>
                </c:pt>
                <c:pt idx="149">
                  <c:v>1.490014900149994E-3</c:v>
                </c:pt>
                <c:pt idx="150">
                  <c:v>1.5000150001496237E-3</c:v>
                </c:pt>
                <c:pt idx="151">
                  <c:v>1.5100151001501416E-3</c:v>
                </c:pt>
                <c:pt idx="152">
                  <c:v>1.5200152001497713E-3</c:v>
                </c:pt>
                <c:pt idx="153">
                  <c:v>1.530015300149401E-3</c:v>
                </c:pt>
                <c:pt idx="154">
                  <c:v>1.5400154001499189E-3</c:v>
                </c:pt>
                <c:pt idx="155">
                  <c:v>1.5500155001593185E-3</c:v>
                </c:pt>
                <c:pt idx="156">
                  <c:v>1.5600156001598364E-3</c:v>
                </c:pt>
                <c:pt idx="157">
                  <c:v>1.5700157001594661E-3</c:v>
                </c:pt>
                <c:pt idx="158">
                  <c:v>1.580015800159984E-3</c:v>
                </c:pt>
                <c:pt idx="159">
                  <c:v>1.5900159001596137E-3</c:v>
                </c:pt>
                <c:pt idx="160">
                  <c:v>1.6000160001601316E-3</c:v>
                </c:pt>
                <c:pt idx="161">
                  <c:v>1.6100161001597613E-3</c:v>
                </c:pt>
                <c:pt idx="162">
                  <c:v>1.620016200159391E-3</c:v>
                </c:pt>
                <c:pt idx="163">
                  <c:v>1.6300163001599088E-3</c:v>
                </c:pt>
                <c:pt idx="164">
                  <c:v>1.6400164001595385E-3</c:v>
                </c:pt>
                <c:pt idx="165">
                  <c:v>1.6500165001698264E-3</c:v>
                </c:pt>
                <c:pt idx="166">
                  <c:v>1.6600166001694561E-3</c:v>
                </c:pt>
                <c:pt idx="167">
                  <c:v>1.6700167001699739E-3</c:v>
                </c:pt>
                <c:pt idx="168">
                  <c:v>1.6800168001696036E-3</c:v>
                </c:pt>
                <c:pt idx="169">
                  <c:v>1.6900169001701215E-3</c:v>
                </c:pt>
                <c:pt idx="170">
                  <c:v>1.7000170001697512E-3</c:v>
                </c:pt>
                <c:pt idx="171">
                  <c:v>1.7100171001693809E-3</c:v>
                </c:pt>
                <c:pt idx="172">
                  <c:v>1.7200172001698988E-3</c:v>
                </c:pt>
                <c:pt idx="173">
                  <c:v>1.7300173001695285E-3</c:v>
                </c:pt>
                <c:pt idx="174">
                  <c:v>1.7400174001700464E-3</c:v>
                </c:pt>
                <c:pt idx="175">
                  <c:v>1.750017500179446E-3</c:v>
                </c:pt>
                <c:pt idx="176">
                  <c:v>1.7600176001799639E-3</c:v>
                </c:pt>
                <c:pt idx="177">
                  <c:v>1.7700177001795936E-3</c:v>
                </c:pt>
                <c:pt idx="178">
                  <c:v>1.7800178001801115E-3</c:v>
                </c:pt>
                <c:pt idx="179">
                  <c:v>1.7900179001797412E-3</c:v>
                </c:pt>
                <c:pt idx="180">
                  <c:v>1.8000180001793709E-3</c:v>
                </c:pt>
                <c:pt idx="181">
                  <c:v>1.8100181001798887E-3</c:v>
                </c:pt>
                <c:pt idx="182">
                  <c:v>1.8200182001795184E-3</c:v>
                </c:pt>
                <c:pt idx="183">
                  <c:v>1.8300183001800363E-3</c:v>
                </c:pt>
                <c:pt idx="184">
                  <c:v>1.840018400179666E-3</c:v>
                </c:pt>
                <c:pt idx="185">
                  <c:v>1.8500185001899538E-3</c:v>
                </c:pt>
                <c:pt idx="186">
                  <c:v>1.8600186001895835E-3</c:v>
                </c:pt>
                <c:pt idx="187">
                  <c:v>1.8700187001901014E-3</c:v>
                </c:pt>
                <c:pt idx="188">
                  <c:v>1.8800188001897311E-3</c:v>
                </c:pt>
                <c:pt idx="189">
                  <c:v>1.8900189001893608E-3</c:v>
                </c:pt>
                <c:pt idx="190">
                  <c:v>1.9000190001898787E-3</c:v>
                </c:pt>
                <c:pt idx="191">
                  <c:v>1.9100191001895084E-3</c:v>
                </c:pt>
                <c:pt idx="192">
                  <c:v>1.9200192001900263E-3</c:v>
                </c:pt>
                <c:pt idx="193">
                  <c:v>1.930019300189656E-3</c:v>
                </c:pt>
                <c:pt idx="194">
                  <c:v>1.9400194001892856E-3</c:v>
                </c:pt>
                <c:pt idx="195">
                  <c:v>1.9500195001898035E-3</c:v>
                </c:pt>
                <c:pt idx="196">
                  <c:v>1.9600196002000914E-3</c:v>
                </c:pt>
                <c:pt idx="197">
                  <c:v>1.9700197001997211E-3</c:v>
                </c:pt>
                <c:pt idx="198">
                  <c:v>1.9800198001993508E-3</c:v>
                </c:pt>
                <c:pt idx="199">
                  <c:v>1.9900199001998686E-3</c:v>
                </c:pt>
                <c:pt idx="200">
                  <c:v>2.0000200001994983E-3</c:v>
                </c:pt>
                <c:pt idx="201">
                  <c:v>2.0100201002000162E-3</c:v>
                </c:pt>
                <c:pt idx="202">
                  <c:v>2.0200202001996459E-3</c:v>
                </c:pt>
                <c:pt idx="203">
                  <c:v>2.0300203001992756E-3</c:v>
                </c:pt>
                <c:pt idx="204">
                  <c:v>2.0400204001997935E-3</c:v>
                </c:pt>
                <c:pt idx="205">
                  <c:v>2.0500205002100813E-3</c:v>
                </c:pt>
                <c:pt idx="206">
                  <c:v>2.060020600209711E-3</c:v>
                </c:pt>
                <c:pt idx="207">
                  <c:v>2.0700207002093407E-3</c:v>
                </c:pt>
                <c:pt idx="208">
                  <c:v>2.0800208002098586E-3</c:v>
                </c:pt>
                <c:pt idx="209">
                  <c:v>2.0900209002094883E-3</c:v>
                </c:pt>
                <c:pt idx="210">
                  <c:v>2.1000210002100062E-3</c:v>
                </c:pt>
                <c:pt idx="211">
                  <c:v>2.1100211002096358E-3</c:v>
                </c:pt>
                <c:pt idx="212">
                  <c:v>2.1200212002101537E-3</c:v>
                </c:pt>
                <c:pt idx="213">
                  <c:v>2.1300213002097834E-3</c:v>
                </c:pt>
                <c:pt idx="214">
                  <c:v>2.1400214002094131E-3</c:v>
                </c:pt>
                <c:pt idx="215">
                  <c:v>2.150021500219701E-3</c:v>
                </c:pt>
                <c:pt idx="216">
                  <c:v>2.1600216002193307E-3</c:v>
                </c:pt>
                <c:pt idx="217">
                  <c:v>2.1700217002198485E-3</c:v>
                </c:pt>
                <c:pt idx="218">
                  <c:v>2.1800218002194782E-3</c:v>
                </c:pt>
                <c:pt idx="219">
                  <c:v>2.1900219002199961E-3</c:v>
                </c:pt>
                <c:pt idx="220">
                  <c:v>2.2000220002196258E-3</c:v>
                </c:pt>
                <c:pt idx="221">
                  <c:v>2.2100221002201437E-3</c:v>
                </c:pt>
                <c:pt idx="222">
                  <c:v>2.2200222002197734E-3</c:v>
                </c:pt>
                <c:pt idx="223">
                  <c:v>2.2300223002194031E-3</c:v>
                </c:pt>
                <c:pt idx="224">
                  <c:v>2.2400224002199209E-3</c:v>
                </c:pt>
                <c:pt idx="225">
                  <c:v>2.2500225002293206E-3</c:v>
                </c:pt>
                <c:pt idx="226">
                  <c:v>2.2600226002298385E-3</c:v>
                </c:pt>
                <c:pt idx="227">
                  <c:v>2.2700227002294682E-3</c:v>
                </c:pt>
                <c:pt idx="228">
                  <c:v>2.280022800229986E-3</c:v>
                </c:pt>
                <c:pt idx="229">
                  <c:v>2.2900229002296157E-3</c:v>
                </c:pt>
                <c:pt idx="230">
                  <c:v>2.3000230002301336E-3</c:v>
                </c:pt>
              </c:numCache>
            </c:numRef>
          </c:xVal>
          <c:yVal>
            <c:numRef>
              <c:f>'SinPlaca#1 '!$Q$5:$Q$385</c:f>
              <c:numCache>
                <c:formatCode>General</c:formatCode>
                <c:ptCount val="381"/>
                <c:pt idx="0">
                  <c:v>-6.4112194261251136E-3</c:v>
                </c:pt>
                <c:pt idx="1">
                  <c:v>-2.0493415586040326E-4</c:v>
                </c:pt>
                <c:pt idx="2">
                  <c:v>-8.1489793017992321E-3</c:v>
                </c:pt>
                <c:pt idx="3">
                  <c:v>-5.6664651936933477E-3</c:v>
                </c:pt>
                <c:pt idx="4">
                  <c:v>-5.6664651936933477E-3</c:v>
                </c:pt>
                <c:pt idx="5">
                  <c:v>-5.4182137828827593E-3</c:v>
                </c:pt>
                <c:pt idx="6">
                  <c:v>2.9156866576077341E-4</c:v>
                </c:pt>
                <c:pt idx="7">
                  <c:v>-4.1769567288298176E-3</c:v>
                </c:pt>
                <c:pt idx="8">
                  <c:v>-4.1769567288298176E-3</c:v>
                </c:pt>
                <c:pt idx="9">
                  <c:v>-6.9077222477462903E-3</c:v>
                </c:pt>
                <c:pt idx="10">
                  <c:v>-6.1629680153145244E-3</c:v>
                </c:pt>
                <c:pt idx="11">
                  <c:v>-7.4042250693674662E-3</c:v>
                </c:pt>
                <c:pt idx="12">
                  <c:v>-4.9217109612615826E-3</c:v>
                </c:pt>
                <c:pt idx="13">
                  <c:v>-3.1839510855874637E-3</c:v>
                </c:pt>
                <c:pt idx="14">
                  <c:v>-2.9356996747768758E-3</c:v>
                </c:pt>
                <c:pt idx="15">
                  <c:v>-5.169962372072171E-3</c:v>
                </c:pt>
                <c:pt idx="16">
                  <c:v>-5.169962372072171E-3</c:v>
                </c:pt>
                <c:pt idx="17">
                  <c:v>-6.6594708369357011E-3</c:v>
                </c:pt>
                <c:pt idx="18">
                  <c:v>-3.9287053180192292E-3</c:v>
                </c:pt>
                <c:pt idx="19">
                  <c:v>-2.6874482639662875E-3</c:v>
                </c:pt>
                <c:pt idx="20">
                  <c:v>-2.4391968531556991E-3</c:v>
                </c:pt>
                <c:pt idx="21">
                  <c:v>-3.6804539072086413E-3</c:v>
                </c:pt>
                <c:pt idx="22">
                  <c:v>-5.169962372072171E-3</c:v>
                </c:pt>
                <c:pt idx="23">
                  <c:v>-3.6804539072086413E-3</c:v>
                </c:pt>
                <c:pt idx="24">
                  <c:v>-4.4252081396404059E-3</c:v>
                </c:pt>
                <c:pt idx="25">
                  <c:v>-2.9356996747768758E-3</c:v>
                </c:pt>
                <c:pt idx="26">
                  <c:v>-2.4391968531556991E-3</c:v>
                </c:pt>
                <c:pt idx="27">
                  <c:v>-4.5318556667099159E-4</c:v>
                </c:pt>
                <c:pt idx="28">
                  <c:v>-5.914716604503936E-3</c:v>
                </c:pt>
                <c:pt idx="29">
                  <c:v>4.3317254950184864E-5</c:v>
                </c:pt>
                <c:pt idx="30">
                  <c:v>-2.1909454423451108E-3</c:v>
                </c:pt>
                <c:pt idx="31">
                  <c:v>-1.9426940315345226E-3</c:v>
                </c:pt>
                <c:pt idx="32">
                  <c:v>-1.6944426207239341E-3</c:v>
                </c:pt>
                <c:pt idx="33">
                  <c:v>7.8807148738194947E-4</c:v>
                </c:pt>
                <c:pt idx="34">
                  <c:v>-2.0493415586040326E-4</c:v>
                </c:pt>
                <c:pt idx="35">
                  <c:v>-1.9426940315345226E-3</c:v>
                </c:pt>
                <c:pt idx="36">
                  <c:v>-6.6594708369357011E-3</c:v>
                </c:pt>
                <c:pt idx="37">
                  <c:v>-2.6874482639662875E-3</c:v>
                </c:pt>
                <c:pt idx="38">
                  <c:v>-9.4968838829216911E-4</c:v>
                </c:pt>
                <c:pt idx="39">
                  <c:v>-9.4968838829216911E-4</c:v>
                </c:pt>
                <c:pt idx="40">
                  <c:v>1.2845743090031262E-3</c:v>
                </c:pt>
                <c:pt idx="41">
                  <c:v>4.3317254950184864E-5</c:v>
                </c:pt>
                <c:pt idx="42">
                  <c:v>-2.1909454423451108E-3</c:v>
                </c:pt>
                <c:pt idx="43">
                  <c:v>-2.6874482639662875E-3</c:v>
                </c:pt>
                <c:pt idx="44">
                  <c:v>5.3982007657136101E-4</c:v>
                </c:pt>
                <c:pt idx="45">
                  <c:v>2.9156866576077341E-4</c:v>
                </c:pt>
                <c:pt idx="46">
                  <c:v>6.2496025252148932E-3</c:v>
                </c:pt>
                <c:pt idx="47">
                  <c:v>-1.6944426207239341E-3</c:v>
                </c:pt>
                <c:pt idx="48">
                  <c:v>-3.6804539072086413E-3</c:v>
                </c:pt>
                <c:pt idx="49">
                  <c:v>-1.1979397991027576E-3</c:v>
                </c:pt>
                <c:pt idx="50">
                  <c:v>1.0363228981925378E-3</c:v>
                </c:pt>
                <c:pt idx="51">
                  <c:v>4.7600940603513631E-3</c:v>
                </c:pt>
                <c:pt idx="52">
                  <c:v>5.7530997035937165E-3</c:v>
                </c:pt>
                <c:pt idx="53">
                  <c:v>1.568315613601725E-2</c:v>
                </c:pt>
                <c:pt idx="54">
                  <c:v>3.430201194681138E-2</c:v>
                </c:pt>
                <c:pt idx="55">
                  <c:v>0.10430890979539729</c:v>
                </c:pt>
                <c:pt idx="56">
                  <c:v>0.2505289907628338</c:v>
                </c:pt>
                <c:pt idx="57">
                  <c:v>0.48115455140587038</c:v>
                </c:pt>
                <c:pt idx="58">
                  <c:v>0.72965421362726934</c:v>
                </c:pt>
                <c:pt idx="59">
                  <c:v>0.92775883945411886</c:v>
                </c:pt>
                <c:pt idx="60">
                  <c:v>1</c:v>
                </c:pt>
                <c:pt idx="61">
                  <c:v>0.93893015294059534</c:v>
                </c:pt>
                <c:pt idx="62">
                  <c:v>0.79395132902721177</c:v>
                </c:pt>
                <c:pt idx="63">
                  <c:v>0.6363116831624881</c:v>
                </c:pt>
                <c:pt idx="64">
                  <c:v>0.50002165862747505</c:v>
                </c:pt>
                <c:pt idx="65">
                  <c:v>0.36472463973570446</c:v>
                </c:pt>
                <c:pt idx="66">
                  <c:v>0.26840309234119619</c:v>
                </c:pt>
                <c:pt idx="67">
                  <c:v>0.21775980453583615</c:v>
                </c:pt>
                <c:pt idx="68">
                  <c:v>0.19988570295747382</c:v>
                </c:pt>
                <c:pt idx="69">
                  <c:v>0.19318291486558792</c:v>
                </c:pt>
                <c:pt idx="70">
                  <c:v>0.21478078760610914</c:v>
                </c:pt>
                <c:pt idx="71">
                  <c:v>0.20087870860071619</c:v>
                </c:pt>
                <c:pt idx="72">
                  <c:v>0.15718646029805261</c:v>
                </c:pt>
                <c:pt idx="73">
                  <c:v>0.110515195065662</c:v>
                </c:pt>
                <c:pt idx="74">
                  <c:v>8.3704042698118458E-2</c:v>
                </c:pt>
                <c:pt idx="75">
                  <c:v>3.3309006303569026E-2</c:v>
                </c:pt>
                <c:pt idx="76">
                  <c:v>2.8592229498167844E-2</c:v>
                </c:pt>
                <c:pt idx="77">
                  <c:v>2.2634195638713724E-2</c:v>
                </c:pt>
                <c:pt idx="78">
                  <c:v>8.7321166333207776E-3</c:v>
                </c:pt>
                <c:pt idx="79">
                  <c:v>-1.2865756107200411E-2</c:v>
                </c:pt>
                <c:pt idx="80">
                  <c:v>-5.4182137828827593E-3</c:v>
                </c:pt>
                <c:pt idx="81">
                  <c:v>2.9156866576077341E-4</c:v>
                </c:pt>
                <c:pt idx="82">
                  <c:v>-9.1419849450415855E-3</c:v>
                </c:pt>
                <c:pt idx="83">
                  <c:v>-1.0134990588283937E-2</c:v>
                </c:pt>
                <c:pt idx="84">
                  <c:v>-7.6524764801780536E-3</c:v>
                </c:pt>
                <c:pt idx="85">
                  <c:v>-9.8867391774733505E-3</c:v>
                </c:pt>
                <c:pt idx="86">
                  <c:v>-1.1127996231526291E-2</c:v>
                </c:pt>
                <c:pt idx="87">
                  <c:v>-1.5348270215306293E-2</c:v>
                </c:pt>
                <c:pt idx="88">
                  <c:v>-1.6093024447738059E-2</c:v>
                </c:pt>
                <c:pt idx="89">
                  <c:v>-1.4355264572063939E-2</c:v>
                </c:pt>
                <c:pt idx="90">
                  <c:v>-1.3610510339632174E-2</c:v>
                </c:pt>
                <c:pt idx="91">
                  <c:v>-1.0383241999094527E-2</c:v>
                </c:pt>
                <c:pt idx="92">
                  <c:v>-1.0383241999094527E-2</c:v>
                </c:pt>
                <c:pt idx="93">
                  <c:v>-1.2369253285579232E-2</c:v>
                </c:pt>
                <c:pt idx="94">
                  <c:v>-1.2369253285579232E-2</c:v>
                </c:pt>
                <c:pt idx="95">
                  <c:v>-1.3858761750442764E-2</c:v>
                </c:pt>
                <c:pt idx="96">
                  <c:v>-1.2865756107200411E-2</c:v>
                </c:pt>
                <c:pt idx="97">
                  <c:v>-1.3610510339632174E-2</c:v>
                </c:pt>
                <c:pt idx="98">
                  <c:v>-1.7582532912601589E-2</c:v>
                </c:pt>
                <c:pt idx="99">
                  <c:v>-1.3858761750442764E-2</c:v>
                </c:pt>
                <c:pt idx="100">
                  <c:v>-1.9320292788275708E-2</c:v>
                </c:pt>
                <c:pt idx="101">
                  <c:v>-1.4107013161253351E-2</c:v>
                </c:pt>
                <c:pt idx="102">
                  <c:v>-1.9816795609896885E-2</c:v>
                </c:pt>
                <c:pt idx="103">
                  <c:v>-1.6093024447738059E-2</c:v>
                </c:pt>
                <c:pt idx="104">
                  <c:v>-1.9816795609896885E-2</c:v>
                </c:pt>
                <c:pt idx="105">
                  <c:v>-2.1058052663949826E-2</c:v>
                </c:pt>
                <c:pt idx="106">
                  <c:v>-2.1554555485571003E-2</c:v>
                </c:pt>
                <c:pt idx="107">
                  <c:v>-1.907204137746512E-2</c:v>
                </c:pt>
                <c:pt idx="108">
                  <c:v>-2.2299309718002765E-2</c:v>
                </c:pt>
                <c:pt idx="109">
                  <c:v>-2.1306304074760415E-2</c:v>
                </c:pt>
                <c:pt idx="110">
                  <c:v>-1.3858761750442764E-2</c:v>
                </c:pt>
                <c:pt idx="111">
                  <c:v>-1.4107013161253351E-2</c:v>
                </c:pt>
                <c:pt idx="112">
                  <c:v>-8.8937335342309954E-3</c:v>
                </c:pt>
                <c:pt idx="113">
                  <c:v>-6.9077222477462903E-3</c:v>
                </c:pt>
                <c:pt idx="114">
                  <c:v>-7.9007278909886437E-3</c:v>
                </c:pt>
                <c:pt idx="115">
                  <c:v>-7.6524764801780536E-3</c:v>
                </c:pt>
                <c:pt idx="116">
                  <c:v>-4.9217109612615826E-3</c:v>
                </c:pt>
                <c:pt idx="117">
                  <c:v>-8.8937335342309954E-3</c:v>
                </c:pt>
                <c:pt idx="118">
                  <c:v>-9.3902363558521721E-3</c:v>
                </c:pt>
                <c:pt idx="119">
                  <c:v>-1.2121001874768646E-2</c:v>
                </c:pt>
                <c:pt idx="120">
                  <c:v>-1.0879744820715704E-2</c:v>
                </c:pt>
                <c:pt idx="121">
                  <c:v>-9.1419849450415855E-3</c:v>
                </c:pt>
                <c:pt idx="122">
                  <c:v>-1.1376247642336881E-2</c:v>
                </c:pt>
                <c:pt idx="123">
                  <c:v>-1.4355264572063939E-2</c:v>
                </c:pt>
                <c:pt idx="124">
                  <c:v>-8.6454821234204088E-3</c:v>
                </c:pt>
                <c:pt idx="125">
                  <c:v>-8.1489793017992321E-3</c:v>
                </c:pt>
                <c:pt idx="126">
                  <c:v>-1.7830784323412178E-2</c:v>
                </c:pt>
                <c:pt idx="127">
                  <c:v>-1.7086030090980409E-2</c:v>
                </c:pt>
                <c:pt idx="128">
                  <c:v>-1.2369253285579232E-2</c:v>
                </c:pt>
                <c:pt idx="129">
                  <c:v>-1.7086030090980409E-2</c:v>
                </c:pt>
                <c:pt idx="130">
                  <c:v>-1.7830784323412178E-2</c:v>
                </c:pt>
                <c:pt idx="131">
                  <c:v>-1.4851767393685118E-2</c:v>
                </c:pt>
                <c:pt idx="132">
                  <c:v>-1.4355264572063939E-2</c:v>
                </c:pt>
                <c:pt idx="133">
                  <c:v>-1.6341275858548648E-2</c:v>
                </c:pt>
                <c:pt idx="134">
                  <c:v>-1.5596521626116883E-2</c:v>
                </c:pt>
                <c:pt idx="135">
                  <c:v>-1.907204137746512E-2</c:v>
                </c:pt>
                <c:pt idx="136">
                  <c:v>-1.4355264572063939E-2</c:v>
                </c:pt>
                <c:pt idx="137">
                  <c:v>-1.7830784323412178E-2</c:v>
                </c:pt>
                <c:pt idx="138">
                  <c:v>-2.1802806896381591E-2</c:v>
                </c:pt>
                <c:pt idx="139">
                  <c:v>-2.2547561128813357E-2</c:v>
                </c:pt>
                <c:pt idx="140">
                  <c:v>-2.2299309718002765E-2</c:v>
                </c:pt>
                <c:pt idx="141">
                  <c:v>-2.1306304074760415E-2</c:v>
                </c:pt>
                <c:pt idx="142">
                  <c:v>-2.0809801253139238E-2</c:v>
                </c:pt>
                <c:pt idx="143">
                  <c:v>-2.2299309718002765E-2</c:v>
                </c:pt>
                <c:pt idx="144">
                  <c:v>-1.9320292788275708E-2</c:v>
                </c:pt>
                <c:pt idx="145">
                  <c:v>-1.8327287145033355E-2</c:v>
                </c:pt>
                <c:pt idx="146">
                  <c:v>-1.6837778680169824E-2</c:v>
                </c:pt>
                <c:pt idx="147">
                  <c:v>-1.7334281501791001E-2</c:v>
                </c:pt>
                <c:pt idx="148">
                  <c:v>-9.3902363558521721E-3</c:v>
                </c:pt>
                <c:pt idx="149">
                  <c:v>-1.8079035734222766E-2</c:v>
                </c:pt>
                <c:pt idx="150">
                  <c:v>-1.907204137746512E-2</c:v>
                </c:pt>
                <c:pt idx="151">
                  <c:v>-1.2865756107200411E-2</c:v>
                </c:pt>
                <c:pt idx="152">
                  <c:v>-9.3902363558521721E-3</c:v>
                </c:pt>
                <c:pt idx="153">
                  <c:v>-7.6524764801780536E-3</c:v>
                </c:pt>
                <c:pt idx="154">
                  <c:v>-4.6734595504509943E-3</c:v>
                </c:pt>
                <c:pt idx="155">
                  <c:v>-1.5100018804495704E-2</c:v>
                </c:pt>
                <c:pt idx="156">
                  <c:v>-7.9007278909886437E-3</c:v>
                </c:pt>
                <c:pt idx="157">
                  <c:v>-1.0134990588283937E-2</c:v>
                </c:pt>
                <c:pt idx="158">
                  <c:v>-1.6093024447738059E-2</c:v>
                </c:pt>
                <c:pt idx="159">
                  <c:v>-1.3858761750442764E-2</c:v>
                </c:pt>
                <c:pt idx="160">
                  <c:v>-1.4851767393685118E-2</c:v>
                </c:pt>
                <c:pt idx="161">
                  <c:v>-1.4851767393685118E-2</c:v>
                </c:pt>
                <c:pt idx="162">
                  <c:v>-1.8327287145033355E-2</c:v>
                </c:pt>
                <c:pt idx="163">
                  <c:v>-1.9816795609896885E-2</c:v>
                </c:pt>
                <c:pt idx="164">
                  <c:v>-1.8823789966654528E-2</c:v>
                </c:pt>
                <c:pt idx="165">
                  <c:v>-1.4355264572063939E-2</c:v>
                </c:pt>
                <c:pt idx="166">
                  <c:v>-1.4107013161253351E-2</c:v>
                </c:pt>
                <c:pt idx="167">
                  <c:v>-1.7334281501791001E-2</c:v>
                </c:pt>
                <c:pt idx="168">
                  <c:v>-1.5844773036927471E-2</c:v>
                </c:pt>
                <c:pt idx="169">
                  <c:v>-1.6341275858548648E-2</c:v>
                </c:pt>
                <c:pt idx="170">
                  <c:v>-1.907204137746512E-2</c:v>
                </c:pt>
                <c:pt idx="171">
                  <c:v>-1.8823789966654528E-2</c:v>
                </c:pt>
                <c:pt idx="172">
                  <c:v>-1.7830784323412178E-2</c:v>
                </c:pt>
                <c:pt idx="173">
                  <c:v>-1.8575538555843943E-2</c:v>
                </c:pt>
                <c:pt idx="174">
                  <c:v>-1.8575538555843943E-2</c:v>
                </c:pt>
                <c:pt idx="175">
                  <c:v>-1.6093024447738059E-2</c:v>
                </c:pt>
                <c:pt idx="176">
                  <c:v>-1.6341275858548648E-2</c:v>
                </c:pt>
                <c:pt idx="177">
                  <c:v>-1.6093024447738059E-2</c:v>
                </c:pt>
                <c:pt idx="178">
                  <c:v>-2.1802806896381591E-2</c:v>
                </c:pt>
                <c:pt idx="179">
                  <c:v>-1.9816795609896885E-2</c:v>
                </c:pt>
                <c:pt idx="180">
                  <c:v>-1.7582532912601589E-2</c:v>
                </c:pt>
                <c:pt idx="181">
                  <c:v>-1.2369253285579232E-2</c:v>
                </c:pt>
                <c:pt idx="182">
                  <c:v>1.8910424476554902E-2</c:v>
                </c:pt>
                <c:pt idx="183">
                  <c:v>7.8739014481906691E-2</c:v>
                </c:pt>
                <c:pt idx="184">
                  <c:v>0.1254102797142973</c:v>
                </c:pt>
                <c:pt idx="185">
                  <c:v>0.14551864398995495</c:v>
                </c:pt>
                <c:pt idx="186">
                  <c:v>0.19194165781153499</c:v>
                </c:pt>
                <c:pt idx="187">
                  <c:v>0.2321583863628503</c:v>
                </c:pt>
                <c:pt idx="188">
                  <c:v>0.27361637196821859</c:v>
                </c:pt>
                <c:pt idx="189">
                  <c:v>0.29968277010333033</c:v>
                </c:pt>
                <c:pt idx="190">
                  <c:v>0.34114075570869856</c:v>
                </c:pt>
                <c:pt idx="191">
                  <c:v>0.29943451869251969</c:v>
                </c:pt>
                <c:pt idx="192">
                  <c:v>0.22421434121691144</c:v>
                </c:pt>
                <c:pt idx="193">
                  <c:v>0.16289624274669615</c:v>
                </c:pt>
                <c:pt idx="194">
                  <c:v>8.842081950351964E-2</c:v>
                </c:pt>
                <c:pt idx="195">
                  <c:v>3.0081737963031374E-2</c:v>
                </c:pt>
                <c:pt idx="196">
                  <c:v>1.5186653314396073E-2</c:v>
                </c:pt>
                <c:pt idx="197">
                  <c:v>8.7321166333207776E-3</c:v>
                </c:pt>
                <c:pt idx="198">
                  <c:v>4.7600940603513631E-3</c:v>
                </c:pt>
                <c:pt idx="199">
                  <c:v>7.490859579267835E-3</c:v>
                </c:pt>
                <c:pt idx="200">
                  <c:v>2.0399932941418428E-2</c:v>
                </c:pt>
                <c:pt idx="201">
                  <c:v>3.0081737963031374E-2</c:v>
                </c:pt>
                <c:pt idx="202">
                  <c:v>3.0329989373841963E-2</c:v>
                </c:pt>
                <c:pt idx="203">
                  <c:v>2.4123704103577257E-2</c:v>
                </c:pt>
                <c:pt idx="204">
                  <c:v>2.064818435222902E-2</c:v>
                </c:pt>
                <c:pt idx="205">
                  <c:v>8.2356138116996009E-3</c:v>
                </c:pt>
                <c:pt idx="206">
                  <c:v>-1.0631493409905114E-2</c:v>
                </c:pt>
                <c:pt idx="207">
                  <c:v>-1.5100018804495704E-2</c:v>
                </c:pt>
                <c:pt idx="208">
                  <c:v>-1.6341275858548648E-2</c:v>
                </c:pt>
                <c:pt idx="209">
                  <c:v>-2.205105830719218E-2</c:v>
                </c:pt>
                <c:pt idx="210">
                  <c:v>-1.6341275858548648E-2</c:v>
                </c:pt>
                <c:pt idx="211">
                  <c:v>-1.3858761750442764E-2</c:v>
                </c:pt>
                <c:pt idx="212">
                  <c:v>-1.0879744820715704E-2</c:v>
                </c:pt>
                <c:pt idx="213">
                  <c:v>-1.2369253285579232E-2</c:v>
                </c:pt>
                <c:pt idx="214">
                  <c:v>-2.0313298431518061E-2</c:v>
                </c:pt>
                <c:pt idx="215">
                  <c:v>-1.7830784323412178E-2</c:v>
                </c:pt>
                <c:pt idx="216">
                  <c:v>-1.9568544199086296E-2</c:v>
                </c:pt>
                <c:pt idx="217">
                  <c:v>-2.2299309718002765E-2</c:v>
                </c:pt>
                <c:pt idx="218">
                  <c:v>-1.8079035734222766E-2</c:v>
                </c:pt>
                <c:pt idx="219">
                  <c:v>-1.9816795609896885E-2</c:v>
                </c:pt>
                <c:pt idx="220">
                  <c:v>-2.0065047020707473E-2</c:v>
                </c:pt>
                <c:pt idx="221">
                  <c:v>-1.9320292788275708E-2</c:v>
                </c:pt>
                <c:pt idx="222">
                  <c:v>-1.7334281501791001E-2</c:v>
                </c:pt>
                <c:pt idx="223">
                  <c:v>-1.0631493409905114E-2</c:v>
                </c:pt>
                <c:pt idx="224">
                  <c:v>-7.0143697748158E-4</c:v>
                </c:pt>
                <c:pt idx="225">
                  <c:v>5.2920867757605503E-2</c:v>
                </c:pt>
                <c:pt idx="226">
                  <c:v>7.6008248962990216E-2</c:v>
                </c:pt>
                <c:pt idx="227">
                  <c:v>6.0120158671112568E-2</c:v>
                </c:pt>
                <c:pt idx="228">
                  <c:v>3.8274034519780793E-2</c:v>
                </c:pt>
                <c:pt idx="229">
                  <c:v>4.075654862788667E-2</c:v>
                </c:pt>
                <c:pt idx="230">
                  <c:v>3.3060754892758434E-2</c:v>
                </c:pt>
                <c:pt idx="231">
                  <c:v>3.5543269000864318E-2</c:v>
                </c:pt>
                <c:pt idx="232">
                  <c:v>5.6148136098143148E-2</c:v>
                </c:pt>
                <c:pt idx="233">
                  <c:v>0.10058513863323847</c:v>
                </c:pt>
                <c:pt idx="234">
                  <c:v>0.11374246340619965</c:v>
                </c:pt>
                <c:pt idx="235">
                  <c:v>8.1221528590012568E-2</c:v>
                </c:pt>
                <c:pt idx="236">
                  <c:v>4.5225074022477267E-2</c:v>
                </c:pt>
                <c:pt idx="237">
                  <c:v>2.8343978087357256E-2</c:v>
                </c:pt>
                <c:pt idx="238">
                  <c:v>2.8095726676546667E-2</c:v>
                </c:pt>
                <c:pt idx="239">
                  <c:v>4.6714582487340797E-2</c:v>
                </c:pt>
                <c:pt idx="240">
                  <c:v>-1.3362258928821586E-2</c:v>
                </c:pt>
                <c:pt idx="241">
                  <c:v>5.3982007657136101E-4</c:v>
                </c:pt>
                <c:pt idx="242">
                  <c:v>2.0399932941418428E-2</c:v>
                </c:pt>
                <c:pt idx="243">
                  <c:v>5.2565968819725398E-3</c:v>
                </c:pt>
                <c:pt idx="244">
                  <c:v>-1.8327287145033355E-2</c:v>
                </c:pt>
                <c:pt idx="245">
                  <c:v>-2.4391968531556991E-3</c:v>
                </c:pt>
                <c:pt idx="246">
                  <c:v>-9.3902363558521721E-3</c:v>
                </c:pt>
                <c:pt idx="247">
                  <c:v>4.2635912387301864E-3</c:v>
                </c:pt>
                <c:pt idx="248">
                  <c:v>1.1214630741426661E-2</c:v>
                </c:pt>
                <c:pt idx="249">
                  <c:v>1.9406927298176075E-2</c:v>
                </c:pt>
                <c:pt idx="250">
                  <c:v>1.5931407546827838E-2</c:v>
                </c:pt>
                <c:pt idx="251">
                  <c:v>1.1711133563047838E-2</c:v>
                </c:pt>
                <c:pt idx="252">
                  <c:v>8.9803680441313642E-3</c:v>
                </c:pt>
                <c:pt idx="253">
                  <c:v>3.5188370062984213E-3</c:v>
                </c:pt>
                <c:pt idx="254">
                  <c:v>2.1889441406281959E-2</c:v>
                </c:pt>
                <c:pt idx="255">
                  <c:v>7.0794969335967864E-2</c:v>
                </c:pt>
                <c:pt idx="256">
                  <c:v>8.7179562449466702E-2</c:v>
                </c:pt>
                <c:pt idx="257">
                  <c:v>7.9980271535959629E-2</c:v>
                </c:pt>
                <c:pt idx="258">
                  <c:v>8.9910327968383164E-2</c:v>
                </c:pt>
                <c:pt idx="259">
                  <c:v>0.11945224585484319</c:v>
                </c:pt>
                <c:pt idx="260">
                  <c:v>0.11001869224404083</c:v>
                </c:pt>
                <c:pt idx="261">
                  <c:v>0.12069350290889612</c:v>
                </c:pt>
                <c:pt idx="262">
                  <c:v>0.16910252801696085</c:v>
                </c:pt>
                <c:pt idx="263">
                  <c:v>0.18697662959532321</c:v>
                </c:pt>
                <c:pt idx="264">
                  <c:v>0.13161656498456201</c:v>
                </c:pt>
                <c:pt idx="265">
                  <c:v>0.11647322892511612</c:v>
                </c:pt>
                <c:pt idx="266">
                  <c:v>0.10803268095755611</c:v>
                </c:pt>
                <c:pt idx="267">
                  <c:v>6.6574695352187852E-2</c:v>
                </c:pt>
                <c:pt idx="268">
                  <c:v>4.6962833898151382E-2</c:v>
                </c:pt>
                <c:pt idx="269">
                  <c:v>2.0399932941418428E-2</c:v>
                </c:pt>
                <c:pt idx="270">
                  <c:v>-7.0143697748158E-4</c:v>
                </c:pt>
                <c:pt idx="271">
                  <c:v>-4.6734595504509943E-3</c:v>
                </c:pt>
                <c:pt idx="272">
                  <c:v>6.2496025252148932E-3</c:v>
                </c:pt>
                <c:pt idx="273">
                  <c:v>-1.1127996231526291E-2</c:v>
                </c:pt>
                <c:pt idx="274">
                  <c:v>-2.9002097809888657E-2</c:v>
                </c:pt>
                <c:pt idx="275">
                  <c:v>-2.949860063150983E-2</c:v>
                </c:pt>
                <c:pt idx="276">
                  <c:v>-1.4355264572063939E-2</c:v>
                </c:pt>
                <c:pt idx="277">
                  <c:v>-1.0383241999094527E-2</c:v>
                </c:pt>
                <c:pt idx="278">
                  <c:v>-1.6341275858548648E-2</c:v>
                </c:pt>
                <c:pt idx="279">
                  <c:v>-2.3044063950434533E-2</c:v>
                </c:pt>
                <c:pt idx="280">
                  <c:v>-1.3858761750442764E-2</c:v>
                </c:pt>
                <c:pt idx="281">
                  <c:v>-2.0809801253139238E-2</c:v>
                </c:pt>
                <c:pt idx="282">
                  <c:v>-1.2865756107200411E-2</c:v>
                </c:pt>
                <c:pt idx="283">
                  <c:v>-3.2974120382858067E-2</c:v>
                </c:pt>
                <c:pt idx="284">
                  <c:v>-2.2795812539623945E-2</c:v>
                </c:pt>
                <c:pt idx="285">
                  <c:v>-2.5278326647729825E-2</c:v>
                </c:pt>
                <c:pt idx="286">
                  <c:v>-1.9568544199086296E-2</c:v>
                </c:pt>
                <c:pt idx="287">
                  <c:v>-2.0809801253139238E-2</c:v>
                </c:pt>
                <c:pt idx="288">
                  <c:v>-1.9816795609896885E-2</c:v>
                </c:pt>
                <c:pt idx="289">
                  <c:v>-2.5278326647729825E-2</c:v>
                </c:pt>
                <c:pt idx="290">
                  <c:v>-2.1306304074760415E-2</c:v>
                </c:pt>
                <c:pt idx="291">
                  <c:v>-2.3044063950434533E-2</c:v>
                </c:pt>
                <c:pt idx="292">
                  <c:v>-2.4781823826108652E-2</c:v>
                </c:pt>
                <c:pt idx="293">
                  <c:v>-2.5278326647729825E-2</c:v>
                </c:pt>
                <c:pt idx="294">
                  <c:v>-2.0313298431518061E-2</c:v>
                </c:pt>
                <c:pt idx="295">
                  <c:v>-2.1058052663949826E-2</c:v>
                </c:pt>
                <c:pt idx="296">
                  <c:v>-2.2547561128813357E-2</c:v>
                </c:pt>
                <c:pt idx="297">
                  <c:v>-1.9320292788275708E-2</c:v>
                </c:pt>
                <c:pt idx="298">
                  <c:v>-2.0065047020707473E-2</c:v>
                </c:pt>
                <c:pt idx="299">
                  <c:v>-1.907204137746512E-2</c:v>
                </c:pt>
                <c:pt idx="300">
                  <c:v>-2.1554555485571003E-2</c:v>
                </c:pt>
                <c:pt idx="301">
                  <c:v>-2.3292315361245122E-2</c:v>
                </c:pt>
                <c:pt idx="302">
                  <c:v>-3.3967126026100421E-2</c:v>
                </c:pt>
                <c:pt idx="303">
                  <c:v>-2.3788818182866298E-2</c:v>
                </c:pt>
                <c:pt idx="304">
                  <c:v>-2.2795812539623945E-2</c:v>
                </c:pt>
                <c:pt idx="305">
                  <c:v>-1.6837778680169824E-2</c:v>
                </c:pt>
                <c:pt idx="306">
                  <c:v>-2.5774829469351005E-2</c:v>
                </c:pt>
                <c:pt idx="307">
                  <c:v>-2.1554555485571003E-2</c:v>
                </c:pt>
                <c:pt idx="308">
                  <c:v>-2.1802806896381591E-2</c:v>
                </c:pt>
                <c:pt idx="309">
                  <c:v>-2.1554555485571003E-2</c:v>
                </c:pt>
                <c:pt idx="310">
                  <c:v>-2.0065047020707473E-2</c:v>
                </c:pt>
                <c:pt idx="311">
                  <c:v>-2.0809801253139238E-2</c:v>
                </c:pt>
                <c:pt idx="312">
                  <c:v>-2.1554555485571003E-2</c:v>
                </c:pt>
                <c:pt idx="313">
                  <c:v>-1.9816795609896885E-2</c:v>
                </c:pt>
                <c:pt idx="314">
                  <c:v>-2.5774829469351005E-2</c:v>
                </c:pt>
                <c:pt idx="315">
                  <c:v>-1.9568544199086296E-2</c:v>
                </c:pt>
                <c:pt idx="316">
                  <c:v>-2.0313298431518061E-2</c:v>
                </c:pt>
                <c:pt idx="317">
                  <c:v>-1.7830784323412178E-2</c:v>
                </c:pt>
                <c:pt idx="318">
                  <c:v>-1.7830784323412178E-2</c:v>
                </c:pt>
                <c:pt idx="319">
                  <c:v>-1.8079035734222766E-2</c:v>
                </c:pt>
                <c:pt idx="320">
                  <c:v>3.7670884171090093E-3</c:v>
                </c:pt>
                <c:pt idx="321">
                  <c:v>2.5116709746819607E-2</c:v>
                </c:pt>
                <c:pt idx="322">
                  <c:v>3.0826492195463143E-2</c:v>
                </c:pt>
                <c:pt idx="323">
                  <c:v>2.2137692817092547E-2</c:v>
                </c:pt>
                <c:pt idx="324">
                  <c:v>2.6606218211683137E-2</c:v>
                </c:pt>
                <c:pt idx="325">
                  <c:v>5.0934856471120803E-2</c:v>
                </c:pt>
                <c:pt idx="326">
                  <c:v>7.4766991908937278E-2</c:v>
                </c:pt>
                <c:pt idx="327">
                  <c:v>6.434043265489256E-2</c:v>
                </c:pt>
                <c:pt idx="328">
                  <c:v>5.5155130454900794E-2</c:v>
                </c:pt>
                <c:pt idx="329">
                  <c:v>6.1113164314354922E-2</c:v>
                </c:pt>
                <c:pt idx="330">
                  <c:v>5.2176113525173734E-2</c:v>
                </c:pt>
                <c:pt idx="331">
                  <c:v>2.2882447049524312E-2</c:v>
                </c:pt>
                <c:pt idx="332">
                  <c:v>-2.4391968531556991E-3</c:v>
                </c:pt>
                <c:pt idx="333">
                  <c:v>-9.1419849450415855E-3</c:v>
                </c:pt>
                <c:pt idx="334">
                  <c:v>-3.6804539072086413E-3</c:v>
                </c:pt>
                <c:pt idx="335">
                  <c:v>-7.6524764801780536E-3</c:v>
                </c:pt>
                <c:pt idx="336">
                  <c:v>-1.4603515982874529E-2</c:v>
                </c:pt>
                <c:pt idx="337">
                  <c:v>-1.5100018804495704E-2</c:v>
                </c:pt>
                <c:pt idx="338">
                  <c:v>-1.3362258928821586E-2</c:v>
                </c:pt>
                <c:pt idx="339">
                  <c:v>-1.5100018804495704E-2</c:v>
                </c:pt>
                <c:pt idx="340">
                  <c:v>-7.6524764801780536E-3</c:v>
                </c:pt>
                <c:pt idx="341">
                  <c:v>-1.6093024447738059E-2</c:v>
                </c:pt>
                <c:pt idx="342">
                  <c:v>-1.7582532912601589E-2</c:v>
                </c:pt>
                <c:pt idx="343">
                  <c:v>-1.9816795609896885E-2</c:v>
                </c:pt>
                <c:pt idx="344">
                  <c:v>-3.1839510855874637E-3</c:v>
                </c:pt>
                <c:pt idx="345">
                  <c:v>1.7810771306243027E-3</c:v>
                </c:pt>
                <c:pt idx="346">
                  <c:v>2.5258313630560679E-3</c:v>
                </c:pt>
                <c:pt idx="347">
                  <c:v>2.9156866576077341E-4</c:v>
                </c:pt>
                <c:pt idx="348">
                  <c:v>-4.5318556667099159E-4</c:v>
                </c:pt>
                <c:pt idx="349">
                  <c:v>-2.6874482639662875E-3</c:v>
                </c:pt>
                <c:pt idx="350">
                  <c:v>-4.4252081396404059E-3</c:v>
                </c:pt>
                <c:pt idx="351">
                  <c:v>-1.3362258928821586E-2</c:v>
                </c:pt>
                <c:pt idx="352">
                  <c:v>-1.6589527269359236E-2</c:v>
                </c:pt>
                <c:pt idx="353">
                  <c:v>-1.8823789966654528E-2</c:v>
                </c:pt>
                <c:pt idx="354">
                  <c:v>-1.8079035734222766E-2</c:v>
                </c:pt>
                <c:pt idx="355">
                  <c:v>-2.0313298431518061E-2</c:v>
                </c:pt>
                <c:pt idx="356">
                  <c:v>-1.7334281501791001E-2</c:v>
                </c:pt>
                <c:pt idx="357">
                  <c:v>-2.6271332290972182E-2</c:v>
                </c:pt>
                <c:pt idx="358">
                  <c:v>-1.7086030090980409E-2</c:v>
                </c:pt>
                <c:pt idx="359">
                  <c:v>-2.2795812539623945E-2</c:v>
                </c:pt>
                <c:pt idx="360">
                  <c:v>-1.4851767393685118E-2</c:v>
                </c:pt>
                <c:pt idx="361">
                  <c:v>-1.1127996231526291E-2</c:v>
                </c:pt>
                <c:pt idx="362">
                  <c:v>-2.0809801253139238E-2</c:v>
                </c:pt>
                <c:pt idx="363">
                  <c:v>-2.2547561128813357E-2</c:v>
                </c:pt>
                <c:pt idx="364">
                  <c:v>-2.6023080880161593E-2</c:v>
                </c:pt>
                <c:pt idx="365">
                  <c:v>-2.0313298431518061E-2</c:v>
                </c:pt>
                <c:pt idx="366">
                  <c:v>-2.3044063950434533E-2</c:v>
                </c:pt>
                <c:pt idx="367">
                  <c:v>-1.4107013161253351E-2</c:v>
                </c:pt>
                <c:pt idx="368">
                  <c:v>-1.8327287145033355E-2</c:v>
                </c:pt>
                <c:pt idx="369">
                  <c:v>-2.0561549842328646E-2</c:v>
                </c:pt>
                <c:pt idx="370">
                  <c:v>-1.8079035734222766E-2</c:v>
                </c:pt>
                <c:pt idx="371">
                  <c:v>-2.4285321004487475E-2</c:v>
                </c:pt>
                <c:pt idx="372">
                  <c:v>-2.3788818182866298E-2</c:v>
                </c:pt>
                <c:pt idx="373">
                  <c:v>-2.0809801253139238E-2</c:v>
                </c:pt>
                <c:pt idx="374">
                  <c:v>-2.4285321004487475E-2</c:v>
                </c:pt>
                <c:pt idx="375">
                  <c:v>-1.907204137746512E-2</c:v>
                </c:pt>
                <c:pt idx="376">
                  <c:v>-1.6837778680169824E-2</c:v>
                </c:pt>
                <c:pt idx="377">
                  <c:v>-2.2299309718002765E-2</c:v>
                </c:pt>
                <c:pt idx="378">
                  <c:v>-1.6341275858548648E-2</c:v>
                </c:pt>
                <c:pt idx="379">
                  <c:v>-1.6837778680169824E-2</c:v>
                </c:pt>
                <c:pt idx="380">
                  <c:v>-2.0065047020707473E-2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EE5-4DC7-BF34-2DC3066B395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'SinPlaca#1 '!$S$5:$S$235</c:f>
              <c:numCache>
                <c:formatCode>0.00000</c:formatCode>
                <c:ptCount val="231"/>
                <c:pt idx="0">
                  <c:v>0</c:v>
                </c:pt>
                <c:pt idx="1">
                  <c:v>1.0000100001406054E-5</c:v>
                </c:pt>
                <c:pt idx="2">
                  <c:v>2.0000199999259394E-5</c:v>
                </c:pt>
                <c:pt idx="3">
                  <c:v>3.0000300000665447E-5</c:v>
                </c:pt>
                <c:pt idx="4">
                  <c:v>4.000040009799477E-5</c:v>
                </c:pt>
                <c:pt idx="5">
                  <c:v>5.0000500099400824E-5</c:v>
                </c:pt>
                <c:pt idx="6">
                  <c:v>6.0000600100806878E-5</c:v>
                </c:pt>
                <c:pt idx="7">
                  <c:v>7.0000700098660218E-5</c:v>
                </c:pt>
                <c:pt idx="8">
                  <c:v>8.0000800100066272E-5</c:v>
                </c:pt>
                <c:pt idx="9">
                  <c:v>9.0000900101472325E-5</c:v>
                </c:pt>
                <c:pt idx="10">
                  <c:v>1.0000100009932567E-4</c:v>
                </c:pt>
                <c:pt idx="11">
                  <c:v>1.1000110010073172E-4</c:v>
                </c:pt>
                <c:pt idx="12">
                  <c:v>1.2000120009858506E-4</c:v>
                </c:pt>
                <c:pt idx="13">
                  <c:v>1.3000130009999111E-4</c:v>
                </c:pt>
                <c:pt idx="14">
                  <c:v>1.4000140010139717E-4</c:v>
                </c:pt>
                <c:pt idx="15">
                  <c:v>1.5000150009925051E-4</c:v>
                </c:pt>
                <c:pt idx="16">
                  <c:v>1.6000160010065656E-4</c:v>
                </c:pt>
                <c:pt idx="17">
                  <c:v>1.700017000985099E-4</c:v>
                </c:pt>
                <c:pt idx="18">
                  <c:v>1.8000180009991595E-4</c:v>
                </c:pt>
                <c:pt idx="19">
                  <c:v>1.9000190010132201E-4</c:v>
                </c:pt>
                <c:pt idx="20">
                  <c:v>2.0000200009917535E-4</c:v>
                </c:pt>
                <c:pt idx="21">
                  <c:v>2.100021001005814E-4</c:v>
                </c:pt>
                <c:pt idx="22">
                  <c:v>2.2000220009843474E-4</c:v>
                </c:pt>
                <c:pt idx="23">
                  <c:v>2.300023000998408E-4</c:v>
                </c:pt>
                <c:pt idx="24">
                  <c:v>2.4000240010124685E-4</c:v>
                </c:pt>
                <c:pt idx="25">
                  <c:v>2.5000250009910019E-4</c:v>
                </c:pt>
                <c:pt idx="26">
                  <c:v>2.6000260010050624E-4</c:v>
                </c:pt>
                <c:pt idx="27">
                  <c:v>2.7000270009835958E-4</c:v>
                </c:pt>
                <c:pt idx="28">
                  <c:v>2.8000280009976564E-4</c:v>
                </c:pt>
                <c:pt idx="29">
                  <c:v>2.9000290010117169E-4</c:v>
                </c:pt>
                <c:pt idx="30">
                  <c:v>3.0000300009902503E-4</c:v>
                </c:pt>
                <c:pt idx="31">
                  <c:v>3.1000310010043108E-4</c:v>
                </c:pt>
                <c:pt idx="32">
                  <c:v>3.2000320009828442E-4</c:v>
                </c:pt>
                <c:pt idx="33">
                  <c:v>3.3000330009969048E-4</c:v>
                </c:pt>
                <c:pt idx="34">
                  <c:v>3.4000340010109653E-4</c:v>
                </c:pt>
                <c:pt idx="35">
                  <c:v>3.5000350009894987E-4</c:v>
                </c:pt>
                <c:pt idx="36">
                  <c:v>3.6000360010035592E-4</c:v>
                </c:pt>
                <c:pt idx="37">
                  <c:v>3.7000370009820926E-4</c:v>
                </c:pt>
                <c:pt idx="38">
                  <c:v>3.8000380009961532E-4</c:v>
                </c:pt>
                <c:pt idx="39">
                  <c:v>3.9000390010102137E-4</c:v>
                </c:pt>
                <c:pt idx="40">
                  <c:v>4.0000400009887471E-4</c:v>
                </c:pt>
                <c:pt idx="41">
                  <c:v>4.1000410010028077E-4</c:v>
                </c:pt>
                <c:pt idx="42">
                  <c:v>4.2000420009813411E-4</c:v>
                </c:pt>
                <c:pt idx="43">
                  <c:v>4.3000430009954016E-4</c:v>
                </c:pt>
                <c:pt idx="44">
                  <c:v>4.4000440010094621E-4</c:v>
                </c:pt>
                <c:pt idx="45">
                  <c:v>4.5000450009879955E-4</c:v>
                </c:pt>
                <c:pt idx="46">
                  <c:v>4.6000460010020561E-4</c:v>
                </c:pt>
                <c:pt idx="47">
                  <c:v>4.7000470009805895E-4</c:v>
                </c:pt>
                <c:pt idx="48">
                  <c:v>4.80004800099465E-4</c:v>
                </c:pt>
                <c:pt idx="49">
                  <c:v>4.9000490010087105E-4</c:v>
                </c:pt>
                <c:pt idx="50">
                  <c:v>5.0000500009872439E-4</c:v>
                </c:pt>
                <c:pt idx="51">
                  <c:v>5.1000510010013045E-4</c:v>
                </c:pt>
                <c:pt idx="52">
                  <c:v>5.2000520009798379E-4</c:v>
                </c:pt>
                <c:pt idx="53">
                  <c:v>5.3000530009938984E-4</c:v>
                </c:pt>
                <c:pt idx="54">
                  <c:v>5.400054001007959E-4</c:v>
                </c:pt>
                <c:pt idx="55">
                  <c:v>5.5000550009864924E-4</c:v>
                </c:pt>
                <c:pt idx="56">
                  <c:v>5.6000560010005529E-4</c:v>
                </c:pt>
                <c:pt idx="57">
                  <c:v>5.7000570010146134E-4</c:v>
                </c:pt>
                <c:pt idx="58">
                  <c:v>5.8000580009931468E-4</c:v>
                </c:pt>
                <c:pt idx="59">
                  <c:v>5.9000590010072074E-4</c:v>
                </c:pt>
                <c:pt idx="60">
                  <c:v>6.0000600009857408E-4</c:v>
                </c:pt>
                <c:pt idx="61">
                  <c:v>6.1000610009998013E-4</c:v>
                </c:pt>
                <c:pt idx="62">
                  <c:v>6.2000620010138618E-4</c:v>
                </c:pt>
                <c:pt idx="63">
                  <c:v>6.3000630009923952E-4</c:v>
                </c:pt>
                <c:pt idx="64">
                  <c:v>6.4000640010064558E-4</c:v>
                </c:pt>
                <c:pt idx="65">
                  <c:v>6.5000650009849892E-4</c:v>
                </c:pt>
                <c:pt idx="66">
                  <c:v>6.6000660009990497E-4</c:v>
                </c:pt>
                <c:pt idx="67">
                  <c:v>6.7000670010131103E-4</c:v>
                </c:pt>
                <c:pt idx="68">
                  <c:v>6.8000680009916437E-4</c:v>
                </c:pt>
                <c:pt idx="69">
                  <c:v>6.9000690010057042E-4</c:v>
                </c:pt>
                <c:pt idx="70">
                  <c:v>7.0000700009842376E-4</c:v>
                </c:pt>
                <c:pt idx="71">
                  <c:v>7.1000710009982981E-4</c:v>
                </c:pt>
                <c:pt idx="72">
                  <c:v>7.2000720010123587E-4</c:v>
                </c:pt>
                <c:pt idx="73">
                  <c:v>7.3000730009908921E-4</c:v>
                </c:pt>
                <c:pt idx="74">
                  <c:v>7.4000740010049526E-4</c:v>
                </c:pt>
                <c:pt idx="75">
                  <c:v>7.500075000983486E-4</c:v>
                </c:pt>
                <c:pt idx="76">
                  <c:v>7.6000760009975465E-4</c:v>
                </c:pt>
                <c:pt idx="77">
                  <c:v>7.7000770010116071E-4</c:v>
                </c:pt>
                <c:pt idx="78">
                  <c:v>7.8000780009901405E-4</c:v>
                </c:pt>
                <c:pt idx="79">
                  <c:v>7.900079001004201E-4</c:v>
                </c:pt>
                <c:pt idx="80">
                  <c:v>8.0000800009827344E-4</c:v>
                </c:pt>
                <c:pt idx="81">
                  <c:v>8.100081000996795E-4</c:v>
                </c:pt>
                <c:pt idx="82">
                  <c:v>8.2000820010108555E-4</c:v>
                </c:pt>
                <c:pt idx="83">
                  <c:v>8.3000830009893889E-4</c:v>
                </c:pt>
                <c:pt idx="84">
                  <c:v>8.4000840010034494E-4</c:v>
                </c:pt>
                <c:pt idx="85">
                  <c:v>8.5000850009819828E-4</c:v>
                </c:pt>
                <c:pt idx="86">
                  <c:v>8.6000860009960434E-4</c:v>
                </c:pt>
                <c:pt idx="87">
                  <c:v>8.7000870010101039E-4</c:v>
                </c:pt>
                <c:pt idx="88">
                  <c:v>8.8000880009886373E-4</c:v>
                </c:pt>
                <c:pt idx="89">
                  <c:v>8.9000890010026978E-4</c:v>
                </c:pt>
                <c:pt idx="90">
                  <c:v>9.0000900009812312E-4</c:v>
                </c:pt>
                <c:pt idx="91">
                  <c:v>9.1000910009952918E-4</c:v>
                </c:pt>
                <c:pt idx="92">
                  <c:v>9.2000920010093523E-4</c:v>
                </c:pt>
                <c:pt idx="93">
                  <c:v>9.3000930009878857E-4</c:v>
                </c:pt>
                <c:pt idx="94">
                  <c:v>9.4000940010019463E-4</c:v>
                </c:pt>
                <c:pt idx="95">
                  <c:v>9.5000950009804797E-4</c:v>
                </c:pt>
                <c:pt idx="96">
                  <c:v>9.6000960009945402E-4</c:v>
                </c:pt>
                <c:pt idx="97">
                  <c:v>9.7000970010086007E-4</c:v>
                </c:pt>
                <c:pt idx="98">
                  <c:v>9.8000980009871341E-4</c:v>
                </c:pt>
                <c:pt idx="99">
                  <c:v>9.9000990010011947E-4</c:v>
                </c:pt>
                <c:pt idx="100">
                  <c:v>1.0000100000979728E-3</c:v>
                </c:pt>
                <c:pt idx="101">
                  <c:v>1.0100101000993789E-3</c:v>
                </c:pt>
                <c:pt idx="102">
                  <c:v>1.0200102001007849E-3</c:v>
                </c:pt>
                <c:pt idx="103">
                  <c:v>1.0300103001981142E-3</c:v>
                </c:pt>
                <c:pt idx="104">
                  <c:v>1.0400104001995203E-3</c:v>
                </c:pt>
                <c:pt idx="105">
                  <c:v>1.0500105002009263E-3</c:v>
                </c:pt>
                <c:pt idx="106">
                  <c:v>1.0600106001987797E-3</c:v>
                </c:pt>
                <c:pt idx="107">
                  <c:v>1.0700107002001857E-3</c:v>
                </c:pt>
                <c:pt idx="108">
                  <c:v>1.0800108001980391E-3</c:v>
                </c:pt>
                <c:pt idx="109">
                  <c:v>1.0900109001994451E-3</c:v>
                </c:pt>
                <c:pt idx="110">
                  <c:v>1.1000110002008512E-3</c:v>
                </c:pt>
                <c:pt idx="111">
                  <c:v>1.1100111001987045E-3</c:v>
                </c:pt>
                <c:pt idx="112">
                  <c:v>1.1200112002001106E-3</c:v>
                </c:pt>
                <c:pt idx="113">
                  <c:v>1.1300113001979639E-3</c:v>
                </c:pt>
                <c:pt idx="114">
                  <c:v>1.14001140019937E-3</c:v>
                </c:pt>
                <c:pt idx="115">
                  <c:v>1.150011500200776E-3</c:v>
                </c:pt>
                <c:pt idx="116">
                  <c:v>1.1600116001986294E-3</c:v>
                </c:pt>
                <c:pt idx="117">
                  <c:v>1.1700117002000354E-3</c:v>
                </c:pt>
                <c:pt idx="118">
                  <c:v>1.1800118002014415E-3</c:v>
                </c:pt>
                <c:pt idx="119">
                  <c:v>1.1900119001992948E-3</c:v>
                </c:pt>
                <c:pt idx="120">
                  <c:v>1.2000120002007009E-3</c:v>
                </c:pt>
                <c:pt idx="121">
                  <c:v>1.2100121001985542E-3</c:v>
                </c:pt>
                <c:pt idx="122">
                  <c:v>1.2200122001999603E-3</c:v>
                </c:pt>
                <c:pt idx="123">
                  <c:v>1.2300123002013663E-3</c:v>
                </c:pt>
                <c:pt idx="124">
                  <c:v>1.2400124001992197E-3</c:v>
                </c:pt>
                <c:pt idx="125">
                  <c:v>1.2500125002006257E-3</c:v>
                </c:pt>
                <c:pt idx="126">
                  <c:v>1.260012600198479E-3</c:v>
                </c:pt>
                <c:pt idx="127">
                  <c:v>1.2700127001998851E-3</c:v>
                </c:pt>
                <c:pt idx="128">
                  <c:v>1.2800128002012912E-3</c:v>
                </c:pt>
                <c:pt idx="129">
                  <c:v>1.2900129001991445E-3</c:v>
                </c:pt>
                <c:pt idx="130">
                  <c:v>1.3000130002005506E-3</c:v>
                </c:pt>
                <c:pt idx="131">
                  <c:v>1.3100131001984039E-3</c:v>
                </c:pt>
                <c:pt idx="132">
                  <c:v>1.3200132001998099E-3</c:v>
                </c:pt>
                <c:pt idx="133">
                  <c:v>1.330013300201216E-3</c:v>
                </c:pt>
                <c:pt idx="134">
                  <c:v>1.3400134001990693E-3</c:v>
                </c:pt>
                <c:pt idx="135">
                  <c:v>1.3500135002004754E-3</c:v>
                </c:pt>
                <c:pt idx="136">
                  <c:v>1.3600136001983287E-3</c:v>
                </c:pt>
                <c:pt idx="137">
                  <c:v>1.3700137001997348E-3</c:v>
                </c:pt>
                <c:pt idx="138">
                  <c:v>1.3800138002011408E-3</c:v>
                </c:pt>
                <c:pt idx="139">
                  <c:v>1.3900139001989942E-3</c:v>
                </c:pt>
                <c:pt idx="140">
                  <c:v>1.4000140002004002E-3</c:v>
                </c:pt>
                <c:pt idx="141">
                  <c:v>1.4100141001982536E-3</c:v>
                </c:pt>
                <c:pt idx="142">
                  <c:v>1.4200142001996596E-3</c:v>
                </c:pt>
                <c:pt idx="143">
                  <c:v>1.4300143002010657E-3</c:v>
                </c:pt>
                <c:pt idx="144">
                  <c:v>1.440014400198919E-3</c:v>
                </c:pt>
                <c:pt idx="145">
                  <c:v>1.4500145002003251E-3</c:v>
                </c:pt>
                <c:pt idx="146">
                  <c:v>1.4600146001981784E-3</c:v>
                </c:pt>
                <c:pt idx="147">
                  <c:v>1.4700147001995845E-3</c:v>
                </c:pt>
                <c:pt idx="148">
                  <c:v>1.4800148002009905E-3</c:v>
                </c:pt>
                <c:pt idx="149">
                  <c:v>1.4900149001988439E-3</c:v>
                </c:pt>
                <c:pt idx="150">
                  <c:v>1.5000150002002499E-3</c:v>
                </c:pt>
                <c:pt idx="151">
                  <c:v>1.5100151001981033E-3</c:v>
                </c:pt>
                <c:pt idx="152">
                  <c:v>1.5200152001995093E-3</c:v>
                </c:pt>
                <c:pt idx="153">
                  <c:v>1.5300153002009154E-3</c:v>
                </c:pt>
                <c:pt idx="154">
                  <c:v>1.5400154001987687E-3</c:v>
                </c:pt>
                <c:pt idx="155">
                  <c:v>1.5500155002001748E-3</c:v>
                </c:pt>
                <c:pt idx="156">
                  <c:v>1.5600156001980281E-3</c:v>
                </c:pt>
                <c:pt idx="157">
                  <c:v>1.5700157001994341E-3</c:v>
                </c:pt>
                <c:pt idx="158">
                  <c:v>1.5800158002008402E-3</c:v>
                </c:pt>
                <c:pt idx="159">
                  <c:v>1.5900159001986935E-3</c:v>
                </c:pt>
                <c:pt idx="160">
                  <c:v>1.6000160002000996E-3</c:v>
                </c:pt>
                <c:pt idx="161">
                  <c:v>1.6100161001979529E-3</c:v>
                </c:pt>
                <c:pt idx="162">
                  <c:v>1.620016200199359E-3</c:v>
                </c:pt>
                <c:pt idx="163">
                  <c:v>1.630016300200765E-3</c:v>
                </c:pt>
                <c:pt idx="164">
                  <c:v>1.6400164001986184E-3</c:v>
                </c:pt>
                <c:pt idx="165">
                  <c:v>1.6500165002000244E-3</c:v>
                </c:pt>
                <c:pt idx="166">
                  <c:v>1.6600166002014305E-3</c:v>
                </c:pt>
                <c:pt idx="167">
                  <c:v>1.6700167001992838E-3</c:v>
                </c:pt>
                <c:pt idx="168">
                  <c:v>1.6800168002006899E-3</c:v>
                </c:pt>
                <c:pt idx="169">
                  <c:v>1.6900169001985432E-3</c:v>
                </c:pt>
                <c:pt idx="170">
                  <c:v>1.7000170001999493E-3</c:v>
                </c:pt>
                <c:pt idx="171">
                  <c:v>1.7100171002013553E-3</c:v>
                </c:pt>
                <c:pt idx="172">
                  <c:v>1.7200172001992087E-3</c:v>
                </c:pt>
                <c:pt idx="173">
                  <c:v>1.7300173002006147E-3</c:v>
                </c:pt>
                <c:pt idx="174">
                  <c:v>1.7400174001984681E-3</c:v>
                </c:pt>
                <c:pt idx="175">
                  <c:v>1.7500175001998741E-3</c:v>
                </c:pt>
                <c:pt idx="176">
                  <c:v>1.7600176002012802E-3</c:v>
                </c:pt>
                <c:pt idx="177">
                  <c:v>1.7700177001991335E-3</c:v>
                </c:pt>
                <c:pt idx="178">
                  <c:v>1.7800178002005396E-3</c:v>
                </c:pt>
                <c:pt idx="179">
                  <c:v>1.7900179001983929E-3</c:v>
                </c:pt>
                <c:pt idx="180">
                  <c:v>1.800018000199799E-3</c:v>
                </c:pt>
                <c:pt idx="181">
                  <c:v>1.810018100201205E-3</c:v>
                </c:pt>
                <c:pt idx="182">
                  <c:v>1.8200182001990584E-3</c:v>
                </c:pt>
                <c:pt idx="183">
                  <c:v>1.8300183002004644E-3</c:v>
                </c:pt>
                <c:pt idx="184">
                  <c:v>1.8400184001983177E-3</c:v>
                </c:pt>
                <c:pt idx="185">
                  <c:v>1.8500185001997238E-3</c:v>
                </c:pt>
                <c:pt idx="186">
                  <c:v>1.8600186002011299E-3</c:v>
                </c:pt>
                <c:pt idx="187">
                  <c:v>1.8700187001989832E-3</c:v>
                </c:pt>
                <c:pt idx="188">
                  <c:v>1.8800188002003893E-3</c:v>
                </c:pt>
                <c:pt idx="189">
                  <c:v>1.8900189001982426E-3</c:v>
                </c:pt>
                <c:pt idx="190">
                  <c:v>1.9000190001996486E-3</c:v>
                </c:pt>
                <c:pt idx="191">
                  <c:v>1.9100191002010547E-3</c:v>
                </c:pt>
                <c:pt idx="192">
                  <c:v>1.920019200198908E-3</c:v>
                </c:pt>
                <c:pt idx="193">
                  <c:v>1.9300193002003141E-3</c:v>
                </c:pt>
                <c:pt idx="194">
                  <c:v>1.9400194001981674E-3</c:v>
                </c:pt>
                <c:pt idx="195">
                  <c:v>1.9500195001995735E-3</c:v>
                </c:pt>
                <c:pt idx="196">
                  <c:v>1.9600196002009795E-3</c:v>
                </c:pt>
                <c:pt idx="197">
                  <c:v>1.9700197001988329E-3</c:v>
                </c:pt>
                <c:pt idx="198">
                  <c:v>1.9800198002002389E-3</c:v>
                </c:pt>
                <c:pt idx="199">
                  <c:v>1.9900199001980923E-3</c:v>
                </c:pt>
                <c:pt idx="200">
                  <c:v>2.0000200001994983E-3</c:v>
                </c:pt>
                <c:pt idx="201">
                  <c:v>2.0100201002009044E-3</c:v>
                </c:pt>
                <c:pt idx="202">
                  <c:v>2.0200202002982337E-3</c:v>
                </c:pt>
                <c:pt idx="203">
                  <c:v>2.0300203002996398E-3</c:v>
                </c:pt>
                <c:pt idx="204">
                  <c:v>2.0400204001980171E-3</c:v>
                </c:pt>
                <c:pt idx="205">
                  <c:v>2.0500205002988992E-3</c:v>
                </c:pt>
                <c:pt idx="206">
                  <c:v>2.0600206003003052E-3</c:v>
                </c:pt>
                <c:pt idx="207">
                  <c:v>2.0700207002981585E-3</c:v>
                </c:pt>
                <c:pt idx="208">
                  <c:v>2.0800208002995646E-3</c:v>
                </c:pt>
                <c:pt idx="209">
                  <c:v>2.0900209003009707E-3</c:v>
                </c:pt>
                <c:pt idx="210">
                  <c:v>2.100021000298824E-3</c:v>
                </c:pt>
                <c:pt idx="211">
                  <c:v>2.11002110030023E-3</c:v>
                </c:pt>
                <c:pt idx="212">
                  <c:v>2.1200212002980834E-3</c:v>
                </c:pt>
                <c:pt idx="213">
                  <c:v>2.1300213002994894E-3</c:v>
                </c:pt>
                <c:pt idx="214">
                  <c:v>2.1400214003008955E-3</c:v>
                </c:pt>
                <c:pt idx="215">
                  <c:v>2.1500215002987488E-3</c:v>
                </c:pt>
                <c:pt idx="216">
                  <c:v>2.1600216003001549E-3</c:v>
                </c:pt>
                <c:pt idx="217">
                  <c:v>2.1700217002980082E-3</c:v>
                </c:pt>
                <c:pt idx="218">
                  <c:v>2.1800218002994143E-3</c:v>
                </c:pt>
                <c:pt idx="219">
                  <c:v>2.1900219003008203E-3</c:v>
                </c:pt>
                <c:pt idx="220">
                  <c:v>2.2000220002986737E-3</c:v>
                </c:pt>
                <c:pt idx="221">
                  <c:v>2.2100221003000797E-3</c:v>
                </c:pt>
                <c:pt idx="222">
                  <c:v>2.2200222003014858E-3</c:v>
                </c:pt>
                <c:pt idx="223">
                  <c:v>2.2300223002993391E-3</c:v>
                </c:pt>
                <c:pt idx="224">
                  <c:v>2.2400224003007452E-3</c:v>
                </c:pt>
                <c:pt idx="225">
                  <c:v>2.2500225002985985E-3</c:v>
                </c:pt>
                <c:pt idx="226">
                  <c:v>2.2600226003000046E-3</c:v>
                </c:pt>
                <c:pt idx="227">
                  <c:v>2.2700227003014106E-3</c:v>
                </c:pt>
                <c:pt idx="228">
                  <c:v>2.280022800299264E-3</c:v>
                </c:pt>
                <c:pt idx="229">
                  <c:v>2.29002290030067E-3</c:v>
                </c:pt>
                <c:pt idx="230">
                  <c:v>2.3000230002985234E-3</c:v>
                </c:pt>
              </c:numCache>
            </c:numRef>
          </c:xVal>
          <c:yVal>
            <c:numRef>
              <c:f>'SinPlaca#1 '!$U$5:$U$385</c:f>
              <c:numCache>
                <c:formatCode>General</c:formatCode>
                <c:ptCount val="381"/>
                <c:pt idx="0">
                  <c:v>6.9926886251017563E-3</c:v>
                </c:pt>
                <c:pt idx="1">
                  <c:v>2.9003444611829508E-3</c:v>
                </c:pt>
                <c:pt idx="2">
                  <c:v>2.0818756283991898E-3</c:v>
                </c:pt>
                <c:pt idx="3">
                  <c:v>6.3788370005139362E-3</c:v>
                </c:pt>
                <c:pt idx="4">
                  <c:v>-2.0104685355196157E-3</c:v>
                </c:pt>
                <c:pt idx="5">
                  <c:v>4.7418993349464134E-3</c:v>
                </c:pt>
                <c:pt idx="6">
                  <c:v>2.2864928365951302E-3</c:v>
                </c:pt>
                <c:pt idx="7">
                  <c:v>1.468024003811369E-3</c:v>
                </c:pt>
                <c:pt idx="8">
                  <c:v>-1.1919997027358545E-3</c:v>
                </c:pt>
                <c:pt idx="9">
                  <c:v>-1.6891366175615262E-4</c:v>
                </c:pt>
                <c:pt idx="10">
                  <c:v>6.5834542087098756E-3</c:v>
                </c:pt>
                <c:pt idx="11">
                  <c:v>5.3557509595342345E-3</c:v>
                </c:pt>
                <c:pt idx="12">
                  <c:v>1.2634067956154287E-3</c:v>
                </c:pt>
                <c:pt idx="13">
                  <c:v>1.8772584202032497E-3</c:v>
                </c:pt>
                <c:pt idx="14">
                  <c:v>3.1049616693788911E-3</c:v>
                </c:pt>
                <c:pt idx="15">
                  <c:v>5.9696025841220555E-3</c:v>
                </c:pt>
                <c:pt idx="16">
                  <c:v>1.468024003811369E-3</c:v>
                </c:pt>
                <c:pt idx="17">
                  <c:v>1.0587895874194886E-3</c:v>
                </c:pt>
                <c:pt idx="18">
                  <c:v>3.5703546439787482E-5</c:v>
                </c:pt>
                <c:pt idx="19">
                  <c:v>4.449379628316676E-4</c:v>
                </c:pt>
                <c:pt idx="20">
                  <c:v>-1.6012341191277354E-3</c:v>
                </c:pt>
                <c:pt idx="21">
                  <c:v>-1.6891366175615262E-4</c:v>
                </c:pt>
                <c:pt idx="22">
                  <c:v>2.2864928365951302E-3</c:v>
                </c:pt>
                <c:pt idx="23">
                  <c:v>6.4955517102760799E-4</c:v>
                </c:pt>
                <c:pt idx="24">
                  <c:v>1.468024003811369E-3</c:v>
                </c:pt>
                <c:pt idx="25">
                  <c:v>6.4955517102760799E-4</c:v>
                </c:pt>
                <c:pt idx="26">
                  <c:v>2.4032075463572793E-4</c:v>
                </c:pt>
                <c:pt idx="27">
                  <c:v>-2.0104685355196157E-3</c:v>
                </c:pt>
                <c:pt idx="28">
                  <c:v>-1.1919997027358545E-3</c:v>
                </c:pt>
                <c:pt idx="29">
                  <c:v>-2.215085743715556E-3</c:v>
                </c:pt>
                <c:pt idx="30">
                  <c:v>-2.215085743715556E-3</c:v>
                </c:pt>
                <c:pt idx="31">
                  <c:v>1.8772584202032497E-3</c:v>
                </c:pt>
                <c:pt idx="32">
                  <c:v>-1.3966169109317949E-3</c:v>
                </c:pt>
                <c:pt idx="33">
                  <c:v>3.5141960857707718E-3</c:v>
                </c:pt>
                <c:pt idx="34">
                  <c:v>2.6957272529870109E-3</c:v>
                </c:pt>
                <c:pt idx="35">
                  <c:v>6.1742197923179958E-3</c:v>
                </c:pt>
                <c:pt idx="36">
                  <c:v>1.2634067956154287E-3</c:v>
                </c:pt>
                <c:pt idx="37">
                  <c:v>-2.6243201601074363E-3</c:v>
                </c:pt>
                <c:pt idx="38">
                  <c:v>-2.4197029519114964E-3</c:v>
                </c:pt>
                <c:pt idx="39">
                  <c:v>1.2634067956154287E-3</c:v>
                </c:pt>
                <c:pt idx="40">
                  <c:v>-2.0104685355196157E-3</c:v>
                </c:pt>
                <c:pt idx="41">
                  <c:v>1.0587895874194886E-3</c:v>
                </c:pt>
                <c:pt idx="42">
                  <c:v>-2.215085743715556E-3</c:v>
                </c:pt>
                <c:pt idx="43">
                  <c:v>4.449379628316676E-4</c:v>
                </c:pt>
                <c:pt idx="44">
                  <c:v>-3.4427889928911977E-3</c:v>
                </c:pt>
                <c:pt idx="45">
                  <c:v>2.2864928365951302E-3</c:v>
                </c:pt>
                <c:pt idx="46">
                  <c:v>2.2864928365951302E-3</c:v>
                </c:pt>
                <c:pt idx="47">
                  <c:v>2.9003444611829508E-3</c:v>
                </c:pt>
                <c:pt idx="48">
                  <c:v>2.9003444611829508E-3</c:v>
                </c:pt>
                <c:pt idx="49">
                  <c:v>-1.6891366175615262E-4</c:v>
                </c:pt>
                <c:pt idx="50">
                  <c:v>-1.1919997027358545E-3</c:v>
                </c:pt>
                <c:pt idx="51">
                  <c:v>5.7649853759261151E-3</c:v>
                </c:pt>
                <c:pt idx="52">
                  <c:v>3.7188132939667126E-3</c:v>
                </c:pt>
                <c:pt idx="53">
                  <c:v>1.2721970454588085E-2</c:v>
                </c:pt>
                <c:pt idx="54">
                  <c:v>3.9322207520060319E-2</c:v>
                </c:pt>
                <c:pt idx="55">
                  <c:v>0.10500433135095716</c:v>
                </c:pt>
                <c:pt idx="56">
                  <c:v>0.25908108912250016</c:v>
                </c:pt>
                <c:pt idx="57">
                  <c:v>0.48272769768066293</c:v>
                </c:pt>
                <c:pt idx="58">
                  <c:v>0.74913930275177709</c:v>
                </c:pt>
                <c:pt idx="59">
                  <c:v>0.95907655836081185</c:v>
                </c:pt>
                <c:pt idx="60">
                  <c:v>1</c:v>
                </c:pt>
                <c:pt idx="61">
                  <c:v>0.93615943104286659</c:v>
                </c:pt>
                <c:pt idx="62">
                  <c:v>0.77410260215168181</c:v>
                </c:pt>
                <c:pt idx="63">
                  <c:v>0.60795342909657835</c:v>
                </c:pt>
                <c:pt idx="64">
                  <c:v>0.47331530610364964</c:v>
                </c:pt>
                <c:pt idx="65">
                  <c:v>0.34358799610742358</c:v>
                </c:pt>
                <c:pt idx="66">
                  <c:v>0.25683029983234484</c:v>
                </c:pt>
                <c:pt idx="67">
                  <c:v>0.21345145169480548</c:v>
                </c:pt>
                <c:pt idx="68">
                  <c:v>0.21365606890300146</c:v>
                </c:pt>
                <c:pt idx="69">
                  <c:v>0.21038219357186641</c:v>
                </c:pt>
                <c:pt idx="70">
                  <c:v>0.2001513331620694</c:v>
                </c:pt>
                <c:pt idx="71">
                  <c:v>0.15677248502453003</c:v>
                </c:pt>
                <c:pt idx="72">
                  <c:v>0.11687212942632169</c:v>
                </c:pt>
                <c:pt idx="73">
                  <c:v>6.8582468292079785E-2</c:v>
                </c:pt>
                <c:pt idx="74">
                  <c:v>4.9553067929857336E-2</c:v>
                </c:pt>
                <c:pt idx="75">
                  <c:v>2.2952830864385099E-2</c:v>
                </c:pt>
                <c:pt idx="76">
                  <c:v>1.3540439287371846E-2</c:v>
                </c:pt>
                <c:pt idx="77">
                  <c:v>-1.8058513273236756E-3</c:v>
                </c:pt>
                <c:pt idx="78">
                  <c:v>-2.0104685355196157E-3</c:v>
                </c:pt>
                <c:pt idx="79">
                  <c:v>-1.0195156863357226E-2</c:v>
                </c:pt>
                <c:pt idx="80">
                  <c:v>8.5417237922354812E-4</c:v>
                </c:pt>
                <c:pt idx="81">
                  <c:v>5.3557509595342345E-3</c:v>
                </c:pt>
                <c:pt idx="82">
                  <c:v>-7.8276528634397408E-4</c:v>
                </c:pt>
                <c:pt idx="83">
                  <c:v>-1.0809008487945047E-2</c:v>
                </c:pt>
                <c:pt idx="84">
                  <c:v>-4.261257825674959E-3</c:v>
                </c:pt>
                <c:pt idx="85">
                  <c:v>-1.4696735443667912E-2</c:v>
                </c:pt>
                <c:pt idx="86">
                  <c:v>-1.0399774071553167E-2</c:v>
                </c:pt>
                <c:pt idx="87">
                  <c:v>-1.5719821484647616E-2</c:v>
                </c:pt>
                <c:pt idx="88">
                  <c:v>-1.3059797778100391E-2</c:v>
                </c:pt>
                <c:pt idx="89">
                  <c:v>-1.4287501027276033E-2</c:v>
                </c:pt>
                <c:pt idx="90">
                  <c:v>-1.7152141942019198E-2</c:v>
                </c:pt>
                <c:pt idx="91">
                  <c:v>-1.6742907525627317E-2</c:v>
                </c:pt>
                <c:pt idx="92">
                  <c:v>-1.4901352651863854E-2</c:v>
                </c:pt>
                <c:pt idx="93">
                  <c:v>-1.4901352651863854E-2</c:v>
                </c:pt>
                <c:pt idx="94">
                  <c:v>-1.6333673109235437E-2</c:v>
                </c:pt>
                <c:pt idx="95">
                  <c:v>-1.9402931232174542E-2</c:v>
                </c:pt>
                <c:pt idx="96">
                  <c:v>-1.5719821484647616E-2</c:v>
                </c:pt>
                <c:pt idx="97">
                  <c:v>-1.3059797778100391E-2</c:v>
                </c:pt>
                <c:pt idx="98">
                  <c:v>-1.4492118235471974E-2</c:v>
                </c:pt>
                <c:pt idx="99">
                  <c:v>-1.6742907525627317E-2</c:v>
                </c:pt>
                <c:pt idx="100">
                  <c:v>-1.7561376358411075E-2</c:v>
                </c:pt>
                <c:pt idx="101">
                  <c:v>-1.7561376358411075E-2</c:v>
                </c:pt>
                <c:pt idx="102">
                  <c:v>-1.81752279829989E-2</c:v>
                </c:pt>
                <c:pt idx="103">
                  <c:v>-1.6129055901039496E-2</c:v>
                </c:pt>
                <c:pt idx="104">
                  <c:v>-1.9198314023978601E-2</c:v>
                </c:pt>
                <c:pt idx="105">
                  <c:v>-1.6333673109235437E-2</c:v>
                </c:pt>
                <c:pt idx="106">
                  <c:v>-1.6947524733823254E-2</c:v>
                </c:pt>
                <c:pt idx="107">
                  <c:v>-1.6947524733823254E-2</c:v>
                </c:pt>
                <c:pt idx="108">
                  <c:v>-1.4082883819080091E-2</c:v>
                </c:pt>
                <c:pt idx="109">
                  <c:v>-1.3469032194492272E-2</c:v>
                </c:pt>
                <c:pt idx="110">
                  <c:v>-9.1720708223775246E-3</c:v>
                </c:pt>
                <c:pt idx="111">
                  <c:v>-7.5351331568100036E-3</c:v>
                </c:pt>
                <c:pt idx="112">
                  <c:v>-8.5582191977897053E-3</c:v>
                </c:pt>
                <c:pt idx="113">
                  <c:v>-9.1720708223775246E-3</c:v>
                </c:pt>
                <c:pt idx="114">
                  <c:v>-5.6935782830465414E-3</c:v>
                </c:pt>
                <c:pt idx="115">
                  <c:v>1.2634067956154287E-3</c:v>
                </c:pt>
                <c:pt idx="116">
                  <c:v>-6.7166643240262431E-3</c:v>
                </c:pt>
                <c:pt idx="117">
                  <c:v>-5.2843438666546607E-3</c:v>
                </c:pt>
                <c:pt idx="118">
                  <c:v>-8.353601989593765E-3</c:v>
                </c:pt>
                <c:pt idx="119">
                  <c:v>-8.1489847813978247E-3</c:v>
                </c:pt>
                <c:pt idx="120">
                  <c:v>-7.9443675732018843E-3</c:v>
                </c:pt>
                <c:pt idx="121">
                  <c:v>-1.4696735443667912E-2</c:v>
                </c:pt>
                <c:pt idx="122">
                  <c:v>-1.3878266610884153E-2</c:v>
                </c:pt>
                <c:pt idx="123">
                  <c:v>-1.4901352651863854E-2</c:v>
                </c:pt>
                <c:pt idx="124">
                  <c:v>-1.2855180569904451E-2</c:v>
                </c:pt>
                <c:pt idx="125">
                  <c:v>-1.265056336170851E-2</c:v>
                </c:pt>
                <c:pt idx="126">
                  <c:v>-1.0809008487945047E-2</c:v>
                </c:pt>
                <c:pt idx="127">
                  <c:v>-1.224132894531663E-2</c:v>
                </c:pt>
                <c:pt idx="128">
                  <c:v>-1.0809008487945047E-2</c:v>
                </c:pt>
                <c:pt idx="129">
                  <c:v>-1.3059797778100391E-2</c:v>
                </c:pt>
                <c:pt idx="130">
                  <c:v>-1.4492118235471974E-2</c:v>
                </c:pt>
                <c:pt idx="131">
                  <c:v>-1.4492118235471974E-2</c:v>
                </c:pt>
                <c:pt idx="132">
                  <c:v>-1.2855180569904451E-2</c:v>
                </c:pt>
                <c:pt idx="133">
                  <c:v>-1.7765993566607019E-2</c:v>
                </c:pt>
                <c:pt idx="134">
                  <c:v>-1.5310587068255733E-2</c:v>
                </c:pt>
                <c:pt idx="135">
                  <c:v>-1.244594615351257E-2</c:v>
                </c:pt>
                <c:pt idx="136">
                  <c:v>-1.3469032194492272E-2</c:v>
                </c:pt>
                <c:pt idx="137">
                  <c:v>-1.5719821484647616E-2</c:v>
                </c:pt>
                <c:pt idx="138">
                  <c:v>-1.142286011253287E-2</c:v>
                </c:pt>
                <c:pt idx="139">
                  <c:v>-1.6333673109235437E-2</c:v>
                </c:pt>
                <c:pt idx="140">
                  <c:v>-1.4696735443667912E-2</c:v>
                </c:pt>
                <c:pt idx="141">
                  <c:v>-1.6742907525627317E-2</c:v>
                </c:pt>
                <c:pt idx="142">
                  <c:v>-1.5924438692843556E-2</c:v>
                </c:pt>
                <c:pt idx="143">
                  <c:v>-1.6742907525627317E-2</c:v>
                </c:pt>
                <c:pt idx="144">
                  <c:v>-1.7970610774802959E-2</c:v>
                </c:pt>
                <c:pt idx="145">
                  <c:v>-1.6742907525627317E-2</c:v>
                </c:pt>
                <c:pt idx="146">
                  <c:v>-1.6538290317431377E-2</c:v>
                </c:pt>
                <c:pt idx="147">
                  <c:v>-1.7561376358411075E-2</c:v>
                </c:pt>
                <c:pt idx="148">
                  <c:v>-1.7356759150215138E-2</c:v>
                </c:pt>
                <c:pt idx="149">
                  <c:v>-1.4287501027276033E-2</c:v>
                </c:pt>
                <c:pt idx="150">
                  <c:v>-1.9812165648566422E-2</c:v>
                </c:pt>
                <c:pt idx="151">
                  <c:v>-1.8789079607586721E-2</c:v>
                </c:pt>
                <c:pt idx="152">
                  <c:v>-1.6538290317431377E-2</c:v>
                </c:pt>
                <c:pt idx="153">
                  <c:v>-1.6947524733823254E-2</c:v>
                </c:pt>
                <c:pt idx="154">
                  <c:v>-1.5924438692843556E-2</c:v>
                </c:pt>
                <c:pt idx="155">
                  <c:v>-1.5924438692843556E-2</c:v>
                </c:pt>
                <c:pt idx="156">
                  <c:v>-1.8789079607586721E-2</c:v>
                </c:pt>
                <c:pt idx="157">
                  <c:v>-1.6129055901039496E-2</c:v>
                </c:pt>
                <c:pt idx="158">
                  <c:v>-1.7970610774802959E-2</c:v>
                </c:pt>
                <c:pt idx="159">
                  <c:v>-1.858446239939078E-2</c:v>
                </c:pt>
                <c:pt idx="160">
                  <c:v>-1.6538290317431377E-2</c:v>
                </c:pt>
                <c:pt idx="161">
                  <c:v>-1.4082883819080091E-2</c:v>
                </c:pt>
                <c:pt idx="162">
                  <c:v>-1.5310587068255733E-2</c:v>
                </c:pt>
                <c:pt idx="163">
                  <c:v>-1.9198314023978601E-2</c:v>
                </c:pt>
                <c:pt idx="164">
                  <c:v>-1.7356759150215138E-2</c:v>
                </c:pt>
                <c:pt idx="165">
                  <c:v>-1.6333673109235437E-2</c:v>
                </c:pt>
                <c:pt idx="166">
                  <c:v>-1.7970610774802959E-2</c:v>
                </c:pt>
                <c:pt idx="167">
                  <c:v>-1.8993696815782658E-2</c:v>
                </c:pt>
                <c:pt idx="168">
                  <c:v>-1.8993696815782658E-2</c:v>
                </c:pt>
                <c:pt idx="169">
                  <c:v>-1.6333673109235437E-2</c:v>
                </c:pt>
                <c:pt idx="170">
                  <c:v>-1.1832094528924749E-2</c:v>
                </c:pt>
                <c:pt idx="171">
                  <c:v>-1.3673649402688212E-2</c:v>
                </c:pt>
                <c:pt idx="172">
                  <c:v>-1.5924438692843556E-2</c:v>
                </c:pt>
                <c:pt idx="173">
                  <c:v>-9.1720708223775246E-3</c:v>
                </c:pt>
                <c:pt idx="174">
                  <c:v>1.0880415580824622E-2</c:v>
                </c:pt>
                <c:pt idx="175">
                  <c:v>6.981017154125542E-2</c:v>
                </c:pt>
                <c:pt idx="176">
                  <c:v>0.11707674663451763</c:v>
                </c:pt>
                <c:pt idx="177">
                  <c:v>0.16188791522942853</c:v>
                </c:pt>
                <c:pt idx="178">
                  <c:v>0.22286384327181877</c:v>
                </c:pt>
                <c:pt idx="179">
                  <c:v>0.27422276252899974</c:v>
                </c:pt>
                <c:pt idx="180">
                  <c:v>0.32271704087143765</c:v>
                </c:pt>
                <c:pt idx="181">
                  <c:v>0.34072335519268038</c:v>
                </c:pt>
                <c:pt idx="182">
                  <c:v>0.34215567565005195</c:v>
                </c:pt>
                <c:pt idx="183">
                  <c:v>0.2895690531436953</c:v>
                </c:pt>
                <c:pt idx="184">
                  <c:v>0.21590685819315678</c:v>
                </c:pt>
                <c:pt idx="185">
                  <c:v>0.14797394507210462</c:v>
                </c:pt>
                <c:pt idx="186">
                  <c:v>8.7611868654302233E-2</c:v>
                </c:pt>
                <c:pt idx="187">
                  <c:v>3.56390977725334E-2</c:v>
                </c:pt>
                <c:pt idx="188">
                  <c:v>2.7045175028303906E-2</c:v>
                </c:pt>
                <c:pt idx="189">
                  <c:v>1.3745056495567787E-2</c:v>
                </c:pt>
                <c:pt idx="190">
                  <c:v>2.5408237362736383E-2</c:v>
                </c:pt>
                <c:pt idx="191">
                  <c:v>3.359292569057399E-2</c:v>
                </c:pt>
                <c:pt idx="192">
                  <c:v>3.4002160106965877E-2</c:v>
                </c:pt>
                <c:pt idx="193">
                  <c:v>2.4794385738148562E-2</c:v>
                </c:pt>
                <c:pt idx="194">
                  <c:v>2.2748213656189158E-2</c:v>
                </c:pt>
                <c:pt idx="195">
                  <c:v>9.243477915257101E-3</c:v>
                </c:pt>
                <c:pt idx="196">
                  <c:v>8.5417237922354812E-4</c:v>
                </c:pt>
                <c:pt idx="197">
                  <c:v>-1.0604391279749109E-2</c:v>
                </c:pt>
                <c:pt idx="198">
                  <c:v>-1.142286011253287E-2</c:v>
                </c:pt>
                <c:pt idx="199">
                  <c:v>-1.5719821484647616E-2</c:v>
                </c:pt>
                <c:pt idx="200">
                  <c:v>-1.3264414986296331E-2</c:v>
                </c:pt>
                <c:pt idx="201">
                  <c:v>-2.063063448135018E-2</c:v>
                </c:pt>
                <c:pt idx="202">
                  <c:v>-1.224132894531663E-2</c:v>
                </c:pt>
                <c:pt idx="203">
                  <c:v>-1.4287501027276033E-2</c:v>
                </c:pt>
                <c:pt idx="204">
                  <c:v>-1.0604391279749109E-2</c:v>
                </c:pt>
                <c:pt idx="205">
                  <c:v>-7.1258987404181229E-3</c:v>
                </c:pt>
                <c:pt idx="206">
                  <c:v>-5.6935782830465414E-3</c:v>
                </c:pt>
                <c:pt idx="207">
                  <c:v>-5.6935782830465414E-3</c:v>
                </c:pt>
                <c:pt idx="208">
                  <c:v>-4.6704922420668397E-3</c:v>
                </c:pt>
                <c:pt idx="209">
                  <c:v>-6.9212815322221826E-3</c:v>
                </c:pt>
                <c:pt idx="210">
                  <c:v>-7.1258987404181229E-3</c:v>
                </c:pt>
                <c:pt idx="211">
                  <c:v>-1.2036711737120691E-2</c:v>
                </c:pt>
                <c:pt idx="212">
                  <c:v>-8.7628364059856457E-3</c:v>
                </c:pt>
                <c:pt idx="213">
                  <c:v>-6.1028126994384221E-3</c:v>
                </c:pt>
                <c:pt idx="214">
                  <c:v>-4.261257825674959E-3</c:v>
                </c:pt>
                <c:pt idx="215">
                  <c:v>-4.6704922420668397E-3</c:v>
                </c:pt>
                <c:pt idx="216">
                  <c:v>-6.9212815322221826E-3</c:v>
                </c:pt>
                <c:pt idx="217">
                  <c:v>-9.1720708223775246E-3</c:v>
                </c:pt>
                <c:pt idx="218">
                  <c:v>-7.7397503650059431E-3</c:v>
                </c:pt>
                <c:pt idx="219">
                  <c:v>-1.142286011253287E-2</c:v>
                </c:pt>
                <c:pt idx="220">
                  <c:v>-1.1832094528924749E-2</c:v>
                </c:pt>
                <c:pt idx="221">
                  <c:v>-6.3074299076343616E-3</c:v>
                </c:pt>
                <c:pt idx="222">
                  <c:v>8.5417237922354812E-4</c:v>
                </c:pt>
                <c:pt idx="223">
                  <c:v>1.1085032789020562E-2</c:v>
                </c:pt>
                <c:pt idx="224">
                  <c:v>1.8042017867682534E-2</c:v>
                </c:pt>
                <c:pt idx="225">
                  <c:v>2.7659026652891727E-2</c:v>
                </c:pt>
                <c:pt idx="226">
                  <c:v>3.0728284775830828E-2</c:v>
                </c:pt>
                <c:pt idx="227">
                  <c:v>3.1137519192222712E-2</c:v>
                </c:pt>
                <c:pt idx="228">
                  <c:v>3.0114433151243011E-2</c:v>
                </c:pt>
                <c:pt idx="229">
                  <c:v>3.8299121479080621E-2</c:v>
                </c:pt>
                <c:pt idx="230">
                  <c:v>4.1368379602019729E-2</c:v>
                </c:pt>
                <c:pt idx="231">
                  <c:v>3.3183691274182116E-2</c:v>
                </c:pt>
                <c:pt idx="232">
                  <c:v>2.990981594304707E-2</c:v>
                </c:pt>
                <c:pt idx="233">
                  <c:v>2.356668248897292E-2</c:v>
                </c:pt>
                <c:pt idx="234">
                  <c:v>1.0266563956236801E-2</c:v>
                </c:pt>
                <c:pt idx="235">
                  <c:v>1.0061946748040861E-2</c:v>
                </c:pt>
                <c:pt idx="236">
                  <c:v>1.0880415580824622E-2</c:v>
                </c:pt>
                <c:pt idx="237">
                  <c:v>3.5703546439787482E-5</c:v>
                </c:pt>
                <c:pt idx="238">
                  <c:v>-1.858446239939078E-2</c:v>
                </c:pt>
                <c:pt idx="239">
                  <c:v>-3.1270729307539082E-2</c:v>
                </c:pt>
                <c:pt idx="240">
                  <c:v>-1.3878266610884153E-2</c:v>
                </c:pt>
                <c:pt idx="241">
                  <c:v>6.7880714169058168E-3</c:v>
                </c:pt>
                <c:pt idx="242">
                  <c:v>1.2312736038196204E-2</c:v>
                </c:pt>
                <c:pt idx="243">
                  <c:v>-6.9212815322221826E-3</c:v>
                </c:pt>
                <c:pt idx="244">
                  <c:v>-9.8738249453991442E-4</c:v>
                </c:pt>
                <c:pt idx="245">
                  <c:v>5.6510053008519308E-2</c:v>
                </c:pt>
                <c:pt idx="246">
                  <c:v>1.9883572741445997E-2</c:v>
                </c:pt>
                <c:pt idx="247">
                  <c:v>2.356668248897292E-2</c:v>
                </c:pt>
                <c:pt idx="248">
                  <c:v>5.3031560469188319E-2</c:v>
                </c:pt>
                <c:pt idx="249">
                  <c:v>7.0628640374039181E-2</c:v>
                </c:pt>
                <c:pt idx="250">
                  <c:v>6.8787085500275721E-2</c:v>
                </c:pt>
                <c:pt idx="251">
                  <c:v>0.11543980896895012</c:v>
                </c:pt>
                <c:pt idx="252">
                  <c:v>0.13405997491478067</c:v>
                </c:pt>
                <c:pt idx="253">
                  <c:v>0.14265389765901015</c:v>
                </c:pt>
                <c:pt idx="254">
                  <c:v>0.14756471065571272</c:v>
                </c:pt>
                <c:pt idx="255">
                  <c:v>0.16495717335236765</c:v>
                </c:pt>
                <c:pt idx="256">
                  <c:v>0.12873992750168622</c:v>
                </c:pt>
                <c:pt idx="257">
                  <c:v>8.7407251446106282E-2</c:v>
                </c:pt>
                <c:pt idx="258">
                  <c:v>6.7763999459296023E-2</c:v>
                </c:pt>
                <c:pt idx="259">
                  <c:v>5.1599240011816733E-2</c:v>
                </c:pt>
                <c:pt idx="260">
                  <c:v>1.0880415580824622E-2</c:v>
                </c:pt>
                <c:pt idx="261">
                  <c:v>-5.8981954912424809E-3</c:v>
                </c:pt>
                <c:pt idx="262">
                  <c:v>-1.4082883819080091E-2</c:v>
                </c:pt>
                <c:pt idx="263">
                  <c:v>-1.4287501027276033E-2</c:v>
                </c:pt>
                <c:pt idx="264">
                  <c:v>-1.7765993566607019E-2</c:v>
                </c:pt>
                <c:pt idx="265">
                  <c:v>-1.5310587068255733E-2</c:v>
                </c:pt>
                <c:pt idx="266">
                  <c:v>-8.967453614181586E-3</c:v>
                </c:pt>
                <c:pt idx="267">
                  <c:v>8.8342434988652185E-3</c:v>
                </c:pt>
                <c:pt idx="268">
                  <c:v>2.9295964318459246E-2</c:v>
                </c:pt>
                <c:pt idx="269">
                  <c:v>4.2391465642999428E-2</c:v>
                </c:pt>
                <c:pt idx="270">
                  <c:v>5.6919287424911182E-2</c:v>
                </c:pt>
                <c:pt idx="271">
                  <c:v>6.0193162756046227E-2</c:v>
                </c:pt>
                <c:pt idx="272">
                  <c:v>5.8146990674086831E-2</c:v>
                </c:pt>
                <c:pt idx="273">
                  <c:v>4.8325364680681694E-2</c:v>
                </c:pt>
                <c:pt idx="274">
                  <c:v>1.7223549034898773E-2</c:v>
                </c:pt>
                <c:pt idx="275">
                  <c:v>-7.8276528634397408E-4</c:v>
                </c:pt>
                <c:pt idx="276">
                  <c:v>-1.6129055901039496E-2</c:v>
                </c:pt>
                <c:pt idx="277">
                  <c:v>-1.6538290317431377E-2</c:v>
                </c:pt>
                <c:pt idx="278">
                  <c:v>-1.8993696815782658E-2</c:v>
                </c:pt>
                <c:pt idx="279">
                  <c:v>-1.8993696815782658E-2</c:v>
                </c:pt>
                <c:pt idx="280">
                  <c:v>-1.6129055901039496E-2</c:v>
                </c:pt>
                <c:pt idx="281">
                  <c:v>-1.8993696815782658E-2</c:v>
                </c:pt>
                <c:pt idx="282">
                  <c:v>-1.6129055901039496E-2</c:v>
                </c:pt>
                <c:pt idx="283">
                  <c:v>-1.858446239939078E-2</c:v>
                </c:pt>
                <c:pt idx="284">
                  <c:v>-1.2855180569904451E-2</c:v>
                </c:pt>
                <c:pt idx="285">
                  <c:v>-4.6704922420668397E-3</c:v>
                </c:pt>
                <c:pt idx="286">
                  <c:v>1.0587895874194886E-3</c:v>
                </c:pt>
                <c:pt idx="287">
                  <c:v>-9.1720708223775246E-3</c:v>
                </c:pt>
                <c:pt idx="288">
                  <c:v>-1.265056336170851E-2</c:v>
                </c:pt>
                <c:pt idx="289">
                  <c:v>-1.3059797778100391E-2</c:v>
                </c:pt>
                <c:pt idx="290">
                  <c:v>-2.4197029519114964E-3</c:v>
                </c:pt>
                <c:pt idx="291">
                  <c:v>-1.6891366175615262E-4</c:v>
                </c:pt>
                <c:pt idx="292">
                  <c:v>5.7649853759261151E-3</c:v>
                </c:pt>
                <c:pt idx="293">
                  <c:v>-1.3966169109317949E-3</c:v>
                </c:pt>
                <c:pt idx="294">
                  <c:v>5.7649853759261151E-3</c:v>
                </c:pt>
                <c:pt idx="295">
                  <c:v>2.0818756283991898E-3</c:v>
                </c:pt>
                <c:pt idx="296">
                  <c:v>7.8111574578855186E-3</c:v>
                </c:pt>
                <c:pt idx="297">
                  <c:v>5.7649853759261151E-3</c:v>
                </c:pt>
                <c:pt idx="298">
                  <c:v>2.4032075463572793E-4</c:v>
                </c:pt>
                <c:pt idx="299">
                  <c:v>6.4955517102760799E-4</c:v>
                </c:pt>
                <c:pt idx="300">
                  <c:v>-3.8520234092830783E-3</c:v>
                </c:pt>
                <c:pt idx="301">
                  <c:v>-1.1627477320728809E-2</c:v>
                </c:pt>
                <c:pt idx="302">
                  <c:v>-1.6742907525627317E-2</c:v>
                </c:pt>
                <c:pt idx="303">
                  <c:v>-1.7765993566607019E-2</c:v>
                </c:pt>
                <c:pt idx="304">
                  <c:v>-1.6742907525627317E-2</c:v>
                </c:pt>
                <c:pt idx="305">
                  <c:v>-1.7561376358411075E-2</c:v>
                </c:pt>
                <c:pt idx="306">
                  <c:v>-1.7152141942019198E-2</c:v>
                </c:pt>
                <c:pt idx="307">
                  <c:v>-1.4492118235471974E-2</c:v>
                </c:pt>
                <c:pt idx="308">
                  <c:v>-1.9607548440370479E-2</c:v>
                </c:pt>
                <c:pt idx="309">
                  <c:v>-1.5105969860059795E-2</c:v>
                </c:pt>
                <c:pt idx="310">
                  <c:v>-1.858446239939078E-2</c:v>
                </c:pt>
                <c:pt idx="311">
                  <c:v>-1.5719821484647616E-2</c:v>
                </c:pt>
                <c:pt idx="312">
                  <c:v>-1.8789079607586721E-2</c:v>
                </c:pt>
                <c:pt idx="313">
                  <c:v>-1.4492118235471974E-2</c:v>
                </c:pt>
                <c:pt idx="314">
                  <c:v>-1.5105969860059795E-2</c:v>
                </c:pt>
                <c:pt idx="315">
                  <c:v>-1.4287501027276033E-2</c:v>
                </c:pt>
                <c:pt idx="316">
                  <c:v>-1.6333673109235437E-2</c:v>
                </c:pt>
                <c:pt idx="317">
                  <c:v>-1.9812165648566422E-2</c:v>
                </c:pt>
                <c:pt idx="318">
                  <c:v>-1.4696735443667912E-2</c:v>
                </c:pt>
                <c:pt idx="319">
                  <c:v>-1.6538290317431377E-2</c:v>
                </c:pt>
                <c:pt idx="320">
                  <c:v>-1.81752279829989E-2</c:v>
                </c:pt>
                <c:pt idx="321">
                  <c:v>-1.2855180569904451E-2</c:v>
                </c:pt>
                <c:pt idx="322">
                  <c:v>-8.1489847813978247E-3</c:v>
                </c:pt>
                <c:pt idx="323">
                  <c:v>7.1973058332976975E-3</c:v>
                </c:pt>
                <c:pt idx="324">
                  <c:v>3.1342136400418649E-2</c:v>
                </c:pt>
                <c:pt idx="325">
                  <c:v>2.4794385738148562E-2</c:v>
                </c:pt>
                <c:pt idx="326">
                  <c:v>1.8246635075878471E-2</c:v>
                </c:pt>
                <c:pt idx="327">
                  <c:v>1.6814314618506888E-2</c:v>
                </c:pt>
                <c:pt idx="328">
                  <c:v>2.4180534113560741E-2</c:v>
                </c:pt>
                <c:pt idx="329">
                  <c:v>1.1085032789020562E-2</c:v>
                </c:pt>
                <c:pt idx="330">
                  <c:v>-1.2036711737120691E-2</c:v>
                </c:pt>
                <c:pt idx="331">
                  <c:v>-2.615529910264057E-2</c:v>
                </c:pt>
                <c:pt idx="332">
                  <c:v>-1.5515204276451674E-2</c:v>
                </c:pt>
                <c:pt idx="333">
                  <c:v>-2.215085743715556E-3</c:v>
                </c:pt>
                <c:pt idx="334">
                  <c:v>-7.5351331568100036E-3</c:v>
                </c:pt>
                <c:pt idx="335">
                  <c:v>-2.1244486105938005E-2</c:v>
                </c:pt>
                <c:pt idx="336">
                  <c:v>-2.4313744228877106E-2</c:v>
                </c:pt>
                <c:pt idx="337">
                  <c:v>-1.858446239939078E-2</c:v>
                </c:pt>
                <c:pt idx="338">
                  <c:v>-9.9905396551612877E-3</c:v>
                </c:pt>
                <c:pt idx="339">
                  <c:v>-1.7152141942019198E-2</c:v>
                </c:pt>
                <c:pt idx="340">
                  <c:v>-1.7765993566607019E-2</c:v>
                </c:pt>
                <c:pt idx="341">
                  <c:v>-2.1244486105938005E-2</c:v>
                </c:pt>
                <c:pt idx="342">
                  <c:v>-1.7152141942019198E-2</c:v>
                </c:pt>
                <c:pt idx="343">
                  <c:v>-4.4658750338708994E-3</c:v>
                </c:pt>
                <c:pt idx="344">
                  <c:v>1.468024003811369E-3</c:v>
                </c:pt>
                <c:pt idx="345">
                  <c:v>8.4250090824733379E-3</c:v>
                </c:pt>
                <c:pt idx="346">
                  <c:v>1.579122857752719E-2</c:v>
                </c:pt>
                <c:pt idx="347">
                  <c:v>1.6609697410310952E-2</c:v>
                </c:pt>
                <c:pt idx="348">
                  <c:v>1.7223549034898773E-2</c:v>
                </c:pt>
                <c:pt idx="349">
                  <c:v>2.0906658782425695E-2</c:v>
                </c:pt>
                <c:pt idx="350">
                  <c:v>1.4358908120155608E-2</c:v>
                </c:pt>
                <c:pt idx="351">
                  <c:v>5.1511337513382941E-3</c:v>
                </c:pt>
                <c:pt idx="352">
                  <c:v>-4.6704922420668397E-3</c:v>
                </c:pt>
                <c:pt idx="353">
                  <c:v>-8.353601989593765E-3</c:v>
                </c:pt>
                <c:pt idx="354">
                  <c:v>-9.7859224469653474E-3</c:v>
                </c:pt>
                <c:pt idx="355">
                  <c:v>-1.244594615351257E-2</c:v>
                </c:pt>
                <c:pt idx="356">
                  <c:v>-1.2855180569904451E-2</c:v>
                </c:pt>
                <c:pt idx="357">
                  <c:v>-1.7152141942019198E-2</c:v>
                </c:pt>
                <c:pt idx="358">
                  <c:v>-1.6129055901039496E-2</c:v>
                </c:pt>
                <c:pt idx="359">
                  <c:v>-1.6538290317431377E-2</c:v>
                </c:pt>
                <c:pt idx="360">
                  <c:v>-1.5924438692843556E-2</c:v>
                </c:pt>
                <c:pt idx="361">
                  <c:v>-1.6538290317431377E-2</c:v>
                </c:pt>
                <c:pt idx="362">
                  <c:v>-1.7356759150215138E-2</c:v>
                </c:pt>
                <c:pt idx="363">
                  <c:v>-1.858446239939078E-2</c:v>
                </c:pt>
                <c:pt idx="364">
                  <c:v>-2.063063448135018E-2</c:v>
                </c:pt>
                <c:pt idx="365">
                  <c:v>-1.6129055901039496E-2</c:v>
                </c:pt>
                <c:pt idx="366">
                  <c:v>-1.5924438692843556E-2</c:v>
                </c:pt>
                <c:pt idx="367">
                  <c:v>-1.244594615351257E-2</c:v>
                </c:pt>
                <c:pt idx="368">
                  <c:v>-1.0809008487945047E-2</c:v>
                </c:pt>
                <c:pt idx="369">
                  <c:v>-9.1720708223775246E-3</c:v>
                </c:pt>
                <c:pt idx="370">
                  <c:v>-1.3059797778100391E-2</c:v>
                </c:pt>
                <c:pt idx="371">
                  <c:v>-4.6704922420668397E-3</c:v>
                </c:pt>
                <c:pt idx="372">
                  <c:v>-1.3264414986296331E-2</c:v>
                </c:pt>
                <c:pt idx="373">
                  <c:v>-9.7859224469653474E-3</c:v>
                </c:pt>
                <c:pt idx="374">
                  <c:v>-1.3059797778100391E-2</c:v>
                </c:pt>
                <c:pt idx="375">
                  <c:v>-1.244594615351257E-2</c:v>
                </c:pt>
                <c:pt idx="376">
                  <c:v>-1.3878266610884153E-2</c:v>
                </c:pt>
                <c:pt idx="377">
                  <c:v>-1.2855180569904451E-2</c:v>
                </c:pt>
                <c:pt idx="378">
                  <c:v>-1.6538290317431377E-2</c:v>
                </c:pt>
                <c:pt idx="379">
                  <c:v>-1.5310587068255733E-2</c:v>
                </c:pt>
                <c:pt idx="380">
                  <c:v>-1.8379845191194837E-2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EE5-4DC7-BF34-2DC3066B395F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'SinPlaca#1 '!$W$5:$W$235</c:f>
              <c:numCache>
                <c:formatCode>0.00000</c:formatCode>
                <c:ptCount val="231"/>
                <c:pt idx="0">
                  <c:v>0</c:v>
                </c:pt>
                <c:pt idx="1">
                  <c:v>1.000009999785334E-5</c:v>
                </c:pt>
                <c:pt idx="2">
                  <c:v>2.0000200002812107E-5</c:v>
                </c:pt>
                <c:pt idx="3">
                  <c:v>3.0000300000665447E-5</c:v>
                </c:pt>
                <c:pt idx="4">
                  <c:v>4.0000399998518787E-5</c:v>
                </c:pt>
                <c:pt idx="5">
                  <c:v>5.0000500003477555E-5</c:v>
                </c:pt>
                <c:pt idx="6">
                  <c:v>6.0000600001330895E-5</c:v>
                </c:pt>
                <c:pt idx="7">
                  <c:v>7.0000699999184235E-5</c:v>
                </c:pt>
                <c:pt idx="8">
                  <c:v>8.0000800004143002E-5</c:v>
                </c:pt>
                <c:pt idx="9">
                  <c:v>9.0000900001996342E-5</c:v>
                </c:pt>
                <c:pt idx="10">
                  <c:v>1.0000099999984968E-4</c:v>
                </c:pt>
                <c:pt idx="11">
                  <c:v>1.1000109999770302E-4</c:v>
                </c:pt>
                <c:pt idx="12">
                  <c:v>1.2000120000266179E-4</c:v>
                </c:pt>
                <c:pt idx="13">
                  <c:v>1.3000130000051513E-4</c:v>
                </c:pt>
                <c:pt idx="14">
                  <c:v>1.4000139999836847E-4</c:v>
                </c:pt>
                <c:pt idx="15">
                  <c:v>1.5000150000332724E-4</c:v>
                </c:pt>
                <c:pt idx="16">
                  <c:v>1.6000160000118058E-4</c:v>
                </c:pt>
                <c:pt idx="17">
                  <c:v>1.7000169999903392E-4</c:v>
                </c:pt>
                <c:pt idx="18">
                  <c:v>1.8000180000399268E-4</c:v>
                </c:pt>
                <c:pt idx="19">
                  <c:v>1.9000190000184602E-4</c:v>
                </c:pt>
                <c:pt idx="20">
                  <c:v>2.0000199999969936E-4</c:v>
                </c:pt>
                <c:pt idx="21">
                  <c:v>2.100020999975527E-4</c:v>
                </c:pt>
                <c:pt idx="22">
                  <c:v>2.2000220000251147E-4</c:v>
                </c:pt>
                <c:pt idx="23">
                  <c:v>2.3000230000036481E-4</c:v>
                </c:pt>
                <c:pt idx="24">
                  <c:v>2.4000239999821815E-4</c:v>
                </c:pt>
                <c:pt idx="25">
                  <c:v>2.5000250000317692E-4</c:v>
                </c:pt>
                <c:pt idx="26">
                  <c:v>2.6000260000103026E-4</c:v>
                </c:pt>
                <c:pt idx="27">
                  <c:v>2.700026999988836E-4</c:v>
                </c:pt>
                <c:pt idx="28">
                  <c:v>2.8000280000384237E-4</c:v>
                </c:pt>
                <c:pt idx="29">
                  <c:v>2.9000290000169571E-4</c:v>
                </c:pt>
                <c:pt idx="30">
                  <c:v>3.0000299999954905E-4</c:v>
                </c:pt>
                <c:pt idx="31">
                  <c:v>3.1000309999740239E-4</c:v>
                </c:pt>
                <c:pt idx="32">
                  <c:v>3.2000320000236115E-4</c:v>
                </c:pt>
                <c:pt idx="33">
                  <c:v>3.3000330000021449E-4</c:v>
                </c:pt>
                <c:pt idx="34">
                  <c:v>3.4000339999806783E-4</c:v>
                </c:pt>
                <c:pt idx="35">
                  <c:v>3.500035000030266E-4</c:v>
                </c:pt>
                <c:pt idx="36">
                  <c:v>3.6000360000087994E-4</c:v>
                </c:pt>
                <c:pt idx="37">
                  <c:v>3.7000369999873328E-4</c:v>
                </c:pt>
                <c:pt idx="38">
                  <c:v>3.8000380000369205E-4</c:v>
                </c:pt>
                <c:pt idx="39">
                  <c:v>3.9000390000154539E-4</c:v>
                </c:pt>
                <c:pt idx="40">
                  <c:v>4.0000399999939873E-4</c:v>
                </c:pt>
                <c:pt idx="41">
                  <c:v>4.1000409999725207E-4</c:v>
                </c:pt>
                <c:pt idx="42">
                  <c:v>4.2000420000221084E-4</c:v>
                </c:pt>
                <c:pt idx="43">
                  <c:v>4.3000430000006418E-4</c:v>
                </c:pt>
                <c:pt idx="44">
                  <c:v>4.400044000973935E-4</c:v>
                </c:pt>
                <c:pt idx="45">
                  <c:v>4.5000450000287628E-4</c:v>
                </c:pt>
                <c:pt idx="46">
                  <c:v>4.6000460010020561E-4</c:v>
                </c:pt>
                <c:pt idx="47">
                  <c:v>4.7000470009805895E-4</c:v>
                </c:pt>
                <c:pt idx="48">
                  <c:v>4.8000480000354173E-4</c:v>
                </c:pt>
                <c:pt idx="49">
                  <c:v>4.9000490010087105E-4</c:v>
                </c:pt>
                <c:pt idx="50">
                  <c:v>5.0000500009872439E-4</c:v>
                </c:pt>
                <c:pt idx="51">
                  <c:v>5.1000510010368316E-4</c:v>
                </c:pt>
                <c:pt idx="52">
                  <c:v>5.200052001015365E-4</c:v>
                </c:pt>
                <c:pt idx="53">
                  <c:v>5.3000530009938984E-4</c:v>
                </c:pt>
                <c:pt idx="54">
                  <c:v>5.4000540009724318E-4</c:v>
                </c:pt>
                <c:pt idx="55">
                  <c:v>5.5000550010220195E-4</c:v>
                </c:pt>
                <c:pt idx="56">
                  <c:v>5.6000560010005529E-4</c:v>
                </c:pt>
                <c:pt idx="57">
                  <c:v>5.7000570009790863E-4</c:v>
                </c:pt>
                <c:pt idx="58">
                  <c:v>5.800058001028674E-4</c:v>
                </c:pt>
                <c:pt idx="59">
                  <c:v>5.9000590010072074E-4</c:v>
                </c:pt>
                <c:pt idx="60">
                  <c:v>6.0000600009857408E-4</c:v>
                </c:pt>
                <c:pt idx="61">
                  <c:v>6.1000610010353284E-4</c:v>
                </c:pt>
                <c:pt idx="62">
                  <c:v>6.2000620010138618E-4</c:v>
                </c:pt>
                <c:pt idx="63">
                  <c:v>6.3000630009923952E-4</c:v>
                </c:pt>
                <c:pt idx="64">
                  <c:v>6.4000640010419829E-4</c:v>
                </c:pt>
                <c:pt idx="65">
                  <c:v>6.5000650010205163E-4</c:v>
                </c:pt>
                <c:pt idx="66">
                  <c:v>6.6000660009990497E-4</c:v>
                </c:pt>
                <c:pt idx="67">
                  <c:v>6.7000670009775831E-4</c:v>
                </c:pt>
                <c:pt idx="68">
                  <c:v>6.8000680010271708E-4</c:v>
                </c:pt>
                <c:pt idx="69">
                  <c:v>6.9000690010057042E-4</c:v>
                </c:pt>
                <c:pt idx="70">
                  <c:v>7.0000700009842376E-4</c:v>
                </c:pt>
                <c:pt idx="71">
                  <c:v>7.1000710010338253E-4</c:v>
                </c:pt>
                <c:pt idx="72">
                  <c:v>7.2000720010123587E-4</c:v>
                </c:pt>
                <c:pt idx="73">
                  <c:v>7.3000730009908921E-4</c:v>
                </c:pt>
                <c:pt idx="74">
                  <c:v>7.4000740010404797E-4</c:v>
                </c:pt>
                <c:pt idx="75">
                  <c:v>7.5000750010190131E-4</c:v>
                </c:pt>
                <c:pt idx="76">
                  <c:v>7.6000760009975465E-4</c:v>
                </c:pt>
                <c:pt idx="77">
                  <c:v>7.7000770009760799E-4</c:v>
                </c:pt>
                <c:pt idx="78">
                  <c:v>7.8000780010256676E-4</c:v>
                </c:pt>
                <c:pt idx="79">
                  <c:v>7.900079001004201E-4</c:v>
                </c:pt>
                <c:pt idx="80">
                  <c:v>8.0000800009827344E-4</c:v>
                </c:pt>
                <c:pt idx="81">
                  <c:v>8.1000810010323221E-4</c:v>
                </c:pt>
                <c:pt idx="82">
                  <c:v>8.2000820010108555E-4</c:v>
                </c:pt>
                <c:pt idx="83">
                  <c:v>8.3000830009893889E-4</c:v>
                </c:pt>
                <c:pt idx="84">
                  <c:v>8.4000840010389766E-4</c:v>
                </c:pt>
                <c:pt idx="85">
                  <c:v>8.50008500101751E-4</c:v>
                </c:pt>
                <c:pt idx="86">
                  <c:v>8.6000860009960434E-4</c:v>
                </c:pt>
                <c:pt idx="87">
                  <c:v>8.7000870009745768E-4</c:v>
                </c:pt>
                <c:pt idx="88">
                  <c:v>8.8000880010241644E-4</c:v>
                </c:pt>
                <c:pt idx="89">
                  <c:v>8.9000890010026978E-4</c:v>
                </c:pt>
                <c:pt idx="90">
                  <c:v>9.0000900009812312E-4</c:v>
                </c:pt>
                <c:pt idx="91">
                  <c:v>9.1000910010308189E-4</c:v>
                </c:pt>
                <c:pt idx="92">
                  <c:v>9.2000920010093523E-4</c:v>
                </c:pt>
                <c:pt idx="93">
                  <c:v>9.3000930009878857E-4</c:v>
                </c:pt>
                <c:pt idx="94">
                  <c:v>9.4000940010374734E-4</c:v>
                </c:pt>
                <c:pt idx="95">
                  <c:v>9.5000950010160068E-4</c:v>
                </c:pt>
                <c:pt idx="96">
                  <c:v>9.6000960009945402E-4</c:v>
                </c:pt>
                <c:pt idx="97">
                  <c:v>9.7000970009730736E-4</c:v>
                </c:pt>
                <c:pt idx="98">
                  <c:v>9.8000980010226613E-4</c:v>
                </c:pt>
                <c:pt idx="99">
                  <c:v>9.9000990010011947E-4</c:v>
                </c:pt>
                <c:pt idx="100">
                  <c:v>1.0000100000979728E-3</c:v>
                </c:pt>
                <c:pt idx="101">
                  <c:v>1.0100101001029316E-3</c:v>
                </c:pt>
                <c:pt idx="102">
                  <c:v>1.0200102001007849E-3</c:v>
                </c:pt>
                <c:pt idx="103">
                  <c:v>1.0300103000986383E-3</c:v>
                </c:pt>
                <c:pt idx="104">
                  <c:v>1.040010400103597E-3</c:v>
                </c:pt>
                <c:pt idx="105">
                  <c:v>1.0500105001014504E-3</c:v>
                </c:pt>
                <c:pt idx="106">
                  <c:v>1.0600106000993037E-3</c:v>
                </c:pt>
                <c:pt idx="107">
                  <c:v>1.0700107001042625E-3</c:v>
                </c:pt>
                <c:pt idx="108">
                  <c:v>1.0800108001021158E-3</c:v>
                </c:pt>
                <c:pt idx="109">
                  <c:v>1.0900109000999691E-3</c:v>
                </c:pt>
                <c:pt idx="110">
                  <c:v>1.1000110000978225E-3</c:v>
                </c:pt>
                <c:pt idx="111">
                  <c:v>1.1100111001027813E-3</c:v>
                </c:pt>
                <c:pt idx="112">
                  <c:v>1.1200112001006346E-3</c:v>
                </c:pt>
                <c:pt idx="113">
                  <c:v>1.1300113000984879E-3</c:v>
                </c:pt>
                <c:pt idx="114">
                  <c:v>1.1400114001034467E-3</c:v>
                </c:pt>
                <c:pt idx="115">
                  <c:v>1.1500115001013E-3</c:v>
                </c:pt>
                <c:pt idx="116">
                  <c:v>1.1600116000991534E-3</c:v>
                </c:pt>
                <c:pt idx="117">
                  <c:v>1.1700117001041122E-3</c:v>
                </c:pt>
                <c:pt idx="118">
                  <c:v>1.1800118001019655E-3</c:v>
                </c:pt>
                <c:pt idx="119">
                  <c:v>1.1900119000998188E-3</c:v>
                </c:pt>
                <c:pt idx="120">
                  <c:v>1.2000120000976722E-3</c:v>
                </c:pt>
                <c:pt idx="121">
                  <c:v>1.2100121001026309E-3</c:v>
                </c:pt>
                <c:pt idx="122">
                  <c:v>1.2200122001004843E-3</c:v>
                </c:pt>
                <c:pt idx="123">
                  <c:v>1.2300123000983376E-3</c:v>
                </c:pt>
                <c:pt idx="124">
                  <c:v>1.2400124001032964E-3</c:v>
                </c:pt>
                <c:pt idx="125">
                  <c:v>1.2500125001011497E-3</c:v>
                </c:pt>
                <c:pt idx="126">
                  <c:v>1.2600126000990031E-3</c:v>
                </c:pt>
                <c:pt idx="127">
                  <c:v>1.2700127001039618E-3</c:v>
                </c:pt>
                <c:pt idx="128">
                  <c:v>1.2800128001018152E-3</c:v>
                </c:pt>
                <c:pt idx="129">
                  <c:v>1.2900129000996685E-3</c:v>
                </c:pt>
                <c:pt idx="130">
                  <c:v>1.3000130000975219E-3</c:v>
                </c:pt>
                <c:pt idx="131">
                  <c:v>1.3100131001024806E-3</c:v>
                </c:pt>
                <c:pt idx="132">
                  <c:v>1.320013200100334E-3</c:v>
                </c:pt>
                <c:pt idx="133">
                  <c:v>1.3300133000981873E-3</c:v>
                </c:pt>
                <c:pt idx="134">
                  <c:v>1.3400134001031461E-3</c:v>
                </c:pt>
                <c:pt idx="135">
                  <c:v>1.3500135001009994E-3</c:v>
                </c:pt>
                <c:pt idx="136">
                  <c:v>1.3600136000988527E-3</c:v>
                </c:pt>
                <c:pt idx="137">
                  <c:v>1.3700137001038115E-3</c:v>
                </c:pt>
                <c:pt idx="138">
                  <c:v>1.3800138001016649E-3</c:v>
                </c:pt>
                <c:pt idx="139">
                  <c:v>1.3900139000995182E-3</c:v>
                </c:pt>
                <c:pt idx="140">
                  <c:v>1.4000140000973715E-3</c:v>
                </c:pt>
                <c:pt idx="141">
                  <c:v>1.4100141001023303E-3</c:v>
                </c:pt>
                <c:pt idx="142">
                  <c:v>1.4200142001001836E-3</c:v>
                </c:pt>
                <c:pt idx="143">
                  <c:v>1.430014300098037E-3</c:v>
                </c:pt>
                <c:pt idx="144">
                  <c:v>1.4400144001029958E-3</c:v>
                </c:pt>
                <c:pt idx="145">
                  <c:v>1.4500145001008491E-3</c:v>
                </c:pt>
                <c:pt idx="146">
                  <c:v>1.4600146001981784E-3</c:v>
                </c:pt>
                <c:pt idx="147">
                  <c:v>1.4700147001036612E-3</c:v>
                </c:pt>
                <c:pt idx="148">
                  <c:v>1.4800148002009905E-3</c:v>
                </c:pt>
                <c:pt idx="149">
                  <c:v>1.4900149001988439E-3</c:v>
                </c:pt>
                <c:pt idx="150">
                  <c:v>1.5000150002038026E-3</c:v>
                </c:pt>
                <c:pt idx="151">
                  <c:v>1.510015100201656E-3</c:v>
                </c:pt>
                <c:pt idx="152">
                  <c:v>1.5200152001995093E-3</c:v>
                </c:pt>
                <c:pt idx="153">
                  <c:v>1.5300153001973626E-3</c:v>
                </c:pt>
                <c:pt idx="154">
                  <c:v>1.5400154002023214E-3</c:v>
                </c:pt>
                <c:pt idx="155">
                  <c:v>1.5500155002001748E-3</c:v>
                </c:pt>
                <c:pt idx="156">
                  <c:v>1.5600156001980281E-3</c:v>
                </c:pt>
                <c:pt idx="157">
                  <c:v>1.5700157002029869E-3</c:v>
                </c:pt>
                <c:pt idx="158">
                  <c:v>1.5800158002008402E-3</c:v>
                </c:pt>
                <c:pt idx="159">
                  <c:v>1.5900159001986935E-3</c:v>
                </c:pt>
                <c:pt idx="160">
                  <c:v>1.6000160002036523E-3</c:v>
                </c:pt>
                <c:pt idx="161">
                  <c:v>1.6100161002015057E-3</c:v>
                </c:pt>
                <c:pt idx="162">
                  <c:v>1.620016200199359E-3</c:v>
                </c:pt>
                <c:pt idx="163">
                  <c:v>1.6300163002043178E-3</c:v>
                </c:pt>
                <c:pt idx="164">
                  <c:v>1.6400164002021711E-3</c:v>
                </c:pt>
                <c:pt idx="165">
                  <c:v>1.6500165002000244E-3</c:v>
                </c:pt>
                <c:pt idx="166">
                  <c:v>1.6600166001978778E-3</c:v>
                </c:pt>
                <c:pt idx="167">
                  <c:v>1.6700167002028365E-3</c:v>
                </c:pt>
                <c:pt idx="168">
                  <c:v>1.6800168002006899E-3</c:v>
                </c:pt>
                <c:pt idx="169">
                  <c:v>1.6900169001985432E-3</c:v>
                </c:pt>
                <c:pt idx="170">
                  <c:v>1.700017000203502E-3</c:v>
                </c:pt>
                <c:pt idx="171">
                  <c:v>1.7100171002013553E-3</c:v>
                </c:pt>
                <c:pt idx="172">
                  <c:v>1.7200172001992087E-3</c:v>
                </c:pt>
                <c:pt idx="173">
                  <c:v>1.7300173002041674E-3</c:v>
                </c:pt>
                <c:pt idx="174">
                  <c:v>1.7400174002020208E-3</c:v>
                </c:pt>
                <c:pt idx="175">
                  <c:v>1.7500175001998741E-3</c:v>
                </c:pt>
                <c:pt idx="176">
                  <c:v>1.7600176001977275E-3</c:v>
                </c:pt>
                <c:pt idx="177">
                  <c:v>1.7700177002026862E-3</c:v>
                </c:pt>
                <c:pt idx="178">
                  <c:v>1.7800178002005396E-3</c:v>
                </c:pt>
                <c:pt idx="179">
                  <c:v>1.7900179001983929E-3</c:v>
                </c:pt>
                <c:pt idx="180">
                  <c:v>1.8000180002033517E-3</c:v>
                </c:pt>
                <c:pt idx="181">
                  <c:v>1.810018100201205E-3</c:v>
                </c:pt>
                <c:pt idx="182">
                  <c:v>1.8200182001990584E-3</c:v>
                </c:pt>
                <c:pt idx="183">
                  <c:v>1.8300183002040171E-3</c:v>
                </c:pt>
                <c:pt idx="184">
                  <c:v>1.8400184002018705E-3</c:v>
                </c:pt>
                <c:pt idx="185">
                  <c:v>1.8500185001997238E-3</c:v>
                </c:pt>
                <c:pt idx="186">
                  <c:v>1.8600186001975771E-3</c:v>
                </c:pt>
                <c:pt idx="187">
                  <c:v>1.8700187002025359E-3</c:v>
                </c:pt>
                <c:pt idx="188">
                  <c:v>1.8800188002003893E-3</c:v>
                </c:pt>
                <c:pt idx="189">
                  <c:v>1.8900189001982426E-3</c:v>
                </c:pt>
                <c:pt idx="190">
                  <c:v>1.9000190002032014E-3</c:v>
                </c:pt>
                <c:pt idx="191">
                  <c:v>1.9100191002010547E-3</c:v>
                </c:pt>
                <c:pt idx="192">
                  <c:v>1.920019200198908E-3</c:v>
                </c:pt>
                <c:pt idx="193">
                  <c:v>1.9300193002038668E-3</c:v>
                </c:pt>
                <c:pt idx="194">
                  <c:v>1.9400194002017201E-3</c:v>
                </c:pt>
                <c:pt idx="195">
                  <c:v>1.9500195001995735E-3</c:v>
                </c:pt>
                <c:pt idx="196">
                  <c:v>1.9600196001974268E-3</c:v>
                </c:pt>
                <c:pt idx="197">
                  <c:v>1.9700197002023856E-3</c:v>
                </c:pt>
                <c:pt idx="198">
                  <c:v>1.9800198002002389E-3</c:v>
                </c:pt>
                <c:pt idx="199">
                  <c:v>1.9900199001980923E-3</c:v>
                </c:pt>
                <c:pt idx="200">
                  <c:v>2.000020000203051E-3</c:v>
                </c:pt>
                <c:pt idx="201">
                  <c:v>2.0100201002009044E-3</c:v>
                </c:pt>
                <c:pt idx="202">
                  <c:v>2.0200202001987577E-3</c:v>
                </c:pt>
                <c:pt idx="203">
                  <c:v>2.0300203002037165E-3</c:v>
                </c:pt>
                <c:pt idx="204">
                  <c:v>2.0400204002015698E-3</c:v>
                </c:pt>
                <c:pt idx="205">
                  <c:v>2.0500205001994232E-3</c:v>
                </c:pt>
                <c:pt idx="206">
                  <c:v>2.0600206001972765E-3</c:v>
                </c:pt>
                <c:pt idx="207">
                  <c:v>2.0700207002022353E-3</c:v>
                </c:pt>
                <c:pt idx="208">
                  <c:v>2.0800208002000886E-3</c:v>
                </c:pt>
                <c:pt idx="209">
                  <c:v>2.090020900197942E-3</c:v>
                </c:pt>
                <c:pt idx="210">
                  <c:v>2.1000210002029007E-3</c:v>
                </c:pt>
                <c:pt idx="211">
                  <c:v>2.1100211002007541E-3</c:v>
                </c:pt>
                <c:pt idx="212">
                  <c:v>2.1200212001986074E-3</c:v>
                </c:pt>
                <c:pt idx="213">
                  <c:v>2.1300213002035662E-3</c:v>
                </c:pt>
                <c:pt idx="214">
                  <c:v>2.1400214002014195E-3</c:v>
                </c:pt>
                <c:pt idx="215">
                  <c:v>2.1500215001992729E-3</c:v>
                </c:pt>
                <c:pt idx="216">
                  <c:v>2.1600216002042316E-3</c:v>
                </c:pt>
                <c:pt idx="217">
                  <c:v>2.170021700202085E-3</c:v>
                </c:pt>
                <c:pt idx="218">
                  <c:v>2.1800218001999383E-3</c:v>
                </c:pt>
                <c:pt idx="219">
                  <c:v>2.1900219001977916E-3</c:v>
                </c:pt>
                <c:pt idx="220">
                  <c:v>2.2000220002027504E-3</c:v>
                </c:pt>
                <c:pt idx="221">
                  <c:v>2.2100221002006037E-3</c:v>
                </c:pt>
                <c:pt idx="222">
                  <c:v>2.2200222001984571E-3</c:v>
                </c:pt>
                <c:pt idx="223">
                  <c:v>2.2300223002034159E-3</c:v>
                </c:pt>
                <c:pt idx="224">
                  <c:v>2.2400224002012692E-3</c:v>
                </c:pt>
                <c:pt idx="225">
                  <c:v>2.2500225001991225E-3</c:v>
                </c:pt>
                <c:pt idx="226">
                  <c:v>2.2600226002040813E-3</c:v>
                </c:pt>
                <c:pt idx="227">
                  <c:v>2.2700227002019346E-3</c:v>
                </c:pt>
                <c:pt idx="228">
                  <c:v>2.280022800199788E-3</c:v>
                </c:pt>
                <c:pt idx="229">
                  <c:v>2.2900229001976413E-3</c:v>
                </c:pt>
                <c:pt idx="230">
                  <c:v>2.3000230002026001E-3</c:v>
                </c:pt>
              </c:numCache>
            </c:numRef>
          </c:xVal>
          <c:yVal>
            <c:numRef>
              <c:f>'SinPlaca#1 '!$Y$5:$Y$385</c:f>
              <c:numCache>
                <c:formatCode>General</c:formatCode>
                <c:ptCount val="381"/>
                <c:pt idx="0">
                  <c:v>3.3174268922851646E-3</c:v>
                </c:pt>
                <c:pt idx="1">
                  <c:v>-1.9294214855575982E-3</c:v>
                </c:pt>
                <c:pt idx="2">
                  <c:v>-1.9294214855575982E-3</c:v>
                </c:pt>
                <c:pt idx="3">
                  <c:v>1.1312400681840135E-3</c:v>
                </c:pt>
                <c:pt idx="4">
                  <c:v>1.1312400681840135E-3</c:v>
                </c:pt>
                <c:pt idx="5">
                  <c:v>-1.0549467559171379E-3</c:v>
                </c:pt>
                <c:pt idx="6">
                  <c:v>-1.9294214855575982E-3</c:v>
                </c:pt>
                <c:pt idx="7">
                  <c:v>-1.8047202627667657E-4</c:v>
                </c:pt>
                <c:pt idx="8">
                  <c:v>1.3498587505941285E-3</c:v>
                </c:pt>
                <c:pt idx="9">
                  <c:v>-1.4921841207373679E-3</c:v>
                </c:pt>
                <c:pt idx="10">
                  <c:v>-2.8038962151980583E-3</c:v>
                </c:pt>
                <c:pt idx="11">
                  <c:v>-1.0549467559171379E-3</c:v>
                </c:pt>
                <c:pt idx="12">
                  <c:v>-1.0549467559171379E-3</c:v>
                </c:pt>
                <c:pt idx="13">
                  <c:v>-3.2411335800182892E-3</c:v>
                </c:pt>
                <c:pt idx="14">
                  <c:v>-3.2411335800182892E-3</c:v>
                </c:pt>
                <c:pt idx="15">
                  <c:v>-1.2735654383272529E-3</c:v>
                </c:pt>
                <c:pt idx="16">
                  <c:v>-1.8047202627667657E-4</c:v>
                </c:pt>
                <c:pt idx="17">
                  <c:v>-1.9294214855575982E-3</c:v>
                </c:pt>
                <c:pt idx="18">
                  <c:v>-2.5852775327879435E-3</c:v>
                </c:pt>
                <c:pt idx="19">
                  <c:v>-8.0507445930408216E-3</c:v>
                </c:pt>
                <c:pt idx="20">
                  <c:v>-2.3666588503778283E-3</c:v>
                </c:pt>
                <c:pt idx="21">
                  <c:v>-6.1770939109690684E-4</c:v>
                </c:pt>
                <c:pt idx="22">
                  <c:v>-1.0549467559171379E-3</c:v>
                </c:pt>
                <c:pt idx="23">
                  <c:v>-3.9909070868679171E-4</c:v>
                </c:pt>
                <c:pt idx="24">
                  <c:v>-1.0549467559171379E-3</c:v>
                </c:pt>
                <c:pt idx="25">
                  <c:v>1.787096115414359E-3</c:v>
                </c:pt>
                <c:pt idx="26">
                  <c:v>-8.3632807350702263E-4</c:v>
                </c:pt>
                <c:pt idx="27">
                  <c:v>-3.9909070868679171E-4</c:v>
                </c:pt>
                <c:pt idx="28">
                  <c:v>4.1919016219256252E-3</c:v>
                </c:pt>
                <c:pt idx="29">
                  <c:v>-1.2735654383272529E-3</c:v>
                </c:pt>
                <c:pt idx="30">
                  <c:v>-3.6783709448385193E-3</c:v>
                </c:pt>
                <c:pt idx="31">
                  <c:v>-2.1480401679677135E-3</c:v>
                </c:pt>
                <c:pt idx="32">
                  <c:v>-3.9909070868679171E-4</c:v>
                </c:pt>
                <c:pt idx="33">
                  <c:v>-2.8038962151980583E-3</c:v>
                </c:pt>
                <c:pt idx="34">
                  <c:v>-3.8969896272486341E-3</c:v>
                </c:pt>
                <c:pt idx="35">
                  <c:v>-3.9909070868679171E-4</c:v>
                </c:pt>
                <c:pt idx="36">
                  <c:v>1.3498587505941285E-3</c:v>
                </c:pt>
                <c:pt idx="37">
                  <c:v>-3.4597522624284041E-3</c:v>
                </c:pt>
                <c:pt idx="38">
                  <c:v>-2.5852775327879435E-3</c:v>
                </c:pt>
                <c:pt idx="39">
                  <c:v>2.5676533854355365E-4</c:v>
                </c:pt>
                <c:pt idx="40">
                  <c:v>1.3498587505941285E-3</c:v>
                </c:pt>
                <c:pt idx="41">
                  <c:v>-9.3624566875015122E-3</c:v>
                </c:pt>
                <c:pt idx="42">
                  <c:v>-1.2735654383272529E-3</c:v>
                </c:pt>
                <c:pt idx="43">
                  <c:v>2.5676533854355365E-4</c:v>
                </c:pt>
                <c:pt idx="44">
                  <c:v>-1.8047202627667657E-4</c:v>
                </c:pt>
                <c:pt idx="45">
                  <c:v>2.5676533854355365E-4</c:v>
                </c:pt>
                <c:pt idx="46">
                  <c:v>3.3174268922851646E-3</c:v>
                </c:pt>
                <c:pt idx="47">
                  <c:v>-1.2735654383272529E-3</c:v>
                </c:pt>
                <c:pt idx="48">
                  <c:v>-6.1770939109690684E-4</c:v>
                </c:pt>
                <c:pt idx="49">
                  <c:v>-1.2735654383272529E-3</c:v>
                </c:pt>
                <c:pt idx="50">
                  <c:v>-3.6783709448385193E-3</c:v>
                </c:pt>
                <c:pt idx="51">
                  <c:v>-3.6783709448385193E-3</c:v>
                </c:pt>
                <c:pt idx="52">
                  <c:v>-1.8047202627667657E-4</c:v>
                </c:pt>
                <c:pt idx="53">
                  <c:v>8.3456565877178136E-3</c:v>
                </c:pt>
                <c:pt idx="54">
                  <c:v>2.6272388545347251E-2</c:v>
                </c:pt>
                <c:pt idx="55">
                  <c:v>7.3494023945932116E-2</c:v>
                </c:pt>
                <c:pt idx="56">
                  <c:v>0.18433369592786047</c:v>
                </c:pt>
                <c:pt idx="57">
                  <c:v>0.39158420685264966</c:v>
                </c:pt>
                <c:pt idx="58">
                  <c:v>0.63753022456402908</c:v>
                </c:pt>
                <c:pt idx="59">
                  <c:v>0.87626182575587475</c:v>
                </c:pt>
                <c:pt idx="60">
                  <c:v>1</c:v>
                </c:pt>
                <c:pt idx="61">
                  <c:v>0.96327206135510068</c:v>
                </c:pt>
                <c:pt idx="62">
                  <c:v>0.86817293450670063</c:v>
                </c:pt>
                <c:pt idx="63">
                  <c:v>0.68234705445810273</c:v>
                </c:pt>
                <c:pt idx="64">
                  <c:v>0.53150016359512331</c:v>
                </c:pt>
                <c:pt idx="65">
                  <c:v>0.40601303989171728</c:v>
                </c:pt>
                <c:pt idx="66">
                  <c:v>0.27790249199938977</c:v>
                </c:pt>
                <c:pt idx="67">
                  <c:v>0.21996854116070924</c:v>
                </c:pt>
                <c:pt idx="68">
                  <c:v>0.19001778167052347</c:v>
                </c:pt>
                <c:pt idx="69">
                  <c:v>0.19876252896692809</c:v>
                </c:pt>
                <c:pt idx="70">
                  <c:v>0.19132949376498415</c:v>
                </c:pt>
                <c:pt idx="71">
                  <c:v>0.16924900684156255</c:v>
                </c:pt>
                <c:pt idx="72">
                  <c:v>0.12771145718364066</c:v>
                </c:pt>
                <c:pt idx="73">
                  <c:v>9.3606942727662706E-2</c:v>
                </c:pt>
                <c:pt idx="74">
                  <c:v>6.0376903001325213E-2</c:v>
                </c:pt>
                <c:pt idx="75">
                  <c:v>3.6547466618622668E-2</c:v>
                </c:pt>
                <c:pt idx="76">
                  <c:v>1.6653166519302189E-2</c:v>
                </c:pt>
                <c:pt idx="77">
                  <c:v>6.8153258108470073E-3</c:v>
                </c:pt>
                <c:pt idx="78">
                  <c:v>-1.7108028031474832E-3</c:v>
                </c:pt>
                <c:pt idx="79">
                  <c:v>9.2201313173582728E-3</c:v>
                </c:pt>
                <c:pt idx="80">
                  <c:v>2.4429521626447041E-3</c:v>
                </c:pt>
                <c:pt idx="81">
                  <c:v>-2.8038962151980583E-3</c:v>
                </c:pt>
                <c:pt idx="82">
                  <c:v>-6.9576511809902458E-3</c:v>
                </c:pt>
                <c:pt idx="83">
                  <c:v>-5.4273204041194404E-3</c:v>
                </c:pt>
                <c:pt idx="84">
                  <c:v>-1.7014110571855541E-2</c:v>
                </c:pt>
                <c:pt idx="85">
                  <c:v>-1.7669966619085889E-2</c:v>
                </c:pt>
                <c:pt idx="86">
                  <c:v>-1.4827923747754389E-2</c:v>
                </c:pt>
                <c:pt idx="87">
                  <c:v>-1.220449955883301E-2</c:v>
                </c:pt>
                <c:pt idx="88">
                  <c:v>-1.8325822666316233E-2</c:v>
                </c:pt>
                <c:pt idx="89">
                  <c:v>-1.8981678713546578E-2</c:v>
                </c:pt>
                <c:pt idx="90">
                  <c:v>-1.7669966619085889E-2</c:v>
                </c:pt>
                <c:pt idx="91">
                  <c:v>-1.4827923747754389E-2</c:v>
                </c:pt>
                <c:pt idx="92">
                  <c:v>-2.2698196314518537E-2</c:v>
                </c:pt>
                <c:pt idx="93">
                  <c:v>-2.0293390808007267E-2</c:v>
                </c:pt>
                <c:pt idx="94">
                  <c:v>-1.4390686382934162E-2</c:v>
                </c:pt>
                <c:pt idx="95">
                  <c:v>-1.7232729254265656E-2</c:v>
                </c:pt>
                <c:pt idx="96">
                  <c:v>-2.0512009490417385E-2</c:v>
                </c:pt>
                <c:pt idx="97">
                  <c:v>-1.9418916078366807E-2</c:v>
                </c:pt>
                <c:pt idx="98">
                  <c:v>-1.3734830335703815E-2</c:v>
                </c:pt>
                <c:pt idx="99">
                  <c:v>-1.4827923747754389E-2</c:v>
                </c:pt>
                <c:pt idx="100">
                  <c:v>-1.8544441348726348E-2</c:v>
                </c:pt>
                <c:pt idx="101">
                  <c:v>-1.7014110571855541E-2</c:v>
                </c:pt>
                <c:pt idx="102">
                  <c:v>-1.5702398477394849E-2</c:v>
                </c:pt>
                <c:pt idx="103">
                  <c:v>-1.6576873207035311E-2</c:v>
                </c:pt>
                <c:pt idx="104">
                  <c:v>-1.7232729254265656E-2</c:v>
                </c:pt>
                <c:pt idx="105">
                  <c:v>-1.6576873207035311E-2</c:v>
                </c:pt>
                <c:pt idx="106">
                  <c:v>-1.6139635842215082E-2</c:v>
                </c:pt>
                <c:pt idx="107">
                  <c:v>-1.3297592970883584E-2</c:v>
                </c:pt>
                <c:pt idx="108">
                  <c:v>-2.8038962151980583E-3</c:v>
                </c:pt>
                <c:pt idx="109">
                  <c:v>-3.8969896272486341E-3</c:v>
                </c:pt>
                <c:pt idx="110">
                  <c:v>1.787096115414359E-3</c:v>
                </c:pt>
                <c:pt idx="111">
                  <c:v>2.8801895274649346E-3</c:v>
                </c:pt>
                <c:pt idx="112">
                  <c:v>4.41052030433574E-3</c:v>
                </c:pt>
                <c:pt idx="113">
                  <c:v>2.2243334802345889E-3</c:v>
                </c:pt>
                <c:pt idx="114">
                  <c:v>2.5676533854355365E-4</c:v>
                </c:pt>
                <c:pt idx="115">
                  <c:v>-6.0831764513497857E-3</c:v>
                </c:pt>
                <c:pt idx="116">
                  <c:v>-1.0674168781962203E-2</c:v>
                </c:pt>
                <c:pt idx="117">
                  <c:v>-1.5483779794984736E-2</c:v>
                </c:pt>
                <c:pt idx="118">
                  <c:v>-2.0949246855237615E-2</c:v>
                </c:pt>
                <c:pt idx="119">
                  <c:v>-1.1548643511602664E-2</c:v>
                </c:pt>
                <c:pt idx="120">
                  <c:v>-7.1762698634003615E-3</c:v>
                </c:pt>
                <c:pt idx="121">
                  <c:v>-1.2423118241243123E-2</c:v>
                </c:pt>
                <c:pt idx="122">
                  <c:v>-1.4390686382934162E-2</c:v>
                </c:pt>
                <c:pt idx="123">
                  <c:v>-7.3948885458104763E-3</c:v>
                </c:pt>
                <c:pt idx="124">
                  <c:v>-7.3948885458104763E-3</c:v>
                </c:pt>
                <c:pt idx="125">
                  <c:v>-1.0018312734731858E-2</c:v>
                </c:pt>
                <c:pt idx="126">
                  <c:v>-1.3297592970883584E-2</c:v>
                </c:pt>
                <c:pt idx="127">
                  <c:v>-1.2860355606063354E-2</c:v>
                </c:pt>
                <c:pt idx="128">
                  <c:v>-1.3078974288473469E-2</c:v>
                </c:pt>
                <c:pt idx="129">
                  <c:v>-1.1330024829192549E-2</c:v>
                </c:pt>
                <c:pt idx="130">
                  <c:v>-1.2641736923653238E-2</c:v>
                </c:pt>
                <c:pt idx="131">
                  <c:v>-6.9576511809902458E-3</c:v>
                </c:pt>
                <c:pt idx="132">
                  <c:v>-6.5204138161700162E-3</c:v>
                </c:pt>
                <c:pt idx="133">
                  <c:v>-6.7390324985801301E-3</c:v>
                </c:pt>
                <c:pt idx="134">
                  <c:v>-6.0831764513497857E-3</c:v>
                </c:pt>
                <c:pt idx="135">
                  <c:v>-1.1111406146782432E-2</c:v>
                </c:pt>
                <c:pt idx="136">
                  <c:v>-8.4879819578610512E-3</c:v>
                </c:pt>
                <c:pt idx="137">
                  <c:v>-8.7066006402711678E-3</c:v>
                </c:pt>
                <c:pt idx="138">
                  <c:v>-1.1767262194012779E-2</c:v>
                </c:pt>
                <c:pt idx="139">
                  <c:v>-9.3624566875015122E-3</c:v>
                </c:pt>
                <c:pt idx="140">
                  <c:v>-1.7014110571855541E-2</c:v>
                </c:pt>
                <c:pt idx="141">
                  <c:v>-1.0455550099552088E-2</c:v>
                </c:pt>
                <c:pt idx="142">
                  <c:v>-1.5046542430164504E-2</c:v>
                </c:pt>
                <c:pt idx="143">
                  <c:v>-1.5702398477394849E-2</c:v>
                </c:pt>
                <c:pt idx="144">
                  <c:v>-1.5265161112574621E-2</c:v>
                </c:pt>
                <c:pt idx="145">
                  <c:v>-1.6795491889445426E-2</c:v>
                </c:pt>
                <c:pt idx="146">
                  <c:v>-1.9200297395956693E-2</c:v>
                </c:pt>
                <c:pt idx="147">
                  <c:v>-1.4609305065344275E-2</c:v>
                </c:pt>
                <c:pt idx="148">
                  <c:v>-2.1167865537647729E-2</c:v>
                </c:pt>
                <c:pt idx="149">
                  <c:v>-1.8544441348726348E-2</c:v>
                </c:pt>
                <c:pt idx="150">
                  <c:v>-1.7669966619085889E-2</c:v>
                </c:pt>
                <c:pt idx="151">
                  <c:v>-1.2423118241243123E-2</c:v>
                </c:pt>
                <c:pt idx="152">
                  <c:v>-1.3297592970883584E-2</c:v>
                </c:pt>
                <c:pt idx="153">
                  <c:v>-1.5483779794984736E-2</c:v>
                </c:pt>
                <c:pt idx="154">
                  <c:v>-1.9200297395956693E-2</c:v>
                </c:pt>
                <c:pt idx="155">
                  <c:v>-1.220449955883301E-2</c:v>
                </c:pt>
                <c:pt idx="156">
                  <c:v>-1.1111406146782432E-2</c:v>
                </c:pt>
                <c:pt idx="157">
                  <c:v>-8.2693632754509364E-3</c:v>
                </c:pt>
                <c:pt idx="158">
                  <c:v>-1.0455550099552088E-2</c:v>
                </c:pt>
                <c:pt idx="159">
                  <c:v>-1.1985880876422893E-2</c:v>
                </c:pt>
                <c:pt idx="160">
                  <c:v>-1.3297592970883584E-2</c:v>
                </c:pt>
                <c:pt idx="161">
                  <c:v>-1.7888585301496E-2</c:v>
                </c:pt>
                <c:pt idx="162">
                  <c:v>-1.5046542430164504E-2</c:v>
                </c:pt>
                <c:pt idx="163">
                  <c:v>-1.5702398477394849E-2</c:v>
                </c:pt>
                <c:pt idx="164">
                  <c:v>-1.9200297395956693E-2</c:v>
                </c:pt>
                <c:pt idx="165">
                  <c:v>-1.8544441348726348E-2</c:v>
                </c:pt>
                <c:pt idx="166">
                  <c:v>-2.0074772125597152E-2</c:v>
                </c:pt>
                <c:pt idx="167">
                  <c:v>-2.2042340267288189E-2</c:v>
                </c:pt>
                <c:pt idx="168">
                  <c:v>-2.07306281728275E-2</c:v>
                </c:pt>
                <c:pt idx="169">
                  <c:v>-6.7390324985801301E-3</c:v>
                </c:pt>
                <c:pt idx="170">
                  <c:v>3.3924042429701283E-2</c:v>
                </c:pt>
                <c:pt idx="171">
                  <c:v>9.2076611950791892E-2</c:v>
                </c:pt>
                <c:pt idx="172">
                  <c:v>0.13252106819666321</c:v>
                </c:pt>
                <c:pt idx="173">
                  <c:v>0.17165381234807381</c:v>
                </c:pt>
                <c:pt idx="174">
                  <c:v>0.21778235433660809</c:v>
                </c:pt>
                <c:pt idx="175">
                  <c:v>0.27987006014108079</c:v>
                </c:pt>
                <c:pt idx="176">
                  <c:v>0.36010311658559302</c:v>
                </c:pt>
                <c:pt idx="177">
                  <c:v>0.37934156063768321</c:v>
                </c:pt>
                <c:pt idx="178">
                  <c:v>0.36906648256440772</c:v>
                </c:pt>
                <c:pt idx="179">
                  <c:v>0.33277578128432866</c:v>
                </c:pt>
                <c:pt idx="180">
                  <c:v>0.22062439720793958</c:v>
                </c:pt>
                <c:pt idx="181">
                  <c:v>0.13558172975040481</c:v>
                </c:pt>
                <c:pt idx="182">
                  <c:v>7.1745074486651197E-2</c:v>
                </c:pt>
                <c:pt idx="183">
                  <c:v>2.0588302802684259E-2</c:v>
                </c:pt>
                <c:pt idx="184">
                  <c:v>8.7828939525380432E-3</c:v>
                </c:pt>
                <c:pt idx="185">
                  <c:v>1.1406318141459424E-2</c:v>
                </c:pt>
                <c:pt idx="186">
                  <c:v>1.5122835742431381E-2</c:v>
                </c:pt>
                <c:pt idx="187">
                  <c:v>3.4142661112111394E-2</c:v>
                </c:pt>
                <c:pt idx="188">
                  <c:v>4.6603926009487956E-2</c:v>
                </c:pt>
                <c:pt idx="189">
                  <c:v>4.1575696314055312E-2</c:v>
                </c:pt>
                <c:pt idx="190">
                  <c:v>4.3543264455746349E-2</c:v>
                </c:pt>
                <c:pt idx="191">
                  <c:v>2.2993108309195525E-2</c:v>
                </c:pt>
                <c:pt idx="192">
                  <c:v>9.6573686821785024E-3</c:v>
                </c:pt>
                <c:pt idx="193">
                  <c:v>-2.8038962151980583E-3</c:v>
                </c:pt>
                <c:pt idx="194">
                  <c:v>-1.5921017159804967E-2</c:v>
                </c:pt>
                <c:pt idx="195">
                  <c:v>-1.4390686382934162E-2</c:v>
                </c:pt>
                <c:pt idx="196">
                  <c:v>-1.5483779794984736E-2</c:v>
                </c:pt>
                <c:pt idx="197">
                  <c:v>-1.7669966619085889E-2</c:v>
                </c:pt>
                <c:pt idx="198">
                  <c:v>-7.1762698634003615E-3</c:v>
                </c:pt>
                <c:pt idx="199">
                  <c:v>-1.4827923747754389E-2</c:v>
                </c:pt>
                <c:pt idx="200">
                  <c:v>-1.1548643511602664E-2</c:v>
                </c:pt>
                <c:pt idx="201">
                  <c:v>-1.8325822666316233E-2</c:v>
                </c:pt>
                <c:pt idx="202">
                  <c:v>-1.7014110571855541E-2</c:v>
                </c:pt>
                <c:pt idx="203">
                  <c:v>-1.7669966619085889E-2</c:v>
                </c:pt>
                <c:pt idx="204">
                  <c:v>-1.8325822666316233E-2</c:v>
                </c:pt>
                <c:pt idx="205">
                  <c:v>-1.7232729254265656E-2</c:v>
                </c:pt>
                <c:pt idx="206">
                  <c:v>-1.8981678713546578E-2</c:v>
                </c:pt>
                <c:pt idx="207">
                  <c:v>-1.8325822666316233E-2</c:v>
                </c:pt>
                <c:pt idx="208">
                  <c:v>-1.4827923747754389E-2</c:v>
                </c:pt>
                <c:pt idx="209">
                  <c:v>-1.8107203983906115E-2</c:v>
                </c:pt>
                <c:pt idx="210">
                  <c:v>-1.0892787464372318E-2</c:v>
                </c:pt>
                <c:pt idx="211">
                  <c:v>-1.5046542430164504E-2</c:v>
                </c:pt>
                <c:pt idx="212">
                  <c:v>-1.6139635842215082E-2</c:v>
                </c:pt>
                <c:pt idx="213">
                  <c:v>-5.86455776893967E-3</c:v>
                </c:pt>
                <c:pt idx="214">
                  <c:v>4.2450171043695771E-2</c:v>
                </c:pt>
                <c:pt idx="215">
                  <c:v>7.8522253641364767E-2</c:v>
                </c:pt>
                <c:pt idx="216">
                  <c:v>6.6935463473628665E-2</c:v>
                </c:pt>
                <c:pt idx="217">
                  <c:v>3.3049567700060817E-2</c:v>
                </c:pt>
                <c:pt idx="218">
                  <c:v>2.7802719322218058E-2</c:v>
                </c:pt>
                <c:pt idx="219">
                  <c:v>3.0863380875959669E-2</c:v>
                </c:pt>
                <c:pt idx="220">
                  <c:v>3.2612330335240587E-2</c:v>
                </c:pt>
                <c:pt idx="221">
                  <c:v>5.7753478812403829E-2</c:v>
                </c:pt>
                <c:pt idx="222">
                  <c:v>8.770423830258961E-2</c:v>
                </c:pt>
                <c:pt idx="223">
                  <c:v>8.1364296512696263E-2</c:v>
                </c:pt>
                <c:pt idx="224">
                  <c:v>5.644176671794314E-2</c:v>
                </c:pt>
                <c:pt idx="225">
                  <c:v>3.5672991888982201E-2</c:v>
                </c:pt>
                <c:pt idx="226">
                  <c:v>3.3924042429701283E-2</c:v>
                </c:pt>
                <c:pt idx="227">
                  <c:v>2.955166878149898E-2</c:v>
                </c:pt>
                <c:pt idx="228">
                  <c:v>-4.1156083096587489E-3</c:v>
                </c:pt>
                <c:pt idx="229">
                  <c:v>-3.2973274387793947E-2</c:v>
                </c:pt>
                <c:pt idx="230">
                  <c:v>-3.7782885400816479E-2</c:v>
                </c:pt>
                <c:pt idx="231">
                  <c:v>-2.1823721584878074E-2</c:v>
                </c:pt>
                <c:pt idx="232">
                  <c:v>-8.0507445930408216E-3</c:v>
                </c:pt>
                <c:pt idx="233">
                  <c:v>7.0870599757010738E-2</c:v>
                </c:pt>
                <c:pt idx="234">
                  <c:v>-2.3666588503778283E-3</c:v>
                </c:pt>
                <c:pt idx="235">
                  <c:v>5.7222323987964315E-3</c:v>
                </c:pt>
                <c:pt idx="236">
                  <c:v>5.3381105164201532E-2</c:v>
                </c:pt>
                <c:pt idx="237">
                  <c:v>5.0976299657690259E-2</c:v>
                </c:pt>
                <c:pt idx="238">
                  <c:v>1.4466979695201037E-2</c:v>
                </c:pt>
                <c:pt idx="239">
                  <c:v>4.7697019421538533E-2</c:v>
                </c:pt>
                <c:pt idx="240">
                  <c:v>6.474927664952751E-2</c:v>
                </c:pt>
                <c:pt idx="241">
                  <c:v>9.1420755903561551E-2</c:v>
                </c:pt>
                <c:pt idx="242">
                  <c:v>0.10147721529442685</c:v>
                </c:pt>
                <c:pt idx="243">
                  <c:v>0.16312768373407932</c:v>
                </c:pt>
                <c:pt idx="244">
                  <c:v>0.17690066072591659</c:v>
                </c:pt>
                <c:pt idx="245">
                  <c:v>0.15591326721454551</c:v>
                </c:pt>
                <c:pt idx="246">
                  <c:v>0.1253066516771294</c:v>
                </c:pt>
                <c:pt idx="247">
                  <c:v>0.1412658154930678</c:v>
                </c:pt>
                <c:pt idx="248">
                  <c:v>5.7097622765173481E-2</c:v>
                </c:pt>
                <c:pt idx="249">
                  <c:v>5.4036961211431866E-2</c:v>
                </c:pt>
                <c:pt idx="250">
                  <c:v>3.4579898476931624E-2</c:v>
                </c:pt>
                <c:pt idx="251">
                  <c:v>4.8352875468768881E-2</c:v>
                </c:pt>
                <c:pt idx="252">
                  <c:v>8.3456565877178136E-3</c:v>
                </c:pt>
                <c:pt idx="253">
                  <c:v>3.5235754524161972E-2</c:v>
                </c:pt>
                <c:pt idx="254">
                  <c:v>1.2499411553509998E-2</c:v>
                </c:pt>
                <c:pt idx="255">
                  <c:v>3.3705423747291165E-2</c:v>
                </c:pt>
                <c:pt idx="256">
                  <c:v>1.7309022566532533E-2</c:v>
                </c:pt>
                <c:pt idx="257">
                  <c:v>4.1138458949235082E-2</c:v>
                </c:pt>
                <c:pt idx="258">
                  <c:v>1.1187699459049308E-2</c:v>
                </c:pt>
                <c:pt idx="259">
                  <c:v>2.0588302802684259E-2</c:v>
                </c:pt>
                <c:pt idx="260">
                  <c:v>-1.0455550099552088E-2</c:v>
                </c:pt>
                <c:pt idx="261">
                  <c:v>4.6291389867458557E-3</c:v>
                </c:pt>
                <c:pt idx="262">
                  <c:v>-2.2042340267288189E-2</c:v>
                </c:pt>
                <c:pt idx="263">
                  <c:v>-1.0674168781962203E-2</c:v>
                </c:pt>
                <c:pt idx="264">
                  <c:v>-2.2916814996928651E-2</c:v>
                </c:pt>
                <c:pt idx="265">
                  <c:v>-5.6459390865295561E-3</c:v>
                </c:pt>
                <c:pt idx="266">
                  <c:v>-2.0293390808007267E-2</c:v>
                </c:pt>
                <c:pt idx="267">
                  <c:v>-9.7996940523217418E-3</c:v>
                </c:pt>
                <c:pt idx="268">
                  <c:v>-1.5921017159804967E-2</c:v>
                </c:pt>
                <c:pt idx="269">
                  <c:v>-1.1985880876422893E-2</c:v>
                </c:pt>
                <c:pt idx="270">
                  <c:v>-1.6358254524625197E-2</c:v>
                </c:pt>
                <c:pt idx="271">
                  <c:v>-1.8107203983906115E-2</c:v>
                </c:pt>
                <c:pt idx="272">
                  <c:v>-1.7232729254265656E-2</c:v>
                </c:pt>
                <c:pt idx="273">
                  <c:v>-1.8981678713546578E-2</c:v>
                </c:pt>
                <c:pt idx="274">
                  <c:v>-1.3297592970883584E-2</c:v>
                </c:pt>
                <c:pt idx="275">
                  <c:v>-2.07306281728275E-2</c:v>
                </c:pt>
                <c:pt idx="276">
                  <c:v>-1.5921017159804967E-2</c:v>
                </c:pt>
                <c:pt idx="277">
                  <c:v>-1.8544441348726348E-2</c:v>
                </c:pt>
                <c:pt idx="278">
                  <c:v>-1.9856153443187041E-2</c:v>
                </c:pt>
                <c:pt idx="279">
                  <c:v>-2.4884383138619685E-2</c:v>
                </c:pt>
                <c:pt idx="280">
                  <c:v>-1.395344901811393E-2</c:v>
                </c:pt>
                <c:pt idx="281">
                  <c:v>-2.6851951280310721E-2</c:v>
                </c:pt>
                <c:pt idx="282">
                  <c:v>-1.9418916078366807E-2</c:v>
                </c:pt>
                <c:pt idx="283">
                  <c:v>-2.4884383138619685E-2</c:v>
                </c:pt>
                <c:pt idx="284">
                  <c:v>-1.5046542430164504E-2</c:v>
                </c:pt>
                <c:pt idx="285">
                  <c:v>-2.1167865537647729E-2</c:v>
                </c:pt>
                <c:pt idx="286">
                  <c:v>-1.4172067700524045E-2</c:v>
                </c:pt>
                <c:pt idx="287">
                  <c:v>-2.3572671044158992E-2</c:v>
                </c:pt>
                <c:pt idx="288">
                  <c:v>-1.7014110571855541E-2</c:v>
                </c:pt>
                <c:pt idx="289">
                  <c:v>-2.4228527091389344E-2</c:v>
                </c:pt>
                <c:pt idx="290">
                  <c:v>-1.3297592970883584E-2</c:v>
                </c:pt>
                <c:pt idx="291">
                  <c:v>-1.5046542430164504E-2</c:v>
                </c:pt>
                <c:pt idx="292">
                  <c:v>-1.1985880876422893E-2</c:v>
                </c:pt>
                <c:pt idx="293">
                  <c:v>-2.2479577632108422E-2</c:v>
                </c:pt>
                <c:pt idx="294">
                  <c:v>-1.1548643511602664E-2</c:v>
                </c:pt>
                <c:pt idx="295">
                  <c:v>-1.7108028031474832E-3</c:v>
                </c:pt>
                <c:pt idx="296">
                  <c:v>3.1300618240779898E-2</c:v>
                </c:pt>
                <c:pt idx="297">
                  <c:v>3.8515034760313697E-2</c:v>
                </c:pt>
                <c:pt idx="298">
                  <c:v>1.2499411553509998E-2</c:v>
                </c:pt>
                <c:pt idx="299">
                  <c:v>-3.8969896272486341E-3</c:v>
                </c:pt>
                <c:pt idx="300">
                  <c:v>1.5997310472071841E-2</c:v>
                </c:pt>
                <c:pt idx="301">
                  <c:v>2.0151065437864029E-2</c:v>
                </c:pt>
                <c:pt idx="302">
                  <c:v>-2.8038962151980583E-3</c:v>
                </c:pt>
                <c:pt idx="303">
                  <c:v>-2.466576445620957E-2</c:v>
                </c:pt>
                <c:pt idx="304">
                  <c:v>-3.1661562293333251E-2</c:v>
                </c:pt>
                <c:pt idx="305">
                  <c:v>-1.7232729254265656E-2</c:v>
                </c:pt>
                <c:pt idx="306">
                  <c:v>1.7090403884122418E-2</c:v>
                </c:pt>
                <c:pt idx="307">
                  <c:v>3.4142661112111394E-2</c:v>
                </c:pt>
                <c:pt idx="308">
                  <c:v>3.7640560030673238E-2</c:v>
                </c:pt>
                <c:pt idx="309">
                  <c:v>6.1469996413375791E-2</c:v>
                </c:pt>
                <c:pt idx="310">
                  <c:v>5.2069393069740837E-2</c:v>
                </c:pt>
                <c:pt idx="311">
                  <c:v>3.0207524828729328E-2</c:v>
                </c:pt>
                <c:pt idx="312">
                  <c:v>1.424836101279092E-2</c:v>
                </c:pt>
                <c:pt idx="313">
                  <c:v>1.9932446755453914E-2</c:v>
                </c:pt>
                <c:pt idx="314">
                  <c:v>2.5676533854355365E-4</c:v>
                </c:pt>
                <c:pt idx="315">
                  <c:v>-6.9576511809902458E-3</c:v>
                </c:pt>
                <c:pt idx="316">
                  <c:v>-1.6576873207035311E-2</c:v>
                </c:pt>
                <c:pt idx="317">
                  <c:v>-4.3342269920688646E-3</c:v>
                </c:pt>
                <c:pt idx="318">
                  <c:v>-1.2860355606063354E-2</c:v>
                </c:pt>
                <c:pt idx="319">
                  <c:v>-4.3342269920688646E-3</c:v>
                </c:pt>
                <c:pt idx="320">
                  <c:v>-1.1767262194012779E-2</c:v>
                </c:pt>
                <c:pt idx="321">
                  <c:v>-3.6783709448385193E-3</c:v>
                </c:pt>
                <c:pt idx="322">
                  <c:v>-6.5204138161700162E-3</c:v>
                </c:pt>
                <c:pt idx="323">
                  <c:v>3.5360455746952795E-3</c:v>
                </c:pt>
                <c:pt idx="324">
                  <c:v>-8.2693632754509364E-3</c:v>
                </c:pt>
                <c:pt idx="325">
                  <c:v>-8.3632807350702263E-4</c:v>
                </c:pt>
                <c:pt idx="326">
                  <c:v>-1.3516211653293699E-2</c:v>
                </c:pt>
                <c:pt idx="327">
                  <c:v>-1.2641736923653238E-2</c:v>
                </c:pt>
                <c:pt idx="328">
                  <c:v>-1.4172067700524045E-2</c:v>
                </c:pt>
                <c:pt idx="329">
                  <c:v>-9.3624566875015122E-3</c:v>
                </c:pt>
                <c:pt idx="330">
                  <c:v>-6.9576511809902458E-3</c:v>
                </c:pt>
                <c:pt idx="331">
                  <c:v>5.5036137163863158E-3</c:v>
                </c:pt>
                <c:pt idx="332">
                  <c:v>-1.8047202627667657E-4</c:v>
                </c:pt>
                <c:pt idx="333">
                  <c:v>7.4711818580773517E-3</c:v>
                </c:pt>
                <c:pt idx="334">
                  <c:v>6.8153258108470073E-3</c:v>
                </c:pt>
                <c:pt idx="335">
                  <c:v>5.7222323987964315E-3</c:v>
                </c:pt>
                <c:pt idx="336">
                  <c:v>3.3174268922851646E-3</c:v>
                </c:pt>
                <c:pt idx="337">
                  <c:v>-1.7108028031474832E-3</c:v>
                </c:pt>
                <c:pt idx="338">
                  <c:v>-1.0455550099552088E-2</c:v>
                </c:pt>
                <c:pt idx="339">
                  <c:v>-1.6139635842215082E-2</c:v>
                </c:pt>
                <c:pt idx="340">
                  <c:v>-1.4390686382934162E-2</c:v>
                </c:pt>
                <c:pt idx="341">
                  <c:v>-1.3516211653293699E-2</c:v>
                </c:pt>
                <c:pt idx="342">
                  <c:v>-1.4827923747754389E-2</c:v>
                </c:pt>
                <c:pt idx="343">
                  <c:v>-1.7014110571855541E-2</c:v>
                </c:pt>
                <c:pt idx="344">
                  <c:v>-1.9856153443187041E-2</c:v>
                </c:pt>
                <c:pt idx="345">
                  <c:v>-2.4009908408979229E-2</c:v>
                </c:pt>
                <c:pt idx="346">
                  <c:v>-1.3297592970883584E-2</c:v>
                </c:pt>
                <c:pt idx="347">
                  <c:v>-2.0512009490417385E-2</c:v>
                </c:pt>
                <c:pt idx="348">
                  <c:v>-1.5046542430164504E-2</c:v>
                </c:pt>
                <c:pt idx="349">
                  <c:v>-1.2641736923653238E-2</c:v>
                </c:pt>
                <c:pt idx="350">
                  <c:v>-2.07306281728275E-2</c:v>
                </c:pt>
                <c:pt idx="351">
                  <c:v>-1.8107203983906115E-2</c:v>
                </c:pt>
                <c:pt idx="352">
                  <c:v>-2.0512009490417385E-2</c:v>
                </c:pt>
                <c:pt idx="353">
                  <c:v>-1.5046542430164504E-2</c:v>
                </c:pt>
                <c:pt idx="354">
                  <c:v>-1.3078974288473469E-2</c:v>
                </c:pt>
                <c:pt idx="355">
                  <c:v>-1.6139635842215082E-2</c:v>
                </c:pt>
                <c:pt idx="356">
                  <c:v>-1.7669966619085889E-2</c:v>
                </c:pt>
                <c:pt idx="357">
                  <c:v>-1.1767262194012779E-2</c:v>
                </c:pt>
                <c:pt idx="358">
                  <c:v>-1.220449955883301E-2</c:v>
                </c:pt>
                <c:pt idx="359">
                  <c:v>-1.4827923747754389E-2</c:v>
                </c:pt>
                <c:pt idx="360">
                  <c:v>-1.2423118241243123E-2</c:v>
                </c:pt>
                <c:pt idx="361">
                  <c:v>-1.5046542430164504E-2</c:v>
                </c:pt>
                <c:pt idx="362">
                  <c:v>-1.5265161112574621E-2</c:v>
                </c:pt>
                <c:pt idx="363">
                  <c:v>-1.8763060031136463E-2</c:v>
                </c:pt>
                <c:pt idx="364">
                  <c:v>-1.8107203983906115E-2</c:v>
                </c:pt>
                <c:pt idx="365">
                  <c:v>-2.2698196314518537E-2</c:v>
                </c:pt>
                <c:pt idx="366">
                  <c:v>-1.4390686382934162E-2</c:v>
                </c:pt>
                <c:pt idx="367">
                  <c:v>-1.3297592970883584E-2</c:v>
                </c:pt>
                <c:pt idx="368">
                  <c:v>-1.7888585301496E-2</c:v>
                </c:pt>
                <c:pt idx="369">
                  <c:v>-1.8107203983906115E-2</c:v>
                </c:pt>
                <c:pt idx="370">
                  <c:v>-1.4827923747754389E-2</c:v>
                </c:pt>
                <c:pt idx="371">
                  <c:v>-1.9856153443187041E-2</c:v>
                </c:pt>
                <c:pt idx="372">
                  <c:v>-2.3572671044158992E-2</c:v>
                </c:pt>
                <c:pt idx="373">
                  <c:v>-1.5921017159804967E-2</c:v>
                </c:pt>
                <c:pt idx="374">
                  <c:v>-1.4827923747754389E-2</c:v>
                </c:pt>
                <c:pt idx="375">
                  <c:v>-1.7888585301496E-2</c:v>
                </c:pt>
                <c:pt idx="376">
                  <c:v>-1.4827923747754389E-2</c:v>
                </c:pt>
                <c:pt idx="377">
                  <c:v>-1.5265161112574621E-2</c:v>
                </c:pt>
                <c:pt idx="378">
                  <c:v>-1.9637534760776922E-2</c:v>
                </c:pt>
                <c:pt idx="379">
                  <c:v>-1.9200297395956693E-2</c:v>
                </c:pt>
                <c:pt idx="380">
                  <c:v>-2.1605102902467959E-2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EE5-4DC7-BF34-2DC3066B3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801119"/>
        <c:axId val="818794879"/>
      </c:scatterChart>
      <c:valAx>
        <c:axId val="818801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794879"/>
        <c:crosses val="autoZero"/>
        <c:crossBetween val="midCat"/>
      </c:valAx>
      <c:valAx>
        <c:axId val="81879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801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33296755984599"/>
          <c:y val="6.3490851545481855E-2"/>
          <c:w val="0.82822980460775741"/>
          <c:h val="0.81061456144728239"/>
        </c:manualLayout>
      </c:layout>
      <c:scatterChart>
        <c:scatterStyle val="lineMarker"/>
        <c:varyColors val="0"/>
        <c:ser>
          <c:idx val="0"/>
          <c:order val="0"/>
          <c:tx>
            <c:v>56 blows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CurvasCompactación!$B$6:$B$11</c:f>
              <c:numCache>
                <c:formatCode>0.00%</c:formatCode>
                <c:ptCount val="6"/>
                <c:pt idx="0">
                  <c:v>0.11805225653206648</c:v>
                </c:pt>
                <c:pt idx="1">
                  <c:v>9.6678107984795758E-2</c:v>
                </c:pt>
                <c:pt idx="2">
                  <c:v>8.0713111267325499E-2</c:v>
                </c:pt>
                <c:pt idx="3">
                  <c:v>0.1430861723446894</c:v>
                </c:pt>
                <c:pt idx="4">
                  <c:v>0.17279256442754556</c:v>
                </c:pt>
                <c:pt idx="5">
                  <c:v>0.1863437537080784</c:v>
                </c:pt>
              </c:numCache>
            </c:numRef>
          </c:xVal>
          <c:yVal>
            <c:numRef>
              <c:f>CurvasCompactación!$C$6:$C$11</c:f>
              <c:numCache>
                <c:formatCode>0.00</c:formatCode>
                <c:ptCount val="6"/>
                <c:pt idx="0">
                  <c:v>1.763728134637909</c:v>
                </c:pt>
                <c:pt idx="1">
                  <c:v>1.6822689096024417</c:v>
                </c:pt>
                <c:pt idx="2">
                  <c:v>1.6483733962172045</c:v>
                </c:pt>
                <c:pt idx="3">
                  <c:v>1.7772421994397172</c:v>
                </c:pt>
                <c:pt idx="4">
                  <c:v>1.6951263354634258</c:v>
                </c:pt>
                <c:pt idx="5">
                  <c:v>1.6321784584194605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C4-4FED-BB5E-D59DA90DA2FA}"/>
            </c:ext>
          </c:extLst>
        </c:ser>
        <c:ser>
          <c:idx val="1"/>
          <c:order val="1"/>
          <c:tx>
            <c:v>25 blows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C00000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5.6107717622718808E-2"/>
                  <c:y val="-1.037697094151417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CurvasCompactación!$B$15:$B$18</c:f>
              <c:numCache>
                <c:formatCode>0.00%</c:formatCode>
                <c:ptCount val="4"/>
                <c:pt idx="0">
                  <c:v>0.11843409316154611</c:v>
                </c:pt>
                <c:pt idx="1">
                  <c:v>0.13297332509443671</c:v>
                </c:pt>
                <c:pt idx="2">
                  <c:v>0.15578764142732804</c:v>
                </c:pt>
                <c:pt idx="3">
                  <c:v>0.16935064935064942</c:v>
                </c:pt>
              </c:numCache>
            </c:numRef>
          </c:xVal>
          <c:yVal>
            <c:numRef>
              <c:f>CurvasCompactación!$C$15:$C$18</c:f>
              <c:numCache>
                <c:formatCode>0.00</c:formatCode>
                <c:ptCount val="4"/>
                <c:pt idx="0">
                  <c:v>1.6584291622044007</c:v>
                </c:pt>
                <c:pt idx="1">
                  <c:v>1.6867190368361413</c:v>
                </c:pt>
                <c:pt idx="2">
                  <c:v>1.678484887889131</c:v>
                </c:pt>
                <c:pt idx="3">
                  <c:v>1.601954608561813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0C4-4FED-BB5E-D59DA90DA2FA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CurvasCompactación!$L$10</c:f>
              <c:numCache>
                <c:formatCode>General</c:formatCode>
                <c:ptCount val="1"/>
                <c:pt idx="0">
                  <c:v>0.13911993692717059</c:v>
                </c:pt>
              </c:numCache>
            </c:numRef>
          </c:xVal>
          <c:yVal>
            <c:numRef>
              <c:f>CurvasCompactación!$L$11</c:f>
              <c:numCache>
                <c:formatCode>General</c:formatCode>
                <c:ptCount val="1"/>
                <c:pt idx="0">
                  <c:v>1.6982865896324033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4E9-4EE7-AD22-D72C6C5C2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9661935"/>
        <c:axId val="293849215"/>
      </c:scatterChart>
      <c:valAx>
        <c:axId val="279661935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8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Water content (%)</a:t>
                </a:r>
              </a:p>
            </c:rich>
          </c:tx>
          <c:layout>
            <c:manualLayout>
              <c:xMode val="edge"/>
              <c:yMode val="edge"/>
              <c:x val="0.67124902995882574"/>
              <c:y val="0.793007407407407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93849215"/>
        <c:crosses val="autoZero"/>
        <c:crossBetween val="midCat"/>
      </c:valAx>
      <c:valAx>
        <c:axId val="293849215"/>
        <c:scaling>
          <c:orientation val="minMax"/>
          <c:max val="1.82"/>
          <c:min val="1.56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8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Dry density (g/cm3)</a:t>
                </a:r>
              </a:p>
            </c:rich>
          </c:tx>
          <c:layout>
            <c:manualLayout>
              <c:xMode val="edge"/>
              <c:yMode val="edge"/>
              <c:x val="0.12947269303201506"/>
              <c:y val="6.09425925925925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796619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76614438908413285"/>
          <c:y val="6.0212037037037029E-2"/>
          <c:w val="0.18011726049003471"/>
          <c:h val="0.184784155813837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33296755984599"/>
          <c:y val="6.3490851545481855E-2"/>
          <c:w val="0.82822980460775741"/>
          <c:h val="0.81061456144728239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CurvasCompactación!$B$22:$B$27</c:f>
              <c:numCache>
                <c:formatCode>0.000%</c:formatCode>
                <c:ptCount val="6"/>
                <c:pt idx="0">
                  <c:v>0.11589041095890402</c:v>
                </c:pt>
                <c:pt idx="1">
                  <c:v>0.13460442691211932</c:v>
                </c:pt>
                <c:pt idx="2">
                  <c:v>0.14028029887536533</c:v>
                </c:pt>
                <c:pt idx="3">
                  <c:v>0.15156950672645753</c:v>
                </c:pt>
                <c:pt idx="4">
                  <c:v>0.16556028504471754</c:v>
                </c:pt>
                <c:pt idx="5">
                  <c:v>0.19470446643487566</c:v>
                </c:pt>
              </c:numCache>
            </c:numRef>
          </c:xVal>
          <c:yVal>
            <c:numRef>
              <c:f>CurvasCompactación!$C$22:$C$27</c:f>
              <c:numCache>
                <c:formatCode>General</c:formatCode>
                <c:ptCount val="6"/>
                <c:pt idx="0">
                  <c:v>1.480677915463195</c:v>
                </c:pt>
                <c:pt idx="1">
                  <c:v>1.4904689597154233</c:v>
                </c:pt>
                <c:pt idx="2">
                  <c:v>1.5294344523239138</c:v>
                </c:pt>
                <c:pt idx="3">
                  <c:v>1.5475074537777984</c:v>
                </c:pt>
                <c:pt idx="4">
                  <c:v>1.6090048691339709</c:v>
                </c:pt>
                <c:pt idx="5">
                  <c:v>1.6060302554528956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05-094A-A4C7-8A5B5B622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9661935"/>
        <c:axId val="293849215"/>
      </c:scatterChart>
      <c:valAx>
        <c:axId val="279661935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8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Water content (%)</a:t>
                </a:r>
              </a:p>
            </c:rich>
          </c:tx>
          <c:layout>
            <c:manualLayout>
              <c:xMode val="edge"/>
              <c:yMode val="edge"/>
              <c:x val="0.67124902995882574"/>
              <c:y val="0.793007407407407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93849215"/>
        <c:crosses val="autoZero"/>
        <c:crossBetween val="midCat"/>
      </c:valAx>
      <c:valAx>
        <c:axId val="293849215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8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Dry density (g/cm3)</a:t>
                </a:r>
              </a:p>
            </c:rich>
          </c:tx>
          <c:layout>
            <c:manualLayout>
              <c:xMode val="edge"/>
              <c:yMode val="edge"/>
              <c:x val="0.12947269303201506"/>
              <c:y val="6.09425925925925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796619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614438908413285"/>
          <c:y val="6.0212037037037029E-2"/>
          <c:w val="0.1946214615122262"/>
          <c:h val="0.175374730095708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701923480157115E-2"/>
          <c:y val="2.575292121677298E-2"/>
          <c:w val="0.87985216566252422"/>
          <c:h val="0.932658391659375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29257329016340422"/>
                  <c:y val="-2.9190623410093566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800" baseline="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y = 1,198x</a:t>
                    </a:r>
                    <a:br>
                      <a:rPr lang="en-US" sz="800" baseline="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</a:br>
                    <a:r>
                      <a:rPr lang="en-US" sz="800" baseline="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R² = 0,875</a:t>
                    </a:r>
                    <a:endParaRPr lang="en-US" sz="800"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cust"/>
            <c:noEndCap val="0"/>
            <c:plus>
              <c:numRef>
                <c:f>Ceramica_TOFvsOndaP!$Z$75:$Z$90</c:f>
                <c:numCache>
                  <c:formatCode>General</c:formatCode>
                  <c:ptCount val="16"/>
                  <c:pt idx="0">
                    <c:v>14.169240768724649</c:v>
                  </c:pt>
                  <c:pt idx="1">
                    <c:v>31.721744315344878</c:v>
                  </c:pt>
                  <c:pt idx="2">
                    <c:v>6.9198523051219922</c:v>
                  </c:pt>
                  <c:pt idx="3">
                    <c:v>17.85807819835868</c:v>
                  </c:pt>
                  <c:pt idx="4">
                    <c:v>4.2160394856186727</c:v>
                  </c:pt>
                  <c:pt idx="5">
                    <c:v>7.566357212792413</c:v>
                  </c:pt>
                  <c:pt idx="6">
                    <c:v>14.942137547797271</c:v>
                  </c:pt>
                  <c:pt idx="7">
                    <c:v>7.0393823234965875</c:v>
                  </c:pt>
                  <c:pt idx="8">
                    <c:v>20.080803204507763</c:v>
                  </c:pt>
                  <c:pt idx="9">
                    <c:v>20.031777810271894</c:v>
                  </c:pt>
                  <c:pt idx="10">
                    <c:v>5.8367037780676077</c:v>
                  </c:pt>
                  <c:pt idx="11">
                    <c:v>2.6972719289245068</c:v>
                  </c:pt>
                  <c:pt idx="12">
                    <c:v>6.447908737000942</c:v>
                  </c:pt>
                  <c:pt idx="13">
                    <c:v>9.2765515734154551</c:v>
                  </c:pt>
                  <c:pt idx="14">
                    <c:v>7.7278074966016908</c:v>
                  </c:pt>
                  <c:pt idx="15">
                    <c:v>17.480679703664464</c:v>
                  </c:pt>
                </c:numCache>
              </c:numRef>
            </c:plus>
            <c:minus>
              <c:numRef>
                <c:f>Ceramica_TOFvsOndaP!$Z$75:$Z$90</c:f>
                <c:numCache>
                  <c:formatCode>General</c:formatCode>
                  <c:ptCount val="16"/>
                  <c:pt idx="0">
                    <c:v>14.169240768724649</c:v>
                  </c:pt>
                  <c:pt idx="1">
                    <c:v>31.721744315344878</c:v>
                  </c:pt>
                  <c:pt idx="2">
                    <c:v>6.9198523051219922</c:v>
                  </c:pt>
                  <c:pt idx="3">
                    <c:v>17.85807819835868</c:v>
                  </c:pt>
                  <c:pt idx="4">
                    <c:v>4.2160394856186727</c:v>
                  </c:pt>
                  <c:pt idx="5">
                    <c:v>7.566357212792413</c:v>
                  </c:pt>
                  <c:pt idx="6">
                    <c:v>14.942137547797271</c:v>
                  </c:pt>
                  <c:pt idx="7">
                    <c:v>7.0393823234965875</c:v>
                  </c:pt>
                  <c:pt idx="8">
                    <c:v>20.080803204507763</c:v>
                  </c:pt>
                  <c:pt idx="9">
                    <c:v>20.031777810271894</c:v>
                  </c:pt>
                  <c:pt idx="10">
                    <c:v>5.8367037780676077</c:v>
                  </c:pt>
                  <c:pt idx="11">
                    <c:v>2.6972719289245068</c:v>
                  </c:pt>
                  <c:pt idx="12">
                    <c:v>6.447908737000942</c:v>
                  </c:pt>
                  <c:pt idx="13">
                    <c:v>9.2765515734154551</c:v>
                  </c:pt>
                  <c:pt idx="14">
                    <c:v>7.7278074966016908</c:v>
                  </c:pt>
                  <c:pt idx="15">
                    <c:v>17.480679703664464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Ceramica_TOFvsOndaP!$W$75:$W$90</c:f>
                <c:numCache>
                  <c:formatCode>General</c:formatCode>
                  <c:ptCount val="16"/>
                  <c:pt idx="0">
                    <c:v>17.561094684635073</c:v>
                  </c:pt>
                  <c:pt idx="1">
                    <c:v>21.027186486300735</c:v>
                  </c:pt>
                  <c:pt idx="2">
                    <c:v>31.303480060735129</c:v>
                  </c:pt>
                  <c:pt idx="3">
                    <c:v>49.424219750996258</c:v>
                  </c:pt>
                  <c:pt idx="4">
                    <c:v>8.97995182476207</c:v>
                  </c:pt>
                  <c:pt idx="5">
                    <c:v>16.485193968528939</c:v>
                  </c:pt>
                  <c:pt idx="6">
                    <c:v>12.102070190518972</c:v>
                  </c:pt>
                  <c:pt idx="7">
                    <c:v>18.936325034197282</c:v>
                  </c:pt>
                  <c:pt idx="8">
                    <c:v>26.220616392878334</c:v>
                  </c:pt>
                  <c:pt idx="9">
                    <c:v>2.1683745205778431</c:v>
                  </c:pt>
                  <c:pt idx="10">
                    <c:v>5.1763492823916071</c:v>
                  </c:pt>
                  <c:pt idx="11">
                    <c:v>3.703794246968771</c:v>
                  </c:pt>
                  <c:pt idx="12">
                    <c:v>2.7172206602889983</c:v>
                  </c:pt>
                  <c:pt idx="13">
                    <c:v>16.823323486478582</c:v>
                  </c:pt>
                  <c:pt idx="14">
                    <c:v>18.252847980073621</c:v>
                  </c:pt>
                  <c:pt idx="15">
                    <c:v>16.739869853929648</c:v>
                  </c:pt>
                </c:numCache>
              </c:numRef>
            </c:plus>
            <c:minus>
              <c:numRef>
                <c:f>Ceramica_TOFvsOndaP!$W$75:$W$90</c:f>
                <c:numCache>
                  <c:formatCode>General</c:formatCode>
                  <c:ptCount val="16"/>
                  <c:pt idx="0">
                    <c:v>17.561094684635073</c:v>
                  </c:pt>
                  <c:pt idx="1">
                    <c:v>21.027186486300735</c:v>
                  </c:pt>
                  <c:pt idx="2">
                    <c:v>31.303480060735129</c:v>
                  </c:pt>
                  <c:pt idx="3">
                    <c:v>49.424219750996258</c:v>
                  </c:pt>
                  <c:pt idx="4">
                    <c:v>8.97995182476207</c:v>
                  </c:pt>
                  <c:pt idx="5">
                    <c:v>16.485193968528939</c:v>
                  </c:pt>
                  <c:pt idx="6">
                    <c:v>12.102070190518972</c:v>
                  </c:pt>
                  <c:pt idx="7">
                    <c:v>18.936325034197282</c:v>
                  </c:pt>
                  <c:pt idx="8">
                    <c:v>26.220616392878334</c:v>
                  </c:pt>
                  <c:pt idx="9">
                    <c:v>2.1683745205778431</c:v>
                  </c:pt>
                  <c:pt idx="10">
                    <c:v>5.1763492823916071</c:v>
                  </c:pt>
                  <c:pt idx="11">
                    <c:v>3.703794246968771</c:v>
                  </c:pt>
                  <c:pt idx="12">
                    <c:v>2.7172206602889983</c:v>
                  </c:pt>
                  <c:pt idx="13">
                    <c:v>16.823323486478582</c:v>
                  </c:pt>
                  <c:pt idx="14">
                    <c:v>18.252847980073621</c:v>
                  </c:pt>
                  <c:pt idx="15">
                    <c:v>16.739869853929648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Ceramica_TOFvsOndaP!$Y$75:$Y$90</c:f>
              <c:numCache>
                <c:formatCode>General</c:formatCode>
                <c:ptCount val="16"/>
                <c:pt idx="0">
                  <c:v>222.895551338432</c:v>
                </c:pt>
                <c:pt idx="1">
                  <c:v>221.83874573585601</c:v>
                </c:pt>
                <c:pt idx="2">
                  <c:v>277.08026106407374</c:v>
                </c:pt>
                <c:pt idx="3">
                  <c:v>305.52195060121596</c:v>
                </c:pt>
                <c:pt idx="4">
                  <c:v>50.01189739449967</c:v>
                </c:pt>
                <c:pt idx="5">
                  <c:v>58.055829107995521</c:v>
                </c:pt>
                <c:pt idx="6">
                  <c:v>174.58243839235092</c:v>
                </c:pt>
                <c:pt idx="7">
                  <c:v>82.71194987437471</c:v>
                </c:pt>
                <c:pt idx="8">
                  <c:v>217.13760864298627</c:v>
                </c:pt>
                <c:pt idx="9">
                  <c:v>104.20158240318801</c:v>
                </c:pt>
                <c:pt idx="10">
                  <c:v>88.546707922032653</c:v>
                </c:pt>
                <c:pt idx="11">
                  <c:v>74.851347637731493</c:v>
                </c:pt>
                <c:pt idx="12">
                  <c:v>34.789304082209583</c:v>
                </c:pt>
                <c:pt idx="13">
                  <c:v>179.16977933051805</c:v>
                </c:pt>
                <c:pt idx="14">
                  <c:v>97.274894332241047</c:v>
                </c:pt>
                <c:pt idx="15">
                  <c:v>134.20744380989277</c:v>
                </c:pt>
              </c:numCache>
            </c:numRef>
          </c:xVal>
          <c:yVal>
            <c:numRef>
              <c:f>Ceramica_TOFvsOndaP!$V$75:$V$90</c:f>
              <c:numCache>
                <c:formatCode>General</c:formatCode>
                <c:ptCount val="16"/>
                <c:pt idx="0">
                  <c:v>179.89767461098856</c:v>
                </c:pt>
                <c:pt idx="1">
                  <c:v>182.24481474296391</c:v>
                </c:pt>
                <c:pt idx="2">
                  <c:v>230.74988224286855</c:v>
                </c:pt>
                <c:pt idx="3">
                  <c:v>316.49930282616896</c:v>
                </c:pt>
                <c:pt idx="4">
                  <c:v>89.380828617218</c:v>
                </c:pt>
                <c:pt idx="5">
                  <c:v>84.568981266252109</c:v>
                </c:pt>
                <c:pt idx="6">
                  <c:v>161.00798881060038</c:v>
                </c:pt>
                <c:pt idx="7">
                  <c:v>126.28009736924638</c:v>
                </c:pt>
                <c:pt idx="8">
                  <c:v>204.69647543572381</c:v>
                </c:pt>
                <c:pt idx="9">
                  <c:v>86.635866407444553</c:v>
                </c:pt>
                <c:pt idx="10">
                  <c:v>75.497423408578115</c:v>
                </c:pt>
                <c:pt idx="11">
                  <c:v>73.45813899666885</c:v>
                </c:pt>
                <c:pt idx="12">
                  <c:v>26.366656380882276</c:v>
                </c:pt>
                <c:pt idx="13">
                  <c:v>216.37384303347091</c:v>
                </c:pt>
                <c:pt idx="14">
                  <c:v>89.964452196165865</c:v>
                </c:pt>
                <c:pt idx="15">
                  <c:v>116.04538711425469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5B1-5242-9038-22B3202A58D3}"/>
            </c:ext>
          </c:extLst>
        </c:ser>
        <c:ser>
          <c:idx val="1"/>
          <c:order val="1"/>
          <c:spPr>
            <a:ln w="254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0-95B1-5242-9038-22B3202A58D3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0070C0"/>
                </a:solidFill>
                <a:ln w="9525">
                  <a:solidFill>
                    <a:srgbClr val="0070C0"/>
                  </a:solidFill>
                </a:ln>
                <a:effectLst/>
              </c:spPr>
            </c:marker>
            <c:bubble3D val="0"/>
            <c:spPr>
              <a:ln w="12700" cap="rnd">
                <a:solidFill>
                  <a:srgbClr val="C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95B1-5242-9038-22B3202A58D3}"/>
              </c:ext>
            </c:extLst>
          </c:dPt>
          <c:xVal>
            <c:numRef>
              <c:f>Ceramica_TOFvsOndaP!$AB$64:$AB$65</c:f>
              <c:numCache>
                <c:formatCode>General</c:formatCode>
                <c:ptCount val="2"/>
                <c:pt idx="0">
                  <c:v>0</c:v>
                </c:pt>
                <c:pt idx="1">
                  <c:v>1000</c:v>
                </c:pt>
              </c:numCache>
            </c:numRef>
          </c:xVal>
          <c:yVal>
            <c:numRef>
              <c:f>Ceramica_TOFvsOndaP!$Z$64:$Z$65</c:f>
              <c:numCache>
                <c:formatCode>General</c:formatCode>
                <c:ptCount val="2"/>
                <c:pt idx="0">
                  <c:v>0</c:v>
                </c:pt>
                <c:pt idx="1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5B1-5242-9038-22B3202A5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185392"/>
        <c:axId val="257187664"/>
      </c:scatterChart>
      <c:valAx>
        <c:axId val="257185392"/>
        <c:scaling>
          <c:orientation val="minMax"/>
          <c:max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MX" sz="8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Essw (MPa)</a:t>
                </a:r>
              </a:p>
            </c:rich>
          </c:tx>
          <c:layout>
            <c:manualLayout>
              <c:xMode val="edge"/>
              <c:yMode val="edge"/>
              <c:x val="0.77112213966211951"/>
              <c:y val="0.801778785803948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57187664"/>
        <c:crosses val="autoZero"/>
        <c:crossBetween val="midCat"/>
      </c:valAx>
      <c:valAx>
        <c:axId val="257187664"/>
        <c:scaling>
          <c:orientation val="minMax"/>
          <c:max val="600"/>
          <c:min val="0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MX" sz="8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Evv (MPa)</a:t>
                </a:r>
                <a:endParaRPr lang="es-MX" sz="800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117725695502058"/>
              <c:y val="3.00314877794667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MX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57185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701923480157115E-2"/>
          <c:y val="2.575292121677298E-2"/>
          <c:w val="0.87985216566252422"/>
          <c:h val="0.932658391659375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29257329016340422"/>
                  <c:y val="-2.9190623410093566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800" baseline="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y = 1,198x</a:t>
                    </a:r>
                    <a:br>
                      <a:rPr lang="en-US" sz="800" baseline="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</a:br>
                    <a:r>
                      <a:rPr lang="en-US" sz="800" baseline="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R² = 0,875</a:t>
                    </a:r>
                    <a:endParaRPr lang="en-US" sz="800"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cust"/>
            <c:noEndCap val="0"/>
            <c:plus>
              <c:numRef>
                <c:f>'RAW_Ceramica_TOFvsOndaP (2)'!$Z$75:$Z$90</c:f>
                <c:numCache>
                  <c:formatCode>General</c:formatCode>
                  <c:ptCount val="16"/>
                  <c:pt idx="0">
                    <c:v>14.169240768724649</c:v>
                  </c:pt>
                  <c:pt idx="1">
                    <c:v>31.721744315344878</c:v>
                  </c:pt>
                  <c:pt idx="2">
                    <c:v>6.9198523051219922</c:v>
                  </c:pt>
                  <c:pt idx="3">
                    <c:v>17.85807819835868</c:v>
                  </c:pt>
                  <c:pt idx="4">
                    <c:v>4.2160394856186727</c:v>
                  </c:pt>
                  <c:pt idx="5">
                    <c:v>7.566357212792413</c:v>
                  </c:pt>
                  <c:pt idx="6">
                    <c:v>14.942137547797271</c:v>
                  </c:pt>
                  <c:pt idx="7">
                    <c:v>7.0393823234965875</c:v>
                  </c:pt>
                  <c:pt idx="8">
                    <c:v>20.080803204507763</c:v>
                  </c:pt>
                  <c:pt idx="11">
                    <c:v>2.6972719289245068</c:v>
                  </c:pt>
                  <c:pt idx="12">
                    <c:v>6.447908737000942</c:v>
                  </c:pt>
                  <c:pt idx="13">
                    <c:v>9.2765515734154551</c:v>
                  </c:pt>
                  <c:pt idx="14">
                    <c:v>7.7278074966016908</c:v>
                  </c:pt>
                  <c:pt idx="15">
                    <c:v>17.480679703664464</c:v>
                  </c:pt>
                </c:numCache>
              </c:numRef>
            </c:plus>
            <c:minus>
              <c:numRef>
                <c:f>'RAW_Ceramica_TOFvsOndaP (2)'!$Z$75:$Z$90</c:f>
                <c:numCache>
                  <c:formatCode>General</c:formatCode>
                  <c:ptCount val="16"/>
                  <c:pt idx="0">
                    <c:v>14.169240768724649</c:v>
                  </c:pt>
                  <c:pt idx="1">
                    <c:v>31.721744315344878</c:v>
                  </c:pt>
                  <c:pt idx="2">
                    <c:v>6.9198523051219922</c:v>
                  </c:pt>
                  <c:pt idx="3">
                    <c:v>17.85807819835868</c:v>
                  </c:pt>
                  <c:pt idx="4">
                    <c:v>4.2160394856186727</c:v>
                  </c:pt>
                  <c:pt idx="5">
                    <c:v>7.566357212792413</c:v>
                  </c:pt>
                  <c:pt idx="6">
                    <c:v>14.942137547797271</c:v>
                  </c:pt>
                  <c:pt idx="7">
                    <c:v>7.0393823234965875</c:v>
                  </c:pt>
                  <c:pt idx="8">
                    <c:v>20.080803204507763</c:v>
                  </c:pt>
                  <c:pt idx="11">
                    <c:v>2.6972719289245068</c:v>
                  </c:pt>
                  <c:pt idx="12">
                    <c:v>6.447908737000942</c:v>
                  </c:pt>
                  <c:pt idx="13">
                    <c:v>9.2765515734154551</c:v>
                  </c:pt>
                  <c:pt idx="14">
                    <c:v>7.7278074966016908</c:v>
                  </c:pt>
                  <c:pt idx="15">
                    <c:v>17.480679703664464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'RAW_Ceramica_TOFvsOndaP (2)'!$W$75:$W$90</c:f>
                <c:numCache>
                  <c:formatCode>General</c:formatCode>
                  <c:ptCount val="16"/>
                  <c:pt idx="0">
                    <c:v>17.561094684635073</c:v>
                  </c:pt>
                  <c:pt idx="1">
                    <c:v>21.027186486300735</c:v>
                  </c:pt>
                  <c:pt idx="2">
                    <c:v>31.303480060735129</c:v>
                  </c:pt>
                  <c:pt idx="3">
                    <c:v>49.424219750996258</c:v>
                  </c:pt>
                  <c:pt idx="4">
                    <c:v>8.97995182476207</c:v>
                  </c:pt>
                  <c:pt idx="5">
                    <c:v>16.485193968528939</c:v>
                  </c:pt>
                  <c:pt idx="6">
                    <c:v>12.102070190518972</c:v>
                  </c:pt>
                  <c:pt idx="7">
                    <c:v>18.936325034197282</c:v>
                  </c:pt>
                  <c:pt idx="8">
                    <c:v>26.220616392878334</c:v>
                  </c:pt>
                  <c:pt idx="11">
                    <c:v>3.703794246968771</c:v>
                  </c:pt>
                  <c:pt idx="12">
                    <c:v>2.7172206602889983</c:v>
                  </c:pt>
                  <c:pt idx="13">
                    <c:v>16.823323486478582</c:v>
                  </c:pt>
                  <c:pt idx="14">
                    <c:v>18.252847980073621</c:v>
                  </c:pt>
                  <c:pt idx="15">
                    <c:v>16.739869853929648</c:v>
                  </c:pt>
                </c:numCache>
              </c:numRef>
            </c:plus>
            <c:minus>
              <c:numRef>
                <c:f>'RAW_Ceramica_TOFvsOndaP (2)'!$W$75:$W$90</c:f>
                <c:numCache>
                  <c:formatCode>General</c:formatCode>
                  <c:ptCount val="16"/>
                  <c:pt idx="0">
                    <c:v>17.561094684635073</c:v>
                  </c:pt>
                  <c:pt idx="1">
                    <c:v>21.027186486300735</c:v>
                  </c:pt>
                  <c:pt idx="2">
                    <c:v>31.303480060735129</c:v>
                  </c:pt>
                  <c:pt idx="3">
                    <c:v>49.424219750996258</c:v>
                  </c:pt>
                  <c:pt idx="4">
                    <c:v>8.97995182476207</c:v>
                  </c:pt>
                  <c:pt idx="5">
                    <c:v>16.485193968528939</c:v>
                  </c:pt>
                  <c:pt idx="6">
                    <c:v>12.102070190518972</c:v>
                  </c:pt>
                  <c:pt idx="7">
                    <c:v>18.936325034197282</c:v>
                  </c:pt>
                  <c:pt idx="8">
                    <c:v>26.220616392878334</c:v>
                  </c:pt>
                  <c:pt idx="11">
                    <c:v>3.703794246968771</c:v>
                  </c:pt>
                  <c:pt idx="12">
                    <c:v>2.7172206602889983</c:v>
                  </c:pt>
                  <c:pt idx="13">
                    <c:v>16.823323486478582</c:v>
                  </c:pt>
                  <c:pt idx="14">
                    <c:v>18.252847980073621</c:v>
                  </c:pt>
                  <c:pt idx="15">
                    <c:v>16.739869853929648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'RAW_Ceramica_TOFvsOndaP (2)'!$Y$75:$Y$90</c:f>
              <c:numCache>
                <c:formatCode>General</c:formatCode>
                <c:ptCount val="16"/>
                <c:pt idx="0">
                  <c:v>222.895551338432</c:v>
                </c:pt>
                <c:pt idx="1">
                  <c:v>221.83874573585601</c:v>
                </c:pt>
                <c:pt idx="2">
                  <c:v>277.08026106407374</c:v>
                </c:pt>
                <c:pt idx="3">
                  <c:v>305.52195060121596</c:v>
                </c:pt>
                <c:pt idx="4">
                  <c:v>50.01189739449967</c:v>
                </c:pt>
                <c:pt idx="5">
                  <c:v>58.055829107995521</c:v>
                </c:pt>
                <c:pt idx="6">
                  <c:v>174.58243839235092</c:v>
                </c:pt>
                <c:pt idx="7">
                  <c:v>82.71194987437471</c:v>
                </c:pt>
                <c:pt idx="8">
                  <c:v>217.13760864298627</c:v>
                </c:pt>
                <c:pt idx="11">
                  <c:v>74.851347637731493</c:v>
                </c:pt>
                <c:pt idx="12">
                  <c:v>34.789304082209583</c:v>
                </c:pt>
                <c:pt idx="13">
                  <c:v>179.16977933051805</c:v>
                </c:pt>
                <c:pt idx="14">
                  <c:v>97.274894332241047</c:v>
                </c:pt>
                <c:pt idx="15">
                  <c:v>134.20744380989277</c:v>
                </c:pt>
              </c:numCache>
            </c:numRef>
          </c:xVal>
          <c:yVal>
            <c:numRef>
              <c:f>'RAW_Ceramica_TOFvsOndaP (2)'!$V$75:$V$90</c:f>
              <c:numCache>
                <c:formatCode>General</c:formatCode>
                <c:ptCount val="16"/>
                <c:pt idx="0">
                  <c:v>347.50445822824116</c:v>
                </c:pt>
                <c:pt idx="1">
                  <c:v>182.24481474296391</c:v>
                </c:pt>
                <c:pt idx="2">
                  <c:v>406.88366737909126</c:v>
                </c:pt>
                <c:pt idx="3">
                  <c:v>399.48929688570041</c:v>
                </c:pt>
                <c:pt idx="4">
                  <c:v>89.380828617218</c:v>
                </c:pt>
                <c:pt idx="5">
                  <c:v>84.568981266252109</c:v>
                </c:pt>
                <c:pt idx="6">
                  <c:v>91.991257492307923</c:v>
                </c:pt>
                <c:pt idx="7">
                  <c:v>126.28009736924638</c:v>
                </c:pt>
                <c:pt idx="8">
                  <c:v>102.94622546268073</c:v>
                </c:pt>
                <c:pt idx="11">
                  <c:v>73.45813899666885</c:v>
                </c:pt>
                <c:pt idx="12">
                  <c:v>26.366656380882276</c:v>
                </c:pt>
                <c:pt idx="13">
                  <c:v>216.37384303347091</c:v>
                </c:pt>
                <c:pt idx="14">
                  <c:v>89.964452196165865</c:v>
                </c:pt>
                <c:pt idx="15">
                  <c:v>91.648085390624047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F5-4083-824B-EA37B7A861B2}"/>
            </c:ext>
          </c:extLst>
        </c:ser>
        <c:ser>
          <c:idx val="1"/>
          <c:order val="1"/>
          <c:spPr>
            <a:ln w="254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98F5-4083-824B-EA37B7A861B2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0070C0"/>
                </a:solidFill>
                <a:ln w="9525">
                  <a:solidFill>
                    <a:srgbClr val="0070C0"/>
                  </a:solidFill>
                </a:ln>
                <a:effectLst/>
              </c:spPr>
            </c:marker>
            <c:bubble3D val="0"/>
            <c:spPr>
              <a:ln w="12700" cap="rnd">
                <a:solidFill>
                  <a:srgbClr val="C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98F5-4083-824B-EA37B7A861B2}"/>
              </c:ext>
            </c:extLst>
          </c:dPt>
          <c:xVal>
            <c:numRef>
              <c:f>'RAW_Ceramica_TOFvsOndaP (2)'!$AB$64:$AB$65</c:f>
              <c:numCache>
                <c:formatCode>General</c:formatCode>
                <c:ptCount val="2"/>
                <c:pt idx="0">
                  <c:v>0</c:v>
                </c:pt>
                <c:pt idx="1">
                  <c:v>1000</c:v>
                </c:pt>
              </c:numCache>
            </c:numRef>
          </c:xVal>
          <c:yVal>
            <c:numRef>
              <c:f>'RAW_Ceramica_TOFvsOndaP (2)'!$Z$64:$Z$65</c:f>
              <c:numCache>
                <c:formatCode>General</c:formatCode>
                <c:ptCount val="2"/>
                <c:pt idx="0">
                  <c:v>0</c:v>
                </c:pt>
                <c:pt idx="1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8F5-4083-824B-EA37B7A861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185392"/>
        <c:axId val="257187664"/>
      </c:scatterChart>
      <c:valAx>
        <c:axId val="257185392"/>
        <c:scaling>
          <c:orientation val="minMax"/>
          <c:max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MX" sz="8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Essw (MPa)</a:t>
                </a:r>
              </a:p>
            </c:rich>
          </c:tx>
          <c:layout>
            <c:manualLayout>
              <c:xMode val="edge"/>
              <c:yMode val="edge"/>
              <c:x val="0.77112213966211951"/>
              <c:y val="0.801778785803948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57187664"/>
        <c:crosses val="autoZero"/>
        <c:crossBetween val="midCat"/>
      </c:valAx>
      <c:valAx>
        <c:axId val="257187664"/>
        <c:scaling>
          <c:orientation val="minMax"/>
          <c:max val="600"/>
          <c:min val="0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MX" sz="8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Evv (MPa)</a:t>
                </a:r>
                <a:endParaRPr lang="es-MX" sz="800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117725695502058"/>
              <c:y val="3.00314877794667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MX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57185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Curva</a:t>
            </a:r>
            <a:r>
              <a:rPr lang="es-EC" baseline="0"/>
              <a:t> de Calibración</a:t>
            </a:r>
            <a:endParaRPr lang="es-EC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0.131225378496242"/>
          <c:y val="0.15519800282145005"/>
          <c:w val="0.77828049197223137"/>
          <c:h val="0.62337163631374104"/>
        </c:manualLayout>
      </c:layout>
      <c:scatterChart>
        <c:scatterStyle val="lineMarker"/>
        <c:varyColors val="0"/>
        <c:ser>
          <c:idx val="0"/>
          <c:order val="0"/>
          <c:tx>
            <c:strRef>
              <c:f>SSW_CalibrationCurve!$B$7</c:f>
              <c:strCache>
                <c:ptCount val="1"/>
                <c:pt idx="0">
                  <c:v>0.1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SSW_CalibrationCurve!$C$7:$H$7</c:f>
              <c:numCache>
                <c:formatCode>General</c:formatCode>
                <c:ptCount val="6"/>
                <c:pt idx="0">
                  <c:v>2.1867939205959799E-3</c:v>
                </c:pt>
                <c:pt idx="1">
                  <c:v>1.5349548257569E-3</c:v>
                </c:pt>
                <c:pt idx="2">
                  <c:v>1.2459906107288501E-3</c:v>
                </c:pt>
                <c:pt idx="3">
                  <c:v>1.13030798522664E-3</c:v>
                </c:pt>
                <c:pt idx="4">
                  <c:v>1.06244287429404E-3</c:v>
                </c:pt>
                <c:pt idx="5" formatCode="0.000000">
                  <c:v>9.978169398421491E-4</c:v>
                </c:pt>
              </c:numCache>
            </c:numRef>
          </c:xVal>
          <c:yVal>
            <c:numRef>
              <c:f>SSW_CalibrationCurve!$C$5:$H$5</c:f>
              <c:numCache>
                <c:formatCode>0.00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300</c:v>
                </c:pt>
                <c:pt idx="3">
                  <c:v>500</c:v>
                </c:pt>
                <c:pt idx="4">
                  <c:v>700</c:v>
                </c:pt>
                <c:pt idx="5" formatCode="General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3E-4552-B87B-D04E0846463E}"/>
            </c:ext>
          </c:extLst>
        </c:ser>
        <c:ser>
          <c:idx val="2"/>
          <c:order val="1"/>
          <c:tx>
            <c:strRef>
              <c:f>SSW_CalibrationCurve!$B$8</c:f>
              <c:strCache>
                <c:ptCount val="1"/>
                <c:pt idx="0">
                  <c:v>0.3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SSW_CalibrationCurve!$C$8:$H$8</c:f>
              <c:numCache>
                <c:formatCode>General</c:formatCode>
                <c:ptCount val="6"/>
                <c:pt idx="0">
                  <c:v>2.15971893357225E-3</c:v>
                </c:pt>
                <c:pt idx="1">
                  <c:v>1.5245798642394099E-3</c:v>
                </c:pt>
                <c:pt idx="2">
                  <c:v>1.2349915672320801E-3</c:v>
                </c:pt>
                <c:pt idx="3">
                  <c:v>1.1210804794715E-3</c:v>
                </c:pt>
                <c:pt idx="4">
                  <c:v>1.0543159670394599E-3</c:v>
                </c:pt>
                <c:pt idx="5" formatCode="0.000000">
                  <c:v>9.8983598711006393E-4</c:v>
                </c:pt>
              </c:numCache>
            </c:numRef>
          </c:xVal>
          <c:yVal>
            <c:numRef>
              <c:f>SSW_CalibrationCurve!$C$5:$H$5</c:f>
              <c:numCache>
                <c:formatCode>0.00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300</c:v>
                </c:pt>
                <c:pt idx="3">
                  <c:v>500</c:v>
                </c:pt>
                <c:pt idx="4">
                  <c:v>700</c:v>
                </c:pt>
                <c:pt idx="5" formatCode="General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73E-4552-B87B-D04E0846463E}"/>
            </c:ext>
          </c:extLst>
        </c:ser>
        <c:ser>
          <c:idx val="4"/>
          <c:order val="2"/>
          <c:tx>
            <c:strRef>
              <c:f>SSW_CalibrationCurve!$B$9</c:f>
              <c:strCache>
                <c:ptCount val="1"/>
                <c:pt idx="0">
                  <c:v>0.5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SSW_CalibrationCurve!$C$9:$H$9</c:f>
              <c:numCache>
                <c:formatCode>General</c:formatCode>
                <c:ptCount val="6"/>
                <c:pt idx="0">
                  <c:v>2.14970508462505E-3</c:v>
                </c:pt>
                <c:pt idx="1">
                  <c:v>1.4839440203368701E-3</c:v>
                </c:pt>
                <c:pt idx="2">
                  <c:v>1.19766476738336E-3</c:v>
                </c:pt>
                <c:pt idx="3">
                  <c:v>1.0891446262729801E-3</c:v>
                </c:pt>
                <c:pt idx="4">
                  <c:v>1.02655644409088E-3</c:v>
                </c:pt>
                <c:pt idx="5" formatCode="0.000000">
                  <c:v>9.6648717426287402E-4</c:v>
                </c:pt>
              </c:numCache>
            </c:numRef>
          </c:xVal>
          <c:yVal>
            <c:numRef>
              <c:f>SSW_CalibrationCurve!$C$5:$H$5</c:f>
              <c:numCache>
                <c:formatCode>0.00</c:formatCode>
                <c:ptCount val="6"/>
                <c:pt idx="0">
                  <c:v>10</c:v>
                </c:pt>
                <c:pt idx="1">
                  <c:v>100</c:v>
                </c:pt>
                <c:pt idx="2">
                  <c:v>300</c:v>
                </c:pt>
                <c:pt idx="3">
                  <c:v>500</c:v>
                </c:pt>
                <c:pt idx="4">
                  <c:v>700</c:v>
                </c:pt>
                <c:pt idx="5" formatCode="General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73E-4552-B87B-D04E0846463E}"/>
            </c:ext>
          </c:extLst>
        </c:ser>
        <c:ser>
          <c:idx val="1"/>
          <c:order val="3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SSW_CalibrationCurve!$D$21</c:f>
              <c:numCache>
                <c:formatCode>General</c:formatCode>
                <c:ptCount val="1"/>
                <c:pt idx="0">
                  <c:v>1.9726947791944799E-3</c:v>
                </c:pt>
              </c:numCache>
            </c:numRef>
          </c:xVal>
          <c:yVal>
            <c:numRef>
              <c:f>SSW_CalibrationCurve!$C$21</c:f>
              <c:numCache>
                <c:formatCode>General</c:formatCode>
                <c:ptCount val="1"/>
                <c:pt idx="0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7F-49C9-BE6D-F75FBE931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78847"/>
        <c:axId val="1847155231"/>
      </c:scatterChart>
      <c:valAx>
        <c:axId val="86478847"/>
        <c:scaling>
          <c:orientation val="minMax"/>
          <c:min val="9.800000000000004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TOF</a:t>
                </a:r>
                <a:r>
                  <a:rPr lang="es-EC" baseline="0"/>
                  <a:t> (s)</a:t>
                </a: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155231"/>
        <c:crosses val="autoZero"/>
        <c:crossBetween val="midCat"/>
        <c:majorUnit val="1.0000000000000003E-4"/>
        <c:minorUnit val="2.0000000000000008E-5"/>
      </c:valAx>
      <c:valAx>
        <c:axId val="1847155231"/>
        <c:scaling>
          <c:logBase val="10"/>
          <c:orientation val="minMax"/>
          <c:max val="100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Mod</a:t>
                </a:r>
                <a:r>
                  <a:rPr lang="es-EC" baseline="0"/>
                  <a:t>. E [MPa]</a:t>
                </a: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0.0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78847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701923480157115E-2"/>
          <c:y val="2.575292121677298E-2"/>
          <c:w val="0.79498210675642944"/>
          <c:h val="0.93265839165937592"/>
        </c:manualLayout>
      </c:layout>
      <c:scatterChart>
        <c:scatterStyle val="smoothMarker"/>
        <c:varyColors val="0"/>
        <c:ser>
          <c:idx val="0"/>
          <c:order val="0"/>
          <c:tx>
            <c:v>u = 0.1</c:v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SSW_CalibrationCurve!$C$7:$G$7</c:f>
              <c:numCache>
                <c:formatCode>General</c:formatCode>
                <c:ptCount val="5"/>
                <c:pt idx="0">
                  <c:v>2.1867939205959799E-3</c:v>
                </c:pt>
                <c:pt idx="1">
                  <c:v>1.5349548257569E-3</c:v>
                </c:pt>
                <c:pt idx="2">
                  <c:v>1.2459906107288501E-3</c:v>
                </c:pt>
                <c:pt idx="3">
                  <c:v>1.13030798522664E-3</c:v>
                </c:pt>
                <c:pt idx="4">
                  <c:v>1.06244287429404E-3</c:v>
                </c:pt>
              </c:numCache>
            </c:numRef>
          </c:xVal>
          <c:yVal>
            <c:numRef>
              <c:f>SSW_CalibrationCurve!$C$5:$G$5</c:f>
              <c:numCache>
                <c:formatCode>0.00</c:formatCode>
                <c:ptCount val="5"/>
                <c:pt idx="0">
                  <c:v>10</c:v>
                </c:pt>
                <c:pt idx="1">
                  <c:v>100</c:v>
                </c:pt>
                <c:pt idx="2">
                  <c:v>300</c:v>
                </c:pt>
                <c:pt idx="3">
                  <c:v>500</c:v>
                </c:pt>
                <c:pt idx="4">
                  <c:v>700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23-4FD7-BB2D-340FF4CF473D}"/>
            </c:ext>
          </c:extLst>
        </c:ser>
        <c:ser>
          <c:idx val="1"/>
          <c:order val="1"/>
          <c:tx>
            <c:v>u = 0.3</c:v>
          </c:tx>
          <c:spPr>
            <a:ln w="127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SSW_CalibrationCurve!$C$8:$G$8</c:f>
              <c:numCache>
                <c:formatCode>General</c:formatCode>
                <c:ptCount val="5"/>
                <c:pt idx="0">
                  <c:v>2.15971893357225E-3</c:v>
                </c:pt>
                <c:pt idx="1">
                  <c:v>1.5245798642394099E-3</c:v>
                </c:pt>
                <c:pt idx="2">
                  <c:v>1.2349915672320801E-3</c:v>
                </c:pt>
                <c:pt idx="3">
                  <c:v>1.1210804794715E-3</c:v>
                </c:pt>
                <c:pt idx="4">
                  <c:v>1.0543159670394599E-3</c:v>
                </c:pt>
              </c:numCache>
            </c:numRef>
          </c:xVal>
          <c:yVal>
            <c:numRef>
              <c:f>SSW_CalibrationCurve!$C$5:$G$5</c:f>
              <c:numCache>
                <c:formatCode>0.00</c:formatCode>
                <c:ptCount val="5"/>
                <c:pt idx="0">
                  <c:v>10</c:v>
                </c:pt>
                <c:pt idx="1">
                  <c:v>100</c:v>
                </c:pt>
                <c:pt idx="2">
                  <c:v>300</c:v>
                </c:pt>
                <c:pt idx="3">
                  <c:v>500</c:v>
                </c:pt>
                <c:pt idx="4">
                  <c:v>700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B23-4FD7-BB2D-340FF4CF473D}"/>
            </c:ext>
          </c:extLst>
        </c:ser>
        <c:ser>
          <c:idx val="2"/>
          <c:order val="2"/>
          <c:tx>
            <c:v>u = 0.5</c:v>
          </c:tx>
          <c:spPr>
            <a:ln w="127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SSW_CalibrationCurve!$C$9:$G$9</c:f>
              <c:numCache>
                <c:formatCode>General</c:formatCode>
                <c:ptCount val="5"/>
                <c:pt idx="0">
                  <c:v>2.14970508462505E-3</c:v>
                </c:pt>
                <c:pt idx="1">
                  <c:v>1.4839440203368701E-3</c:v>
                </c:pt>
                <c:pt idx="2">
                  <c:v>1.19766476738336E-3</c:v>
                </c:pt>
                <c:pt idx="3">
                  <c:v>1.0891446262729801E-3</c:v>
                </c:pt>
                <c:pt idx="4">
                  <c:v>1.02655644409088E-3</c:v>
                </c:pt>
              </c:numCache>
            </c:numRef>
          </c:xVal>
          <c:yVal>
            <c:numRef>
              <c:f>SSW_CalibrationCurve!$C$5:$G$5</c:f>
              <c:numCache>
                <c:formatCode>0.00</c:formatCode>
                <c:ptCount val="5"/>
                <c:pt idx="0">
                  <c:v>10</c:v>
                </c:pt>
                <c:pt idx="1">
                  <c:v>100</c:v>
                </c:pt>
                <c:pt idx="2">
                  <c:v>300</c:v>
                </c:pt>
                <c:pt idx="3">
                  <c:v>500</c:v>
                </c:pt>
                <c:pt idx="4">
                  <c:v>700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B23-4FD7-BB2D-340FF4CF473D}"/>
            </c:ext>
          </c:extLst>
        </c:ser>
        <c:ser>
          <c:idx val="3"/>
          <c:order val="3"/>
          <c:tx>
            <c:strRef>
              <c:f>SSW_CalibrationCurve!$B$27</c:f>
              <c:strCache>
                <c:ptCount val="1"/>
                <c:pt idx="0">
                  <c:v>PCF30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tx1">
                    <a:lumMod val="50000"/>
                    <a:lumOff val="50000"/>
                  </a:schemeClr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8D6B-4543-BD7C-0870B79E089C}"/>
              </c:ext>
            </c:extLst>
          </c:dPt>
          <c:xVal>
            <c:numRef>
              <c:f>SSW_CalibrationCurve!$D$27</c:f>
              <c:numCache>
                <c:formatCode>General</c:formatCode>
                <c:ptCount val="1"/>
                <c:pt idx="0">
                  <c:v>1.1718978886321499E-3</c:v>
                </c:pt>
              </c:numCache>
            </c:numRef>
          </c:xVal>
          <c:yVal>
            <c:numRef>
              <c:f>SSW_CalibrationCurve!$C$27</c:f>
              <c:numCache>
                <c:formatCode>General</c:formatCode>
                <c:ptCount val="1"/>
                <c:pt idx="0">
                  <c:v>415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6B-DC4B-8D34-E3081181FC6B}"/>
            </c:ext>
          </c:extLst>
        </c:ser>
        <c:ser>
          <c:idx val="5"/>
          <c:order val="4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SSW_CalibrationCurve!$D$21</c:f>
              <c:numCache>
                <c:formatCode>General</c:formatCode>
                <c:ptCount val="1"/>
                <c:pt idx="0">
                  <c:v>1.9726947791944799E-3</c:v>
                </c:pt>
              </c:numCache>
            </c:numRef>
          </c:xVal>
          <c:yVal>
            <c:numRef>
              <c:f>SSW_CalibrationCurve!$C$21</c:f>
              <c:numCache>
                <c:formatCode>General</c:formatCode>
                <c:ptCount val="1"/>
                <c:pt idx="0">
                  <c:v>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D6B-4543-BD7C-0870B79E089C}"/>
            </c:ext>
          </c:extLst>
        </c:ser>
        <c:ser>
          <c:idx val="4"/>
          <c:order val="5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SSW_CalibrationCurve!$D$21</c:f>
              <c:numCache>
                <c:formatCode>General</c:formatCode>
                <c:ptCount val="1"/>
                <c:pt idx="0">
                  <c:v>1.9726947791944799E-3</c:v>
                </c:pt>
              </c:numCache>
            </c:numRef>
          </c:xVal>
          <c:yVal>
            <c:numRef>
              <c:f>SSW_CalibrationCurve!$E$21</c:f>
              <c:numCache>
                <c:formatCode>General</c:formatCode>
                <c:ptCount val="1"/>
                <c:pt idx="0">
                  <c:v>19.632118947748118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0CD-E448-9D1F-2B1116B5E2F5}"/>
            </c:ext>
          </c:extLst>
        </c:ser>
        <c:ser>
          <c:idx val="6"/>
          <c:order val="6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SSW_CalibrationCurve!$D$21</c:f>
              <c:numCache>
                <c:formatCode>General</c:formatCode>
                <c:ptCount val="1"/>
                <c:pt idx="0">
                  <c:v>1.9726947791944799E-3</c:v>
                </c:pt>
              </c:numCache>
            </c:numRef>
          </c:xVal>
          <c:yVal>
            <c:numRef>
              <c:f>SSW_CalibrationCurve!$C$21</c:f>
              <c:numCache>
                <c:formatCode>General</c:formatCode>
                <c:ptCount val="1"/>
                <c:pt idx="0">
                  <c:v>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0CD-E448-9D1F-2B1116B5E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185392"/>
        <c:axId val="257187664"/>
      </c:scatterChart>
      <c:valAx>
        <c:axId val="257185392"/>
        <c:scaling>
          <c:orientation val="minMax"/>
          <c:max val="2.4000000000000007E-3"/>
          <c:min val="1E-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MX" sz="10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TOF (s)</a:t>
                </a:r>
              </a:p>
            </c:rich>
          </c:tx>
          <c:layout>
            <c:manualLayout>
              <c:xMode val="edge"/>
              <c:yMode val="edge"/>
              <c:x val="0.77112213966211951"/>
              <c:y val="0.801778785803948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E+0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57187664"/>
        <c:crosses val="autoZero"/>
        <c:crossBetween val="midCat"/>
        <c:majorUnit val="2.0000000000000001E-4"/>
      </c:valAx>
      <c:valAx>
        <c:axId val="257187664"/>
        <c:scaling>
          <c:logBase val="10"/>
          <c:orientation val="minMax"/>
          <c:min val="10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MX" sz="10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 (MPa)</a:t>
                </a:r>
                <a:endParaRPr lang="es-MX" sz="1000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13508712107770002"/>
              <c:y val="4.5532162347813811E-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MX"/>
            </a:p>
          </c:txPr>
        </c:title>
        <c:numFmt formatCode="0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57185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>
        <c:manualLayout>
          <c:xMode val="edge"/>
          <c:yMode val="edge"/>
          <c:x val="0.17161480344617941"/>
          <c:y val="0.57404642481130552"/>
          <c:w val="0.24510012690495911"/>
          <c:h val="0.24580071029256936"/>
        </c:manualLayout>
      </c:layout>
      <c:overlay val="0"/>
      <c:spPr>
        <a:noFill/>
        <a:ln w="0">
          <a:solidFill>
            <a:schemeClr val="bg2">
              <a:lumMod val="7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06228434928779"/>
          <c:y val="4.9773755656108594E-2"/>
          <c:w val="0.84871715473768039"/>
          <c:h val="0.81548658377448568"/>
        </c:manualLayout>
      </c:layout>
      <c:scatterChart>
        <c:scatterStyle val="lineMarker"/>
        <c:varyColors val="0"/>
        <c:ser>
          <c:idx val="2"/>
          <c:order val="0"/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5.2716703606565142E-2"/>
                  <c:y val="-0.37663338248310457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 sz="800" baseline="0">
                        <a:solidFill>
                          <a:schemeClr val="tx1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y = -0,0017x + 0,0044</a:t>
                    </a:r>
                    <a:br>
                      <a:rPr lang="en-US" sz="800" baseline="0">
                        <a:solidFill>
                          <a:schemeClr val="tx1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</a:br>
                    <a:r>
                      <a:rPr lang="en-US" sz="800" baseline="0">
                        <a:solidFill>
                          <a:schemeClr val="tx1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R² = 0,4554</a:t>
                    </a:r>
                    <a:endParaRPr lang="en-US" sz="800">
                      <a:solidFill>
                        <a:schemeClr val="tx1"/>
                      </a:solidFill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c:rich>
              </c:tx>
              <c:numFmt formatCode="General" sourceLinked="0"/>
            </c:trendlineLbl>
          </c:trendline>
          <c:xVal>
            <c:numRef>
              <c:f>'TOF vs density (LC)'!$C$5:$C$20</c:f>
              <c:numCache>
                <c:formatCode>0.00</c:formatCode>
                <c:ptCount val="16"/>
                <c:pt idx="0">
                  <c:v>1.6584291622044007</c:v>
                </c:pt>
                <c:pt idx="1">
                  <c:v>1.763728134637909</c:v>
                </c:pt>
                <c:pt idx="2">
                  <c:v>1.6822689096024417</c:v>
                </c:pt>
                <c:pt idx="3">
                  <c:v>1.6483733962172045</c:v>
                </c:pt>
                <c:pt idx="4">
                  <c:v>1.480677915463195</c:v>
                </c:pt>
                <c:pt idx="5">
                  <c:v>1.4904689597154233</c:v>
                </c:pt>
                <c:pt idx="6">
                  <c:v>1.5294344523239138</c:v>
                </c:pt>
                <c:pt idx="7">
                  <c:v>1.5475074537777984</c:v>
                </c:pt>
                <c:pt idx="8">
                  <c:v>1.7772421994397172</c:v>
                </c:pt>
                <c:pt idx="9">
                  <c:v>1.6951263354634258</c:v>
                </c:pt>
                <c:pt idx="10">
                  <c:v>1.6321784584194605</c:v>
                </c:pt>
                <c:pt idx="11">
                  <c:v>1.6090048691339709</c:v>
                </c:pt>
                <c:pt idx="12">
                  <c:v>1.6060302554528956</c:v>
                </c:pt>
                <c:pt idx="13">
                  <c:v>1.6867190368361413</c:v>
                </c:pt>
                <c:pt idx="14">
                  <c:v>1.678484887889131</c:v>
                </c:pt>
                <c:pt idx="15">
                  <c:v>1.601954608561813</c:v>
                </c:pt>
              </c:numCache>
            </c:numRef>
          </c:xVal>
          <c:yVal>
            <c:numRef>
              <c:f>'TOF vs density (LC)'!$D$5:$D$20</c:f>
              <c:numCache>
                <c:formatCode>General</c:formatCode>
                <c:ptCount val="16"/>
                <c:pt idx="0">
                  <c:v>1.3520135201360978E-3</c:v>
                </c:pt>
                <c:pt idx="1">
                  <c:v>1.3460134601345421E-3</c:v>
                </c:pt>
                <c:pt idx="2">
                  <c:v>1.2780127801285319E-3</c:v>
                </c:pt>
                <c:pt idx="3">
                  <c:v>1.2380123801243302E-3</c:v>
                </c:pt>
                <c:pt idx="4">
                  <c:v>1.8960189601884298E-3</c:v>
                </c:pt>
                <c:pt idx="5">
                  <c:v>1.83601836018994E-3</c:v>
                </c:pt>
                <c:pt idx="6">
                  <c:v>1.4240142401433782E-3</c:v>
                </c:pt>
                <c:pt idx="7">
                  <c:v>1.6520165201640679E-3</c:v>
                </c:pt>
                <c:pt idx="8">
                  <c:v>1.3240132401346459E-3</c:v>
                </c:pt>
                <c:pt idx="9">
                  <c:v>1.484014840148264E-3</c:v>
                </c:pt>
                <c:pt idx="10">
                  <c:v>1.5760157601505359E-3</c:v>
                </c:pt>
                <c:pt idx="11">
                  <c:v>1.686016860168494E-3</c:v>
                </c:pt>
                <c:pt idx="12">
                  <c:v>1.9700197001942142E-3</c:v>
                </c:pt>
                <c:pt idx="13">
                  <c:v>1.4060140601390699E-3</c:v>
                </c:pt>
                <c:pt idx="14">
                  <c:v>1.516015160152762E-3</c:v>
                </c:pt>
                <c:pt idx="15">
                  <c:v>1.455014550145075E-3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65-46B3-92AB-8D3673457A02}"/>
            </c:ext>
          </c:extLst>
        </c:ser>
        <c:ser>
          <c:idx val="0"/>
          <c:order val="1"/>
          <c:tx>
            <c:v>Upper I.C</c:v>
          </c:tx>
          <c:spPr>
            <a:ln w="6350">
              <a:solidFill>
                <a:schemeClr val="accent1">
                  <a:lumMod val="75000"/>
                </a:schemeClr>
              </a:solidFill>
              <a:prstDash val="dash"/>
            </a:ln>
          </c:spPr>
          <c:marker>
            <c:symbol val="none"/>
          </c:marker>
          <c:xVal>
            <c:numRef>
              <c:f>'TOF vs density (LC)'!$B$49:$B$64</c:f>
              <c:numCache>
                <c:formatCode>0.00</c:formatCode>
                <c:ptCount val="16"/>
                <c:pt idx="0">
                  <c:v>1.480677915463195</c:v>
                </c:pt>
                <c:pt idx="1">
                  <c:v>1.4904689597154233</c:v>
                </c:pt>
                <c:pt idx="2">
                  <c:v>1.5294344523239138</c:v>
                </c:pt>
                <c:pt idx="3">
                  <c:v>1.5475074537777984</c:v>
                </c:pt>
                <c:pt idx="4">
                  <c:v>1.601954608561813</c:v>
                </c:pt>
                <c:pt idx="5">
                  <c:v>1.6060302554528956</c:v>
                </c:pt>
                <c:pt idx="6">
                  <c:v>1.6090048691339709</c:v>
                </c:pt>
                <c:pt idx="7">
                  <c:v>1.6321784584194605</c:v>
                </c:pt>
                <c:pt idx="8">
                  <c:v>1.6483733962172045</c:v>
                </c:pt>
                <c:pt idx="9">
                  <c:v>1.6584291622044007</c:v>
                </c:pt>
                <c:pt idx="10">
                  <c:v>1.678484887889131</c:v>
                </c:pt>
                <c:pt idx="11">
                  <c:v>1.6822689096024417</c:v>
                </c:pt>
                <c:pt idx="12">
                  <c:v>1.6867190368361413</c:v>
                </c:pt>
                <c:pt idx="13">
                  <c:v>1.6951263354634258</c:v>
                </c:pt>
                <c:pt idx="14">
                  <c:v>1.763728134637909</c:v>
                </c:pt>
                <c:pt idx="15">
                  <c:v>1.7772421994397172</c:v>
                </c:pt>
              </c:numCache>
            </c:numRef>
          </c:xVal>
          <c:yVal>
            <c:numRef>
              <c:f>'TOF vs density (LC)'!$F$49:$F$64</c:f>
              <c:numCache>
                <c:formatCode>General</c:formatCode>
                <c:ptCount val="16"/>
                <c:pt idx="0">
                  <c:v>1.9672239125548834E-3</c:v>
                </c:pt>
                <c:pt idx="1">
                  <c:v>1.9416293941242665E-3</c:v>
                </c:pt>
                <c:pt idx="2">
                  <c:v>1.8417618161845084E-3</c:v>
                </c:pt>
                <c:pt idx="3">
                  <c:v>1.7970051508589225E-3</c:v>
                </c:pt>
                <c:pt idx="4">
                  <c:v>1.6735158373600246E-3</c:v>
                </c:pt>
                <c:pt idx="5">
                  <c:v>1.6652744661973917E-3</c:v>
                </c:pt>
                <c:pt idx="6">
                  <c:v>1.6593714718803143E-3</c:v>
                </c:pt>
                <c:pt idx="7">
                  <c:v>1.6168516058543945E-3</c:v>
                </c:pt>
                <c:pt idx="8">
                  <c:v>1.5909161084992399E-3</c:v>
                </c:pt>
                <c:pt idx="9">
                  <c:v>1.5763143959348482E-3</c:v>
                </c:pt>
                <c:pt idx="10">
                  <c:v>1.5502058191937851E-3</c:v>
                </c:pt>
                <c:pt idx="11">
                  <c:v>1.5456723050017778E-3</c:v>
                </c:pt>
                <c:pt idx="12">
                  <c:v>1.5404799788596786E-3</c:v>
                </c:pt>
                <c:pt idx="13">
                  <c:v>1.5310474766830075E-3</c:v>
                </c:pt>
                <c:pt idx="14">
                  <c:v>1.4662399411019475E-3</c:v>
                </c:pt>
                <c:pt idx="15">
                  <c:v>1.4550208990750887E-3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865-46B3-92AB-8D3673457A02}"/>
            </c:ext>
          </c:extLst>
        </c:ser>
        <c:ser>
          <c:idx val="1"/>
          <c:order val="2"/>
          <c:tx>
            <c:v>Lower I.C</c:v>
          </c:tx>
          <c:spPr>
            <a:ln w="6350">
              <a:solidFill>
                <a:schemeClr val="accent1">
                  <a:lumMod val="75000"/>
                </a:schemeClr>
              </a:solidFill>
              <a:prstDash val="dash"/>
            </a:ln>
          </c:spPr>
          <c:marker>
            <c:symbol val="none"/>
          </c:marker>
          <c:xVal>
            <c:numRef>
              <c:f>'TOF vs density (LC)'!$B$49:$B$64</c:f>
              <c:numCache>
                <c:formatCode>0.00</c:formatCode>
                <c:ptCount val="16"/>
                <c:pt idx="0">
                  <c:v>1.480677915463195</c:v>
                </c:pt>
                <c:pt idx="1">
                  <c:v>1.4904689597154233</c:v>
                </c:pt>
                <c:pt idx="2">
                  <c:v>1.5294344523239138</c:v>
                </c:pt>
                <c:pt idx="3">
                  <c:v>1.5475074537777984</c:v>
                </c:pt>
                <c:pt idx="4">
                  <c:v>1.601954608561813</c:v>
                </c:pt>
                <c:pt idx="5">
                  <c:v>1.6060302554528956</c:v>
                </c:pt>
                <c:pt idx="6">
                  <c:v>1.6090048691339709</c:v>
                </c:pt>
                <c:pt idx="7">
                  <c:v>1.6321784584194605</c:v>
                </c:pt>
                <c:pt idx="8">
                  <c:v>1.6483733962172045</c:v>
                </c:pt>
                <c:pt idx="9">
                  <c:v>1.6584291622044007</c:v>
                </c:pt>
                <c:pt idx="10">
                  <c:v>1.678484887889131</c:v>
                </c:pt>
                <c:pt idx="11">
                  <c:v>1.6822689096024417</c:v>
                </c:pt>
                <c:pt idx="12">
                  <c:v>1.6867190368361413</c:v>
                </c:pt>
                <c:pt idx="13">
                  <c:v>1.6951263354634258</c:v>
                </c:pt>
                <c:pt idx="14">
                  <c:v>1.763728134637909</c:v>
                </c:pt>
                <c:pt idx="15">
                  <c:v>1.7772421994397172</c:v>
                </c:pt>
              </c:numCache>
            </c:numRef>
          </c:xVal>
          <c:yVal>
            <c:numRef>
              <c:f>'TOF vs density (LC)'!$G$49:$G$64</c:f>
              <c:numCache>
                <c:formatCode>General</c:formatCode>
                <c:ptCount val="16"/>
                <c:pt idx="0">
                  <c:v>1.6048629054966704E-3</c:v>
                </c:pt>
                <c:pt idx="1">
                  <c:v>1.5968173540854818E-3</c:v>
                </c:pt>
                <c:pt idx="2">
                  <c:v>1.5628072925209873E-3</c:v>
                </c:pt>
                <c:pt idx="3">
                  <c:v>1.5454687394513165E-3</c:v>
                </c:pt>
                <c:pt idx="4">
                  <c:v>1.4818885185432975E-3</c:v>
                </c:pt>
                <c:pt idx="5">
                  <c:v>1.4761267821175492E-3</c:v>
                </c:pt>
                <c:pt idx="6">
                  <c:v>1.4718095987491873E-3</c:v>
                </c:pt>
                <c:pt idx="7">
                  <c:v>1.4347096467080221E-3</c:v>
                </c:pt>
                <c:pt idx="8">
                  <c:v>1.4050025767776884E-3</c:v>
                </c:pt>
                <c:pt idx="9">
                  <c:v>1.3850546885632706E-3</c:v>
                </c:pt>
                <c:pt idx="10">
                  <c:v>1.3422558029967378E-3</c:v>
                </c:pt>
                <c:pt idx="11">
                  <c:v>1.3337881753861525E-3</c:v>
                </c:pt>
                <c:pt idx="12">
                  <c:v>1.3236907543787064E-3</c:v>
                </c:pt>
                <c:pt idx="13">
                  <c:v>1.3042374599317535E-3</c:v>
                </c:pt>
                <c:pt idx="14">
                  <c:v>1.1333429339091235E-3</c:v>
                </c:pt>
                <c:pt idx="15">
                  <c:v>1.0981303520899298E-3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865-46B3-92AB-8D3673457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1099983"/>
        <c:axId val="1890668287"/>
      </c:scatterChart>
      <c:valAx>
        <c:axId val="1891099983"/>
        <c:scaling>
          <c:orientation val="minMax"/>
          <c:max val="1.8"/>
          <c:min val="1.4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8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Dry Density (g/</a:t>
                </a:r>
                <a:r>
                  <a:rPr lang="es-EC" sz="800" b="1" i="0" u="none" strike="noStrike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cm³</a:t>
                </a:r>
                <a:r>
                  <a:rPr lang="es-MX" sz="8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0.66609792596546902"/>
              <c:y val="0.7708870872073194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90668287"/>
        <c:crosses val="autoZero"/>
        <c:crossBetween val="midCat"/>
        <c:majorUnit val="0.05"/>
      </c:valAx>
      <c:valAx>
        <c:axId val="1890668287"/>
        <c:scaling>
          <c:orientation val="minMax"/>
          <c:min val="5.0000000000000001E-4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8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TOF (s)</a:t>
                </a:r>
              </a:p>
            </c:rich>
          </c:tx>
          <c:layout>
            <c:manualLayout>
              <c:xMode val="edge"/>
              <c:yMode val="edge"/>
              <c:x val="0.15001164248473756"/>
              <c:y val="4.1547644365580297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91099983"/>
        <c:crosses val="autoZero"/>
        <c:crossBetween val="midCat"/>
        <c:majorUnit val="5.0000000000000001E-4"/>
      </c:valAx>
    </c:plotArea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06228434928779"/>
          <c:y val="4.9773755656108594E-2"/>
          <c:w val="0.84871715473768039"/>
          <c:h val="0.81548658377448568"/>
        </c:manualLayout>
      </c:layout>
      <c:scatterChart>
        <c:scatterStyle val="lineMarker"/>
        <c:varyColors val="0"/>
        <c:ser>
          <c:idx val="2"/>
          <c:order val="0"/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5.2716703606565142E-2"/>
                  <c:y val="-0.37663338248310457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 sz="800" baseline="0">
                        <a:solidFill>
                          <a:schemeClr val="tx1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y = -0,0017x + 0,0044</a:t>
                    </a:r>
                    <a:br>
                      <a:rPr lang="en-US" sz="800" baseline="0">
                        <a:solidFill>
                          <a:schemeClr val="tx1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</a:br>
                    <a:r>
                      <a:rPr lang="en-US" sz="800" baseline="0">
                        <a:solidFill>
                          <a:schemeClr val="tx1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R² = 0,4554</a:t>
                    </a:r>
                    <a:endParaRPr lang="en-US" sz="800">
                      <a:solidFill>
                        <a:schemeClr val="tx1"/>
                      </a:solidFill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c:rich>
              </c:tx>
              <c:numFmt formatCode="General" sourceLinked="0"/>
            </c:trendlineLbl>
          </c:trendline>
          <c:xVal>
            <c:numRef>
              <c:f>'TOF vs density (LC)'!$C$5:$C$20</c:f>
              <c:numCache>
                <c:formatCode>0.00</c:formatCode>
                <c:ptCount val="16"/>
                <c:pt idx="0">
                  <c:v>1.6584291622044007</c:v>
                </c:pt>
                <c:pt idx="1">
                  <c:v>1.763728134637909</c:v>
                </c:pt>
                <c:pt idx="2">
                  <c:v>1.6822689096024417</c:v>
                </c:pt>
                <c:pt idx="3">
                  <c:v>1.6483733962172045</c:v>
                </c:pt>
                <c:pt idx="4">
                  <c:v>1.480677915463195</c:v>
                </c:pt>
                <c:pt idx="5">
                  <c:v>1.4904689597154233</c:v>
                </c:pt>
                <c:pt idx="6">
                  <c:v>1.5294344523239138</c:v>
                </c:pt>
                <c:pt idx="7">
                  <c:v>1.5475074537777984</c:v>
                </c:pt>
                <c:pt idx="8">
                  <c:v>1.7772421994397172</c:v>
                </c:pt>
                <c:pt idx="9">
                  <c:v>1.6951263354634258</c:v>
                </c:pt>
                <c:pt idx="10">
                  <c:v>1.6321784584194605</c:v>
                </c:pt>
                <c:pt idx="11">
                  <c:v>1.6090048691339709</c:v>
                </c:pt>
                <c:pt idx="12">
                  <c:v>1.6060302554528956</c:v>
                </c:pt>
                <c:pt idx="13">
                  <c:v>1.6867190368361413</c:v>
                </c:pt>
                <c:pt idx="14">
                  <c:v>1.678484887889131</c:v>
                </c:pt>
                <c:pt idx="15">
                  <c:v>1.601954608561813</c:v>
                </c:pt>
              </c:numCache>
            </c:numRef>
          </c:xVal>
          <c:yVal>
            <c:numRef>
              <c:f>'TOF vs density (LC)'!$D$5:$D$20</c:f>
              <c:numCache>
                <c:formatCode>General</c:formatCode>
                <c:ptCount val="16"/>
                <c:pt idx="0">
                  <c:v>1.3520135201360978E-3</c:v>
                </c:pt>
                <c:pt idx="1">
                  <c:v>1.3460134601345421E-3</c:v>
                </c:pt>
                <c:pt idx="2">
                  <c:v>1.2780127801285319E-3</c:v>
                </c:pt>
                <c:pt idx="3">
                  <c:v>1.2380123801243302E-3</c:v>
                </c:pt>
                <c:pt idx="4">
                  <c:v>1.8960189601884298E-3</c:v>
                </c:pt>
                <c:pt idx="5">
                  <c:v>1.83601836018994E-3</c:v>
                </c:pt>
                <c:pt idx="6">
                  <c:v>1.4240142401433782E-3</c:v>
                </c:pt>
                <c:pt idx="7">
                  <c:v>1.6520165201640679E-3</c:v>
                </c:pt>
                <c:pt idx="8">
                  <c:v>1.3240132401346459E-3</c:v>
                </c:pt>
                <c:pt idx="9">
                  <c:v>1.484014840148264E-3</c:v>
                </c:pt>
                <c:pt idx="10">
                  <c:v>1.5760157601505359E-3</c:v>
                </c:pt>
                <c:pt idx="11">
                  <c:v>1.686016860168494E-3</c:v>
                </c:pt>
                <c:pt idx="12">
                  <c:v>1.9700197001942142E-3</c:v>
                </c:pt>
                <c:pt idx="13">
                  <c:v>1.4060140601390699E-3</c:v>
                </c:pt>
                <c:pt idx="14">
                  <c:v>1.516015160152762E-3</c:v>
                </c:pt>
                <c:pt idx="15">
                  <c:v>1.455014550145075E-3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B9-4E87-920D-29ABF3C73025}"/>
            </c:ext>
          </c:extLst>
        </c:ser>
        <c:ser>
          <c:idx val="0"/>
          <c:order val="1"/>
          <c:tx>
            <c:v>Upper I.C</c:v>
          </c:tx>
          <c:spPr>
            <a:ln w="6350">
              <a:solidFill>
                <a:schemeClr val="accent1">
                  <a:lumMod val="75000"/>
                </a:schemeClr>
              </a:solidFill>
              <a:prstDash val="dash"/>
            </a:ln>
          </c:spPr>
          <c:marker>
            <c:symbol val="none"/>
          </c:marker>
          <c:xVal>
            <c:numRef>
              <c:f>'TOF vs density (LC)'!$B$49:$B$64</c:f>
              <c:numCache>
                <c:formatCode>0.00</c:formatCode>
                <c:ptCount val="16"/>
                <c:pt idx="0">
                  <c:v>1.480677915463195</c:v>
                </c:pt>
                <c:pt idx="1">
                  <c:v>1.4904689597154233</c:v>
                </c:pt>
                <c:pt idx="2">
                  <c:v>1.5294344523239138</c:v>
                </c:pt>
                <c:pt idx="3">
                  <c:v>1.5475074537777984</c:v>
                </c:pt>
                <c:pt idx="4">
                  <c:v>1.601954608561813</c:v>
                </c:pt>
                <c:pt idx="5">
                  <c:v>1.6060302554528956</c:v>
                </c:pt>
                <c:pt idx="6">
                  <c:v>1.6090048691339709</c:v>
                </c:pt>
                <c:pt idx="7">
                  <c:v>1.6321784584194605</c:v>
                </c:pt>
                <c:pt idx="8">
                  <c:v>1.6483733962172045</c:v>
                </c:pt>
                <c:pt idx="9">
                  <c:v>1.6584291622044007</c:v>
                </c:pt>
                <c:pt idx="10">
                  <c:v>1.678484887889131</c:v>
                </c:pt>
                <c:pt idx="11">
                  <c:v>1.6822689096024417</c:v>
                </c:pt>
                <c:pt idx="12">
                  <c:v>1.6867190368361413</c:v>
                </c:pt>
                <c:pt idx="13">
                  <c:v>1.6951263354634258</c:v>
                </c:pt>
                <c:pt idx="14">
                  <c:v>1.763728134637909</c:v>
                </c:pt>
                <c:pt idx="15">
                  <c:v>1.7772421994397172</c:v>
                </c:pt>
              </c:numCache>
            </c:numRef>
          </c:xVal>
          <c:yVal>
            <c:numRef>
              <c:f>'TOF vs density (LC)'!$F$49:$F$64</c:f>
              <c:numCache>
                <c:formatCode>General</c:formatCode>
                <c:ptCount val="16"/>
                <c:pt idx="0">
                  <c:v>1.9672239125548834E-3</c:v>
                </c:pt>
                <c:pt idx="1">
                  <c:v>1.9416293941242665E-3</c:v>
                </c:pt>
                <c:pt idx="2">
                  <c:v>1.8417618161845084E-3</c:v>
                </c:pt>
                <c:pt idx="3">
                  <c:v>1.7970051508589225E-3</c:v>
                </c:pt>
                <c:pt idx="4">
                  <c:v>1.6735158373600246E-3</c:v>
                </c:pt>
                <c:pt idx="5">
                  <c:v>1.6652744661973917E-3</c:v>
                </c:pt>
                <c:pt idx="6">
                  <c:v>1.6593714718803143E-3</c:v>
                </c:pt>
                <c:pt idx="7">
                  <c:v>1.6168516058543945E-3</c:v>
                </c:pt>
                <c:pt idx="8">
                  <c:v>1.5909161084992399E-3</c:v>
                </c:pt>
                <c:pt idx="9">
                  <c:v>1.5763143959348482E-3</c:v>
                </c:pt>
                <c:pt idx="10">
                  <c:v>1.5502058191937851E-3</c:v>
                </c:pt>
                <c:pt idx="11">
                  <c:v>1.5456723050017778E-3</c:v>
                </c:pt>
                <c:pt idx="12">
                  <c:v>1.5404799788596786E-3</c:v>
                </c:pt>
                <c:pt idx="13">
                  <c:v>1.5310474766830075E-3</c:v>
                </c:pt>
                <c:pt idx="14">
                  <c:v>1.4662399411019475E-3</c:v>
                </c:pt>
                <c:pt idx="15">
                  <c:v>1.4550208990750887E-3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0B9-4E87-920D-29ABF3C73025}"/>
            </c:ext>
          </c:extLst>
        </c:ser>
        <c:ser>
          <c:idx val="1"/>
          <c:order val="2"/>
          <c:tx>
            <c:v>Lower I.C</c:v>
          </c:tx>
          <c:spPr>
            <a:ln w="6350">
              <a:solidFill>
                <a:schemeClr val="accent1">
                  <a:lumMod val="75000"/>
                </a:schemeClr>
              </a:solidFill>
              <a:prstDash val="dash"/>
            </a:ln>
          </c:spPr>
          <c:marker>
            <c:symbol val="none"/>
          </c:marker>
          <c:xVal>
            <c:numRef>
              <c:f>'TOF vs density (LC)'!$B$49:$B$64</c:f>
              <c:numCache>
                <c:formatCode>0.00</c:formatCode>
                <c:ptCount val="16"/>
                <c:pt idx="0">
                  <c:v>1.480677915463195</c:v>
                </c:pt>
                <c:pt idx="1">
                  <c:v>1.4904689597154233</c:v>
                </c:pt>
                <c:pt idx="2">
                  <c:v>1.5294344523239138</c:v>
                </c:pt>
                <c:pt idx="3">
                  <c:v>1.5475074537777984</c:v>
                </c:pt>
                <c:pt idx="4">
                  <c:v>1.601954608561813</c:v>
                </c:pt>
                <c:pt idx="5">
                  <c:v>1.6060302554528956</c:v>
                </c:pt>
                <c:pt idx="6">
                  <c:v>1.6090048691339709</c:v>
                </c:pt>
                <c:pt idx="7">
                  <c:v>1.6321784584194605</c:v>
                </c:pt>
                <c:pt idx="8">
                  <c:v>1.6483733962172045</c:v>
                </c:pt>
                <c:pt idx="9">
                  <c:v>1.6584291622044007</c:v>
                </c:pt>
                <c:pt idx="10">
                  <c:v>1.678484887889131</c:v>
                </c:pt>
                <c:pt idx="11">
                  <c:v>1.6822689096024417</c:v>
                </c:pt>
                <c:pt idx="12">
                  <c:v>1.6867190368361413</c:v>
                </c:pt>
                <c:pt idx="13">
                  <c:v>1.6951263354634258</c:v>
                </c:pt>
                <c:pt idx="14">
                  <c:v>1.763728134637909</c:v>
                </c:pt>
                <c:pt idx="15">
                  <c:v>1.7772421994397172</c:v>
                </c:pt>
              </c:numCache>
            </c:numRef>
          </c:xVal>
          <c:yVal>
            <c:numRef>
              <c:f>'TOF vs density (LC)'!$G$49:$G$64</c:f>
              <c:numCache>
                <c:formatCode>General</c:formatCode>
                <c:ptCount val="16"/>
                <c:pt idx="0">
                  <c:v>1.6048629054966704E-3</c:v>
                </c:pt>
                <c:pt idx="1">
                  <c:v>1.5968173540854818E-3</c:v>
                </c:pt>
                <c:pt idx="2">
                  <c:v>1.5628072925209873E-3</c:v>
                </c:pt>
                <c:pt idx="3">
                  <c:v>1.5454687394513165E-3</c:v>
                </c:pt>
                <c:pt idx="4">
                  <c:v>1.4818885185432975E-3</c:v>
                </c:pt>
                <c:pt idx="5">
                  <c:v>1.4761267821175492E-3</c:v>
                </c:pt>
                <c:pt idx="6">
                  <c:v>1.4718095987491873E-3</c:v>
                </c:pt>
                <c:pt idx="7">
                  <c:v>1.4347096467080221E-3</c:v>
                </c:pt>
                <c:pt idx="8">
                  <c:v>1.4050025767776884E-3</c:v>
                </c:pt>
                <c:pt idx="9">
                  <c:v>1.3850546885632706E-3</c:v>
                </c:pt>
                <c:pt idx="10">
                  <c:v>1.3422558029967378E-3</c:v>
                </c:pt>
                <c:pt idx="11">
                  <c:v>1.3337881753861525E-3</c:v>
                </c:pt>
                <c:pt idx="12">
                  <c:v>1.3236907543787064E-3</c:v>
                </c:pt>
                <c:pt idx="13">
                  <c:v>1.3042374599317535E-3</c:v>
                </c:pt>
                <c:pt idx="14">
                  <c:v>1.1333429339091235E-3</c:v>
                </c:pt>
                <c:pt idx="15">
                  <c:v>1.0981303520899298E-3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0B9-4E87-920D-29ABF3C73025}"/>
            </c:ext>
          </c:extLst>
        </c:ser>
        <c:ser>
          <c:idx val="3"/>
          <c:order val="3"/>
          <c:spPr>
            <a:ln w="19050">
              <a:noFill/>
            </a:ln>
          </c:spPr>
          <c:xVal>
            <c:numRef>
              <c:f>'TOF vs density (LC)'!$F$69</c:f>
              <c:numCache>
                <c:formatCode>General</c:formatCode>
                <c:ptCount val="1"/>
                <c:pt idx="0">
                  <c:v>1.6133722601507832</c:v>
                </c:pt>
              </c:numCache>
            </c:numRef>
          </c:xVal>
          <c:yVal>
            <c:numRef>
              <c:f>'TOF vs density (LC)'!$G$69</c:f>
              <c:numCache>
                <c:formatCode>General</c:formatCode>
                <c:ptCount val="1"/>
                <c:pt idx="0">
                  <c:v>1.4779999999999999E-3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0B9-4E87-920D-29ABF3C73025}"/>
            </c:ext>
          </c:extLst>
        </c:ser>
        <c:ser>
          <c:idx val="4"/>
          <c:order val="4"/>
          <c:spPr>
            <a:ln w="19050">
              <a:noFill/>
            </a:ln>
          </c:spPr>
          <c:xVal>
            <c:numRef>
              <c:f>'TOF vs density (LC)'!$O$68:$O$83</c:f>
              <c:numCache>
                <c:formatCode>General</c:formatCode>
                <c:ptCount val="16"/>
                <c:pt idx="0">
                  <c:v>1.7192063529375099</c:v>
                </c:pt>
                <c:pt idx="1">
                  <c:v>1.5841554431297693</c:v>
                </c:pt>
                <c:pt idx="2">
                  <c:v>1.6813938352823694</c:v>
                </c:pt>
                <c:pt idx="3">
                  <c:v>1.698312574889731</c:v>
                </c:pt>
                <c:pt idx="4">
                  <c:v>1.7387618292327622</c:v>
                </c:pt>
                <c:pt idx="5">
                  <c:v>1.6244084374750853</c:v>
                </c:pt>
                <c:pt idx="6">
                  <c:v>1.6557085186903659</c:v>
                </c:pt>
                <c:pt idx="7">
                  <c:v>1.7158206957245821</c:v>
                </c:pt>
                <c:pt idx="8">
                  <c:v>1.6803508768409445</c:v>
                </c:pt>
                <c:pt idx="9">
                  <c:v>1.7011513682583603</c:v>
                </c:pt>
                <c:pt idx="10">
                  <c:v>1.5931594833061955</c:v>
                </c:pt>
                <c:pt idx="11">
                  <c:v>1.735227625567771</c:v>
                </c:pt>
                <c:pt idx="12">
                  <c:v>1.6758955089337426</c:v>
                </c:pt>
                <c:pt idx="13">
                  <c:v>1.7058170171806979</c:v>
                </c:pt>
                <c:pt idx="14">
                  <c:v>1.5551021015538951</c:v>
                </c:pt>
                <c:pt idx="15">
                  <c:v>1.7236636902406557</c:v>
                </c:pt>
              </c:numCache>
            </c:numRef>
          </c:xVal>
          <c:yVal>
            <c:numRef>
              <c:f>'TOF vs density (LC)'!$N$68:$N$83</c:f>
              <c:numCache>
                <c:formatCode>General</c:formatCode>
                <c:ptCount val="16"/>
                <c:pt idx="0">
                  <c:v>1.6211000000000001E-3</c:v>
                </c:pt>
                <c:pt idx="1">
                  <c:v>1.7334E-3</c:v>
                </c:pt>
                <c:pt idx="2">
                  <c:v>1.5820999999999999E-3</c:v>
                </c:pt>
                <c:pt idx="3">
                  <c:v>1.4258000000000001E-3</c:v>
                </c:pt>
                <c:pt idx="4">
                  <c:v>1.6161999999999999E-3</c:v>
                </c:pt>
                <c:pt idx="5">
                  <c:v>1.9434000000000001E-3</c:v>
                </c:pt>
                <c:pt idx="6">
                  <c:v>1.9688000000000002E-3</c:v>
                </c:pt>
                <c:pt idx="7">
                  <c:v>2.6221E-3</c:v>
                </c:pt>
                <c:pt idx="8">
                  <c:v>1.5938E-3</c:v>
                </c:pt>
                <c:pt idx="9">
                  <c:v>1.6094E-3</c:v>
                </c:pt>
                <c:pt idx="10">
                  <c:v>2.3281999999999999E-3</c:v>
                </c:pt>
                <c:pt idx="11">
                  <c:v>1.9189999999999999E-3</c:v>
                </c:pt>
                <c:pt idx="12">
                  <c:v>2.3340000000000001E-3</c:v>
                </c:pt>
                <c:pt idx="13">
                  <c:v>1.709E-3</c:v>
                </c:pt>
                <c:pt idx="14">
                  <c:v>1.6992999999999999E-3</c:v>
                </c:pt>
                <c:pt idx="15">
                  <c:v>1.4844000000000001E-3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4F-4FED-A9C3-34C9EA02A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1099983"/>
        <c:axId val="1890668287"/>
      </c:scatterChart>
      <c:valAx>
        <c:axId val="1891099983"/>
        <c:scaling>
          <c:orientation val="minMax"/>
          <c:max val="1.8"/>
          <c:min val="1.4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8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Dry Density (g/</a:t>
                </a:r>
                <a:r>
                  <a:rPr lang="es-EC" sz="800" b="1" i="0" u="none" strike="noStrike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cm³</a:t>
                </a:r>
                <a:r>
                  <a:rPr lang="es-MX" sz="8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0.66609792596546902"/>
              <c:y val="0.7708870872073194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90668287"/>
        <c:crosses val="autoZero"/>
        <c:crossBetween val="midCat"/>
        <c:majorUnit val="0.05"/>
      </c:valAx>
      <c:valAx>
        <c:axId val="1890668287"/>
        <c:scaling>
          <c:orientation val="minMax"/>
          <c:min val="5.0000000000000001E-4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8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TOF (s)</a:t>
                </a:r>
              </a:p>
            </c:rich>
          </c:tx>
          <c:layout>
            <c:manualLayout>
              <c:xMode val="edge"/>
              <c:yMode val="edge"/>
              <c:x val="0.15001164248473756"/>
              <c:y val="4.1547644365580297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91099983"/>
        <c:crosses val="autoZero"/>
        <c:crossBetween val="midCat"/>
        <c:majorUnit val="5.0000000000000001E-4"/>
      </c:valAx>
    </c:plotArea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06228434928779"/>
          <c:y val="4.9773755656108594E-2"/>
          <c:w val="0.84871715473768039"/>
          <c:h val="0.81548658377448568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noFill/>
            </a:ln>
          </c:spPr>
          <c:marker>
            <c:symbol val="circle"/>
            <c:size val="3"/>
          </c:marker>
          <c:trendline>
            <c:spPr>
              <a:ln>
                <a:solidFill>
                  <a:schemeClr val="accent1"/>
                </a:solidFill>
              </a:ln>
            </c:spPr>
            <c:trendlineType val="linear"/>
            <c:dispRSqr val="0"/>
            <c:dispEq val="0"/>
          </c:trendline>
          <c:xVal>
            <c:numRef>
              <c:f>('TOF vs D. density'!$C$5:$C$12,'TOF vs D. density'!$C$14:$C$21,'TOF vs D. density'!$C$23:$C$38)</c:f>
              <c:numCache>
                <c:formatCode>0.00</c:formatCode>
                <c:ptCount val="32"/>
                <c:pt idx="0">
                  <c:v>1.8548437161027418</c:v>
                </c:pt>
                <c:pt idx="1">
                  <c:v>1.9719402208410066</c:v>
                </c:pt>
                <c:pt idx="2">
                  <c:v>1.8449074849044513</c:v>
                </c:pt>
                <c:pt idx="3">
                  <c:v>1.7814187415561826</c:v>
                </c:pt>
                <c:pt idx="4">
                  <c:v>1.6522742875839982</c:v>
                </c:pt>
                <c:pt idx="5">
                  <c:v>1.6910926798682204</c:v>
                </c:pt>
                <c:pt idx="6">
                  <c:v>1.7439839744061931</c:v>
                </c:pt>
                <c:pt idx="7">
                  <c:v>1.7820623952024157</c:v>
                </c:pt>
                <c:pt idx="8">
                  <c:v>2.0315409830870035</c:v>
                </c:pt>
                <c:pt idx="9">
                  <c:v>1.9880315619968192</c:v>
                </c:pt>
                <c:pt idx="10">
                  <c:v>1.9363247190828075</c:v>
                </c:pt>
                <c:pt idx="11">
                  <c:v>1.8753921739061294</c:v>
                </c:pt>
                <c:pt idx="12">
                  <c:v>1.9187315194191186</c:v>
                </c:pt>
                <c:pt idx="13">
                  <c:v>1.9110076756643286</c:v>
                </c:pt>
                <c:pt idx="14">
                  <c:v>1.9399720897447918</c:v>
                </c:pt>
                <c:pt idx="15">
                  <c:v>1.8732466617520214</c:v>
                </c:pt>
                <c:pt idx="16">
                  <c:v>2.001707489085768</c:v>
                </c:pt>
                <c:pt idx="17">
                  <c:v>1.8919395711267837</c:v>
                </c:pt>
                <c:pt idx="18">
                  <c:v>1.9461801186272207</c:v>
                </c:pt>
                <c:pt idx="19">
                  <c:v>1.9580542057092289</c:v>
                </c:pt>
                <c:pt idx="20">
                  <c:v>1.8676463039978548</c:v>
                </c:pt>
                <c:pt idx="21">
                  <c:v>1.9752560920461879</c:v>
                </c:pt>
                <c:pt idx="22">
                  <c:v>1.9145503142584703</c:v>
                </c:pt>
                <c:pt idx="23">
                  <c:v>1.9587817230230093</c:v>
                </c:pt>
                <c:pt idx="24">
                  <c:v>1.9247477717821611</c:v>
                </c:pt>
                <c:pt idx="25">
                  <c:v>1.9058618752045113</c:v>
                </c:pt>
                <c:pt idx="26">
                  <c:v>1.9625142469395638</c:v>
                </c:pt>
                <c:pt idx="27">
                  <c:v>1.9721006595340227</c:v>
                </c:pt>
                <c:pt idx="28">
                  <c:v>1.8613978955373476</c:v>
                </c:pt>
                <c:pt idx="29">
                  <c:v>1.903087988825213</c:v>
                </c:pt>
                <c:pt idx="30">
                  <c:v>1.8162089203859249</c:v>
                </c:pt>
                <c:pt idx="31">
                  <c:v>1.8935386732123702</c:v>
                </c:pt>
              </c:numCache>
            </c:numRef>
          </c:xVal>
          <c:yVal>
            <c:numRef>
              <c:f>('TOF vs D. density'!$E$5:$E$12,'TOF vs D. density'!$E$14:$E$21,'TOF vs D. density'!$E$23:$E$38)</c:f>
              <c:numCache>
                <c:formatCode>General</c:formatCode>
                <c:ptCount val="32"/>
                <c:pt idx="0">
                  <c:v>1.3520135201360978E-3</c:v>
                </c:pt>
                <c:pt idx="1">
                  <c:v>1.3460134601345421E-3</c:v>
                </c:pt>
                <c:pt idx="2">
                  <c:v>1.2780127801285319E-3</c:v>
                </c:pt>
                <c:pt idx="3">
                  <c:v>1.2380123801243302E-3</c:v>
                </c:pt>
                <c:pt idx="4">
                  <c:v>1.8960189601884298E-3</c:v>
                </c:pt>
                <c:pt idx="5">
                  <c:v>1.83601836018994E-3</c:v>
                </c:pt>
                <c:pt idx="6">
                  <c:v>1.4240142401433782E-3</c:v>
                </c:pt>
                <c:pt idx="7">
                  <c:v>1.6520165201640679E-3</c:v>
                </c:pt>
                <c:pt idx="8">
                  <c:v>1.3240132401346459E-3</c:v>
                </c:pt>
                <c:pt idx="9">
                  <c:v>1.484014840148264E-3</c:v>
                </c:pt>
                <c:pt idx="10">
                  <c:v>1.5760157601505359E-3</c:v>
                </c:pt>
                <c:pt idx="11">
                  <c:v>1.686016860168494E-3</c:v>
                </c:pt>
                <c:pt idx="12">
                  <c:v>1.9700197001942142E-3</c:v>
                </c:pt>
                <c:pt idx="13">
                  <c:v>1.4060140601390699E-3</c:v>
                </c:pt>
                <c:pt idx="14">
                  <c:v>1.516015160152762E-3</c:v>
                </c:pt>
                <c:pt idx="15">
                  <c:v>1.455014550145075E-3</c:v>
                </c:pt>
                <c:pt idx="16">
                  <c:v>1.6211000000000001E-3</c:v>
                </c:pt>
                <c:pt idx="17">
                  <c:v>1.7334E-3</c:v>
                </c:pt>
                <c:pt idx="18">
                  <c:v>1.5820999999999999E-3</c:v>
                </c:pt>
                <c:pt idx="19">
                  <c:v>1.4258000000000001E-3</c:v>
                </c:pt>
                <c:pt idx="20">
                  <c:v>1.6161999999999999E-3</c:v>
                </c:pt>
                <c:pt idx="21">
                  <c:v>1.9434000000000001E-3</c:v>
                </c:pt>
                <c:pt idx="22">
                  <c:v>1.9688000000000002E-3</c:v>
                </c:pt>
                <c:pt idx="24">
                  <c:v>1.5938E-3</c:v>
                </c:pt>
                <c:pt idx="25">
                  <c:v>1.6094E-3</c:v>
                </c:pt>
                <c:pt idx="27">
                  <c:v>1.9189999999999999E-3</c:v>
                </c:pt>
                <c:pt idx="29">
                  <c:v>1.709E-3</c:v>
                </c:pt>
                <c:pt idx="30">
                  <c:v>1.6992999999999999E-3</c:v>
                </c:pt>
                <c:pt idx="31">
                  <c:v>1.4844000000000001E-3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D7-44A4-ACDC-4C7D10A4B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1099983"/>
        <c:axId val="1890668287"/>
      </c:scatterChart>
      <c:valAx>
        <c:axId val="1891099983"/>
        <c:scaling>
          <c:orientation val="minMax"/>
          <c:max val="2"/>
          <c:min val="1.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8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Density (g/</a:t>
                </a:r>
                <a:r>
                  <a:rPr lang="es-EC" sz="800" b="1" i="0" u="none" strike="noStrike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cm³</a:t>
                </a:r>
                <a:r>
                  <a:rPr lang="es-MX" sz="8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0.70892866723794601"/>
              <c:y val="0.7708869771064382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90668287"/>
        <c:crossesAt val="1"/>
        <c:crossBetween val="midCat"/>
      </c:valAx>
      <c:valAx>
        <c:axId val="1890668287"/>
        <c:scaling>
          <c:logBase val="10"/>
          <c:orientation val="minMax"/>
          <c:max val="0.01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8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TOF (s)</a:t>
                </a:r>
              </a:p>
            </c:rich>
          </c:tx>
          <c:layout>
            <c:manualLayout>
              <c:xMode val="edge"/>
              <c:yMode val="edge"/>
              <c:x val="0.15001164248473756"/>
              <c:y val="4.1547644365580297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91099983"/>
        <c:crossesAt val="0"/>
        <c:crossBetween val="midCat"/>
      </c:valAx>
    </c:plotArea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06228434928779"/>
          <c:y val="4.9773755656108594E-2"/>
          <c:w val="0.84871715473768039"/>
          <c:h val="0.81548658377448568"/>
        </c:manualLayout>
      </c:layout>
      <c:scatterChart>
        <c:scatterStyle val="lineMarker"/>
        <c:varyColors val="0"/>
        <c:ser>
          <c:idx val="2"/>
          <c:order val="0"/>
          <c:spPr>
            <a:ln w="25400">
              <a:noFill/>
            </a:ln>
          </c:spPr>
          <c:marker>
            <c:symbol val="circle"/>
            <c:size val="3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trendline>
            <c:spPr>
              <a:ln>
                <a:solidFill>
                  <a:schemeClr val="accent1">
                    <a:lumMod val="75000"/>
                  </a:schemeClr>
                </a:solidFill>
              </a:ln>
            </c:spPr>
            <c:trendlineType val="linear"/>
            <c:dispRSqr val="1"/>
            <c:dispEq val="0"/>
            <c:trendlineLbl>
              <c:layout>
                <c:manualLayout>
                  <c:x val="6.4557615240082343E-3"/>
                  <c:y val="-0.28629380073377719"/>
                </c:manualLayout>
              </c:layout>
              <c:numFmt formatCode="General" sourceLinked="0"/>
            </c:trendlineLbl>
          </c:trendline>
          <c:xVal>
            <c:numRef>
              <c:f>('TOF vs D. density'!$D$5:$D$12,'TOF vs D. density'!$D$14:$D$21,'TOF vs D. density'!$D$23:$D$38)</c:f>
              <c:numCache>
                <c:formatCode>0.00</c:formatCode>
                <c:ptCount val="32"/>
                <c:pt idx="0">
                  <c:v>1.6584291622044007</c:v>
                </c:pt>
                <c:pt idx="1">
                  <c:v>1.763728134637909</c:v>
                </c:pt>
                <c:pt idx="2">
                  <c:v>1.6822689096024417</c:v>
                </c:pt>
                <c:pt idx="3">
                  <c:v>1.6483733962172045</c:v>
                </c:pt>
                <c:pt idx="4">
                  <c:v>1.480677915463195</c:v>
                </c:pt>
                <c:pt idx="5">
                  <c:v>1.4904689597154233</c:v>
                </c:pt>
                <c:pt idx="6">
                  <c:v>1.5294344523239138</c:v>
                </c:pt>
                <c:pt idx="7">
                  <c:v>1.5475074537777984</c:v>
                </c:pt>
                <c:pt idx="8">
                  <c:v>1.7772421994397172</c:v>
                </c:pt>
                <c:pt idx="9">
                  <c:v>1.6951263354634258</c:v>
                </c:pt>
                <c:pt idx="10">
                  <c:v>1.6321784584194605</c:v>
                </c:pt>
                <c:pt idx="11">
                  <c:v>1.6090048691339709</c:v>
                </c:pt>
                <c:pt idx="12">
                  <c:v>1.6060302554528956</c:v>
                </c:pt>
                <c:pt idx="13">
                  <c:v>1.6867190368361413</c:v>
                </c:pt>
                <c:pt idx="14">
                  <c:v>1.678484887889131</c:v>
                </c:pt>
                <c:pt idx="15">
                  <c:v>1.601954608561813</c:v>
                </c:pt>
                <c:pt idx="16" formatCode="General">
                  <c:v>1.7192063529999999</c:v>
                </c:pt>
                <c:pt idx="17" formatCode="General">
                  <c:v>1.584155443</c:v>
                </c:pt>
                <c:pt idx="18" formatCode="General">
                  <c:v>1.6813938349999999</c:v>
                </c:pt>
                <c:pt idx="19" formatCode="General">
                  <c:v>1.6983125750000001</c:v>
                </c:pt>
                <c:pt idx="20" formatCode="General">
                  <c:v>1.738761829</c:v>
                </c:pt>
                <c:pt idx="21" formatCode="General">
                  <c:v>1.624408437</c:v>
                </c:pt>
                <c:pt idx="22" formatCode="General">
                  <c:v>1.655708519</c:v>
                </c:pt>
                <c:pt idx="24" formatCode="General">
                  <c:v>1.680350877</c:v>
                </c:pt>
                <c:pt idx="25" formatCode="General">
                  <c:v>1.7011513680000001</c:v>
                </c:pt>
                <c:pt idx="27" formatCode="General">
                  <c:v>1.7352276259999999</c:v>
                </c:pt>
                <c:pt idx="29" formatCode="General">
                  <c:v>1.705817017</c:v>
                </c:pt>
                <c:pt idx="30" formatCode="General">
                  <c:v>1.555102102</c:v>
                </c:pt>
                <c:pt idx="31" formatCode="General">
                  <c:v>1.72366369</c:v>
                </c:pt>
              </c:numCache>
            </c:numRef>
          </c:xVal>
          <c:yVal>
            <c:numRef>
              <c:f>('TOF vs D. density'!$E$5:$E$12,'TOF vs D. density'!$E$14:$E$21,'TOF vs D. density'!$E$23:$E$38)</c:f>
              <c:numCache>
                <c:formatCode>General</c:formatCode>
                <c:ptCount val="32"/>
                <c:pt idx="0">
                  <c:v>1.3520135201360978E-3</c:v>
                </c:pt>
                <c:pt idx="1">
                  <c:v>1.3460134601345421E-3</c:v>
                </c:pt>
                <c:pt idx="2">
                  <c:v>1.2780127801285319E-3</c:v>
                </c:pt>
                <c:pt idx="3">
                  <c:v>1.2380123801243302E-3</c:v>
                </c:pt>
                <c:pt idx="4">
                  <c:v>1.8960189601884298E-3</c:v>
                </c:pt>
                <c:pt idx="5">
                  <c:v>1.83601836018994E-3</c:v>
                </c:pt>
                <c:pt idx="6">
                  <c:v>1.4240142401433782E-3</c:v>
                </c:pt>
                <c:pt idx="7">
                  <c:v>1.6520165201640679E-3</c:v>
                </c:pt>
                <c:pt idx="8">
                  <c:v>1.3240132401346459E-3</c:v>
                </c:pt>
                <c:pt idx="9">
                  <c:v>1.484014840148264E-3</c:v>
                </c:pt>
                <c:pt idx="10">
                  <c:v>1.5760157601505359E-3</c:v>
                </c:pt>
                <c:pt idx="11">
                  <c:v>1.686016860168494E-3</c:v>
                </c:pt>
                <c:pt idx="12">
                  <c:v>1.9700197001942142E-3</c:v>
                </c:pt>
                <c:pt idx="13">
                  <c:v>1.4060140601390699E-3</c:v>
                </c:pt>
                <c:pt idx="14">
                  <c:v>1.516015160152762E-3</c:v>
                </c:pt>
                <c:pt idx="15">
                  <c:v>1.455014550145075E-3</c:v>
                </c:pt>
                <c:pt idx="16">
                  <c:v>1.6211000000000001E-3</c:v>
                </c:pt>
                <c:pt idx="17">
                  <c:v>1.7334E-3</c:v>
                </c:pt>
                <c:pt idx="18">
                  <c:v>1.5820999999999999E-3</c:v>
                </c:pt>
                <c:pt idx="19">
                  <c:v>1.4258000000000001E-3</c:v>
                </c:pt>
                <c:pt idx="20">
                  <c:v>1.6161999999999999E-3</c:v>
                </c:pt>
                <c:pt idx="21">
                  <c:v>1.9434000000000001E-3</c:v>
                </c:pt>
                <c:pt idx="22">
                  <c:v>1.9688000000000002E-3</c:v>
                </c:pt>
                <c:pt idx="24">
                  <c:v>1.5938E-3</c:v>
                </c:pt>
                <c:pt idx="25">
                  <c:v>1.6094E-3</c:v>
                </c:pt>
                <c:pt idx="27">
                  <c:v>1.9189999999999999E-3</c:v>
                </c:pt>
                <c:pt idx="29">
                  <c:v>1.709E-3</c:v>
                </c:pt>
                <c:pt idx="30">
                  <c:v>1.6992999999999999E-3</c:v>
                </c:pt>
                <c:pt idx="31">
                  <c:v>1.4844000000000001E-3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8D-4764-97DE-3E9269E95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1099983"/>
        <c:axId val="1890668287"/>
      </c:scatterChart>
      <c:valAx>
        <c:axId val="1891099983"/>
        <c:scaling>
          <c:orientation val="minMax"/>
          <c:max val="1.8"/>
          <c:min val="1.4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8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Dry Density (g/</a:t>
                </a:r>
                <a:r>
                  <a:rPr lang="es-EC" sz="800" b="1" i="0" u="none" strike="noStrike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cm³</a:t>
                </a:r>
                <a:r>
                  <a:rPr lang="es-MX" sz="8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0.66609792596546902"/>
              <c:y val="0.7708870872073194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90668287"/>
        <c:crosses val="autoZero"/>
        <c:crossBetween val="midCat"/>
        <c:majorUnit val="0.05"/>
      </c:valAx>
      <c:valAx>
        <c:axId val="1890668287"/>
        <c:scaling>
          <c:orientation val="minMax"/>
          <c:max val="3.0000000000000001E-3"/>
          <c:min val="0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8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TOF (s)</a:t>
                </a:r>
              </a:p>
            </c:rich>
          </c:tx>
          <c:layout>
            <c:manualLayout>
              <c:xMode val="edge"/>
              <c:yMode val="edge"/>
              <c:x val="0.15001164248473756"/>
              <c:y val="4.1547644365580297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91099983"/>
        <c:crosses val="autoZero"/>
        <c:crossBetween val="midCat"/>
        <c:majorUnit val="5.0000000000000001E-4"/>
      </c:valAx>
    </c:plotArea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06228434928779"/>
          <c:y val="4.9773755656108594E-2"/>
          <c:w val="0.84871715473768039"/>
          <c:h val="0.81548658377448568"/>
        </c:manualLayout>
      </c:layout>
      <c:scatterChart>
        <c:scatterStyle val="lineMarker"/>
        <c:varyColors val="0"/>
        <c:ser>
          <c:idx val="2"/>
          <c:order val="0"/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trendline>
            <c:spPr>
              <a:ln>
                <a:solidFill>
                  <a:schemeClr val="accent1">
                    <a:lumMod val="75000"/>
                  </a:schemeClr>
                </a:solidFill>
              </a:ln>
            </c:spPr>
            <c:trendlineType val="linear"/>
            <c:dispRSqr val="1"/>
            <c:dispEq val="0"/>
            <c:trendlineLbl>
              <c:layout>
                <c:manualLayout>
                  <c:x val="-0.37774682870085241"/>
                  <c:y val="-0.25584381790470784"/>
                </c:manualLayout>
              </c:layout>
              <c:numFmt formatCode="General" sourceLinked="0"/>
            </c:trendlineLbl>
          </c:trendline>
          <c:xVal>
            <c:numRef>
              <c:f>'TOF vs D. density'!$F$5:$F$38</c:f>
              <c:numCache>
                <c:formatCode>General</c:formatCode>
                <c:ptCount val="34"/>
                <c:pt idx="0">
                  <c:v>0.21969692588820355</c:v>
                </c:pt>
                <c:pt idx="1">
                  <c:v>0.24643164274258125</c:v>
                </c:pt>
                <c:pt idx="2">
                  <c:v>0.22589541870439864</c:v>
                </c:pt>
                <c:pt idx="3">
                  <c:v>0.21705559665011087</c:v>
                </c:pt>
                <c:pt idx="4">
                  <c:v>0.17046059886584766</c:v>
                </c:pt>
                <c:pt idx="5">
                  <c:v>0.17332293591062867</c:v>
                </c:pt>
                <c:pt idx="6">
                  <c:v>0.18453086896108412</c:v>
                </c:pt>
                <c:pt idx="7">
                  <c:v>0.18963274953498022</c:v>
                </c:pt>
                <c:pt idx="9">
                  <c:v>0.24974661672628651</c:v>
                </c:pt>
                <c:pt idx="10">
                  <c:v>0.22920207112317759</c:v>
                </c:pt>
                <c:pt idx="11">
                  <c:v>0.21276764171541837</c:v>
                </c:pt>
                <c:pt idx="12">
                  <c:v>0.20655735835311007</c:v>
                </c:pt>
                <c:pt idx="13">
                  <c:v>0.20575372254445004</c:v>
                </c:pt>
                <c:pt idx="14">
                  <c:v>0.22704274654060919</c:v>
                </c:pt>
                <c:pt idx="15">
                  <c:v>0.22491743546433784</c:v>
                </c:pt>
                <c:pt idx="16">
                  <c:v>0.20465020617367738</c:v>
                </c:pt>
                <c:pt idx="18">
                  <c:v>0.23532800733898582</c:v>
                </c:pt>
                <c:pt idx="19">
                  <c:v>0.19979779387277841</c:v>
                </c:pt>
                <c:pt idx="20">
                  <c:v>0.22566945069956357</c:v>
                </c:pt>
                <c:pt idx="21">
                  <c:v>0.23001762530989792</c:v>
                </c:pt>
                <c:pt idx="22">
                  <c:v>0.24024009756628639</c:v>
                </c:pt>
                <c:pt idx="23">
                  <c:v>0.21069523650196156</c:v>
                </c:pt>
                <c:pt idx="24">
                  <c:v>0.21898388333537189</c:v>
                </c:pt>
                <c:pt idx="26">
                  <c:v>0.22539997698422029</c:v>
                </c:pt>
                <c:pt idx="27">
                  <c:v>0.23074295874035403</c:v>
                </c:pt>
                <c:pt idx="29">
                  <c:v>0.2393564533237082</c:v>
                </c:pt>
                <c:pt idx="31">
                  <c:v>0.23193244255874731</c:v>
                </c:pt>
                <c:pt idx="32">
                  <c:v>0.19175890839789564</c:v>
                </c:pt>
                <c:pt idx="33">
                  <c:v>0.23645253305181321</c:v>
                </c:pt>
              </c:numCache>
            </c:numRef>
          </c:xVal>
          <c:yVal>
            <c:numRef>
              <c:f>'TOF vs D. density'!$G$5:$G$38</c:f>
              <c:numCache>
                <c:formatCode>General</c:formatCode>
                <c:ptCount val="34"/>
                <c:pt idx="0">
                  <c:v>-2.8690189654275611</c:v>
                </c:pt>
                <c:pt idx="1">
                  <c:v>-2.8709505971455274</c:v>
                </c:pt>
                <c:pt idx="2">
                  <c:v>-2.8934648032108363</c:v>
                </c:pt>
                <c:pt idx="3">
                  <c:v>-2.9072750123491815</c:v>
                </c:pt>
                <c:pt idx="4">
                  <c:v>-2.722157324031687</c:v>
                </c:pt>
                <c:pt idx="5">
                  <c:v>-2.7361229801667433</c:v>
                </c:pt>
                <c:pt idx="6">
                  <c:v>-2.8464856677323307</c:v>
                </c:pt>
                <c:pt idx="7">
                  <c:v>-2.7819856140494008</c:v>
                </c:pt>
                <c:pt idx="9">
                  <c:v>-2.8781076719290488</c:v>
                </c:pt>
                <c:pt idx="10">
                  <c:v>-2.8285617560904979</c:v>
                </c:pt>
                <c:pt idx="11">
                  <c:v>-2.8024394438818767</c:v>
                </c:pt>
                <c:pt idx="12">
                  <c:v>-2.7731380867447704</c:v>
                </c:pt>
                <c:pt idx="13">
                  <c:v>-2.7055294308724878</c:v>
                </c:pt>
                <c:pt idx="14">
                  <c:v>-2.8520103363501339</c:v>
                </c:pt>
                <c:pt idx="15">
                  <c:v>-2.8192964557370987</c:v>
                </c:pt>
                <c:pt idx="16">
                  <c:v>-2.8371326637116674</c:v>
                </c:pt>
                <c:pt idx="18">
                  <c:v>-2.7901901942146208</c:v>
                </c:pt>
                <c:pt idx="19">
                  <c:v>-2.7611012077721595</c:v>
                </c:pt>
                <c:pt idx="20">
                  <c:v>-2.8007660694630983</c:v>
                </c:pt>
                <c:pt idx="21">
                  <c:v>-2.8459413896230292</c:v>
                </c:pt>
                <c:pt idx="22">
                  <c:v>-2.7915048975701628</c:v>
                </c:pt>
                <c:pt idx="23">
                  <c:v>-2.7114378016061793</c:v>
                </c:pt>
                <c:pt idx="24">
                  <c:v>-2.7057983993052539</c:v>
                </c:pt>
                <c:pt idx="26">
                  <c:v>-2.7975661775107672</c:v>
                </c:pt>
                <c:pt idx="27">
                  <c:v>-2.7933360030090642</c:v>
                </c:pt>
                <c:pt idx="29">
                  <c:v>-2.7169250252645285</c:v>
                </c:pt>
                <c:pt idx="31">
                  <c:v>-2.7672579372792629</c:v>
                </c:pt>
                <c:pt idx="32">
                  <c:v>-2.7697299425887953</c:v>
                </c:pt>
                <c:pt idx="33">
                  <c:v>-2.8284490543232543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A8-4027-8ACE-189AE82747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1099983"/>
        <c:axId val="1890668287"/>
      </c:scatterChart>
      <c:valAx>
        <c:axId val="18910999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8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Dry Density (g/</a:t>
                </a:r>
                <a:r>
                  <a:rPr lang="es-EC" sz="800" b="1" i="0" u="none" strike="noStrike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cm³</a:t>
                </a:r>
                <a:r>
                  <a:rPr lang="es-MX" sz="8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0.66609792596546902"/>
              <c:y val="0.7708870872073194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90668287"/>
        <c:crosses val="autoZero"/>
        <c:crossBetween val="midCat"/>
        <c:majorUnit val="0.05"/>
      </c:valAx>
      <c:valAx>
        <c:axId val="1890668287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8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TOF (s)</a:t>
                </a:r>
              </a:p>
            </c:rich>
          </c:tx>
          <c:layout>
            <c:manualLayout>
              <c:xMode val="edge"/>
              <c:yMode val="edge"/>
              <c:x val="0.15001164248473756"/>
              <c:y val="4.1547644365580297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91099983"/>
        <c:crosses val="autoZero"/>
        <c:crossBetween val="midCat"/>
        <c:majorUnit val="0.1"/>
      </c:valAx>
    </c:plotArea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chart" Target="../charts/chart11.xml"/><Relationship Id="rId4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220743</xdr:colOff>
      <xdr:row>3</xdr:row>
      <xdr:rowOff>3663</xdr:rowOff>
    </xdr:from>
    <xdr:to>
      <xdr:col>11</xdr:col>
      <xdr:colOff>172560</xdr:colOff>
      <xdr:row>13</xdr:row>
      <xdr:rowOff>105570</xdr:rowOff>
    </xdr:to>
    <xdr:graphicFrame macro="">
      <xdr:nvGraphicFramePr>
        <xdr:cNvPr id="2" name="Gráfico 3">
          <a:extLst>
            <a:ext uri="{FF2B5EF4-FFF2-40B4-BE49-F238E27FC236}">
              <a16:creationId xmlns:a16="http://schemas.microsoft.com/office/drawing/2014/main" id="{02FDC0F4-C4FB-4F9D-A351-56C7467171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127000</xdr:colOff>
      <xdr:row>14</xdr:row>
      <xdr:rowOff>165100</xdr:rowOff>
    </xdr:from>
    <xdr:to>
      <xdr:col>11</xdr:col>
      <xdr:colOff>78817</xdr:colOff>
      <xdr:row>25</xdr:row>
      <xdr:rowOff>63807</xdr:rowOff>
    </xdr:to>
    <xdr:graphicFrame macro="">
      <xdr:nvGraphicFramePr>
        <xdr:cNvPr id="3" name="Gráfico 1">
          <a:extLst>
            <a:ext uri="{FF2B5EF4-FFF2-40B4-BE49-F238E27FC236}">
              <a16:creationId xmlns:a16="http://schemas.microsoft.com/office/drawing/2014/main" id="{690A48E4-3741-4EFC-BEE2-8D42E8EB09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574175</xdr:colOff>
      <xdr:row>6</xdr:row>
      <xdr:rowOff>25043</xdr:rowOff>
    </xdr:from>
    <xdr:to>
      <xdr:col>12</xdr:col>
      <xdr:colOff>9096</xdr:colOff>
      <xdr:row>21</xdr:row>
      <xdr:rowOff>39170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CA88EA-AE46-B80E-C21E-6109EA93C7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395110</xdr:colOff>
      <xdr:row>6</xdr:row>
      <xdr:rowOff>118885</xdr:rowOff>
    </xdr:from>
    <xdr:to>
      <xdr:col>11</xdr:col>
      <xdr:colOff>480952</xdr:colOff>
      <xdr:row>21</xdr:row>
      <xdr:rowOff>128056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AE6C5B8-F33B-8D89-89D6-DF831B12FA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511968</xdr:colOff>
      <xdr:row>2</xdr:row>
      <xdr:rowOff>123825</xdr:rowOff>
    </xdr:from>
    <xdr:to>
      <xdr:col>9</xdr:col>
      <xdr:colOff>319944</xdr:colOff>
      <xdr:row>13</xdr:row>
      <xdr:rowOff>133292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E3E8B0-EAF3-41DB-84E0-90765BA301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18</xdr:row>
      <xdr:rowOff>0</xdr:rowOff>
    </xdr:from>
    <xdr:to>
      <xdr:col>9</xdr:col>
      <xdr:colOff>493776</xdr:colOff>
      <xdr:row>29</xdr:row>
      <xdr:rowOff>9467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BFFCDADC-92DA-0B47-855A-F6075529FD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132089</xdr:colOff>
      <xdr:row>68</xdr:row>
      <xdr:rowOff>34665</xdr:rowOff>
    </xdr:from>
    <xdr:to>
      <xdr:col>8</xdr:col>
      <xdr:colOff>219863</xdr:colOff>
      <xdr:row>84</xdr:row>
      <xdr:rowOff>107019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2C32926-FA96-4C32-A92A-B211008543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730" b="2400"/>
        <a:stretch/>
      </xdr:blipFill>
      <xdr:spPr>
        <a:xfrm>
          <a:off x="773195" y="7288319"/>
          <a:ext cx="4570752" cy="3003123"/>
        </a:xfrm>
        <a:prstGeom prst="rect">
          <a:avLst/>
        </a:prstGeom>
      </xdr:spPr>
    </xdr:pic>
    <xdr:clientData/>
  </xdr:twoCellAnchor>
  <xdr:twoCellAnchor>
    <xdr:from>
      <xdr:col>2</xdr:col>
      <xdr:colOff>458069</xdr:colOff>
      <xdr:row>75</xdr:row>
      <xdr:rowOff>116657</xdr:rowOff>
    </xdr:from>
    <xdr:to>
      <xdr:col>7</xdr:col>
      <xdr:colOff>562557</xdr:colOff>
      <xdr:row>75</xdr:row>
      <xdr:rowOff>132967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19E98E4-B501-42B6-B19A-DF1ACA4B0418}"/>
            </a:ext>
          </a:extLst>
        </xdr:cNvPr>
        <xdr:cNvCxnSpPr/>
      </xdr:nvCxnSpPr>
      <xdr:spPr>
        <a:xfrm flipV="1">
          <a:off x="1740281" y="8652522"/>
          <a:ext cx="3310016" cy="163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629943</xdr:colOff>
      <xdr:row>69</xdr:row>
      <xdr:rowOff>89507</xdr:rowOff>
    </xdr:from>
    <xdr:to>
      <xdr:col>4</xdr:col>
      <xdr:colOff>635823</xdr:colOff>
      <xdr:row>81</xdr:row>
      <xdr:rowOff>171822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C2FB90C-AF65-4517-9C28-4EAF00C65402}"/>
            </a:ext>
          </a:extLst>
        </xdr:cNvPr>
        <xdr:cNvCxnSpPr/>
      </xdr:nvCxnSpPr>
      <xdr:spPr>
        <a:xfrm flipV="1">
          <a:off x="3194366" y="7526334"/>
          <a:ext cx="5880" cy="228039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558679</xdr:colOff>
      <xdr:row>63</xdr:row>
      <xdr:rowOff>73269</xdr:rowOff>
    </xdr:from>
    <xdr:ext cx="1803827" cy="3524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7">
              <a:extLst>
                <a:ext uri="{FF2B5EF4-FFF2-40B4-BE49-F238E27FC236}">
                  <a16:creationId xmlns:a16="http://schemas.microsoft.com/office/drawing/2014/main" id="{46BB56B6-2A20-4A03-9CB7-5AF85F7E01EF}"/>
                </a:ext>
              </a:extLst>
            </xdr:cNvPr>
            <xdr:cNvSpPr txBox="1"/>
          </xdr:nvSpPr>
          <xdr:spPr>
            <a:xfrm>
              <a:off x="2481996" y="6411057"/>
              <a:ext cx="1803827" cy="3524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𝐸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𝑉𝑝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𝑝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∙(1+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𝑢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)(1−2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𝑢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(1−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𝑢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5" name="CuadroTexto 7">
              <a:extLst>
                <a:ext uri="{FF2B5EF4-FFF2-40B4-BE49-F238E27FC236}">
                  <a16:creationId xmlns:a16="http://schemas.microsoft.com/office/drawing/2014/main" id="{46BB56B6-2A20-4A03-9CB7-5AF85F7E01EF}"/>
                </a:ext>
              </a:extLst>
            </xdr:cNvPr>
            <xdr:cNvSpPr txBox="1"/>
          </xdr:nvSpPr>
          <xdr:spPr>
            <a:xfrm>
              <a:off x="2481996" y="6411057"/>
              <a:ext cx="1803827" cy="3524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𝐸=〖𝑉𝑝〗^2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∙(𝑝∙(1+𝑢)(1−2𝑢))/((1−𝑢))</a:t>
              </a:r>
              <a:endParaRPr lang="es-MX" sz="1100"/>
            </a:p>
          </xdr:txBody>
        </xdr:sp>
      </mc:Fallback>
    </mc:AlternateContent>
    <xdr:clientData/>
  </xdr:oneCellAnchor>
  <xdr:twoCellAnchor>
    <xdr:from>
      <xdr:col>28</xdr:col>
      <xdr:colOff>553909</xdr:colOff>
      <xdr:row>71</xdr:row>
      <xdr:rowOff>177129</xdr:rowOff>
    </xdr:from>
    <xdr:to>
      <xdr:col>33</xdr:col>
      <xdr:colOff>336485</xdr:colOff>
      <xdr:row>83</xdr:row>
      <xdr:rowOff>25407</xdr:rowOff>
    </xdr:to>
    <xdr:graphicFrame macro="">
      <xdr:nvGraphicFramePr>
        <xdr:cNvPr id="8" name="Gráfico 1">
          <a:extLst>
            <a:ext uri="{FF2B5EF4-FFF2-40B4-BE49-F238E27FC236}">
              <a16:creationId xmlns:a16="http://schemas.microsoft.com/office/drawing/2014/main" id="{E6104EAB-4B5F-8444-8342-31281C9D2C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529189</xdr:colOff>
      <xdr:row>74</xdr:row>
      <xdr:rowOff>147137</xdr:rowOff>
    </xdr:from>
    <xdr:to>
      <xdr:col>7</xdr:col>
      <xdr:colOff>633677</xdr:colOff>
      <xdr:row>74</xdr:row>
      <xdr:rowOff>163447</xdr:rowOff>
    </xdr:to>
    <xdr:cxnSp macro="">
      <xdr:nvCxnSpPr>
        <xdr:cNvPr id="10" name="Straight Connector 2">
          <a:extLst>
            <a:ext uri="{FF2B5EF4-FFF2-40B4-BE49-F238E27FC236}">
              <a16:creationId xmlns:a16="http://schemas.microsoft.com/office/drawing/2014/main" id="{E632F1B1-2A03-804F-A22E-BA1776031851}"/>
            </a:ext>
          </a:extLst>
        </xdr:cNvPr>
        <xdr:cNvCxnSpPr/>
      </xdr:nvCxnSpPr>
      <xdr:spPr>
        <a:xfrm flipV="1">
          <a:off x="1811401" y="8499829"/>
          <a:ext cx="3310016" cy="163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132089</xdr:colOff>
      <xdr:row>68</xdr:row>
      <xdr:rowOff>34665</xdr:rowOff>
    </xdr:from>
    <xdr:to>
      <xdr:col>8</xdr:col>
      <xdr:colOff>219863</xdr:colOff>
      <xdr:row>84</xdr:row>
      <xdr:rowOff>107019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E83CCD3-9261-4BD7-BEE7-8E7C470CCC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730" b="2400"/>
        <a:stretch/>
      </xdr:blipFill>
      <xdr:spPr>
        <a:xfrm>
          <a:off x="775027" y="7240328"/>
          <a:ext cx="4588336" cy="2967954"/>
        </a:xfrm>
        <a:prstGeom prst="rect">
          <a:avLst/>
        </a:prstGeom>
      </xdr:spPr>
    </xdr:pic>
    <xdr:clientData/>
  </xdr:twoCellAnchor>
  <xdr:twoCellAnchor>
    <xdr:from>
      <xdr:col>2</xdr:col>
      <xdr:colOff>458069</xdr:colOff>
      <xdr:row>75</xdr:row>
      <xdr:rowOff>116657</xdr:rowOff>
    </xdr:from>
    <xdr:to>
      <xdr:col>7</xdr:col>
      <xdr:colOff>562557</xdr:colOff>
      <xdr:row>75</xdr:row>
      <xdr:rowOff>132967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6F259DD-1145-44EE-9968-7F515E05DC55}"/>
            </a:ext>
          </a:extLst>
        </xdr:cNvPr>
        <xdr:cNvCxnSpPr/>
      </xdr:nvCxnSpPr>
      <xdr:spPr>
        <a:xfrm flipV="1">
          <a:off x="1743944" y="8589145"/>
          <a:ext cx="3319176" cy="163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629943</xdr:colOff>
      <xdr:row>69</xdr:row>
      <xdr:rowOff>89507</xdr:rowOff>
    </xdr:from>
    <xdr:to>
      <xdr:col>4</xdr:col>
      <xdr:colOff>635823</xdr:colOff>
      <xdr:row>81</xdr:row>
      <xdr:rowOff>171822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5B2DE8D-6F94-4109-8861-5BF77B08A101}"/>
            </a:ext>
          </a:extLst>
        </xdr:cNvPr>
        <xdr:cNvCxnSpPr/>
      </xdr:nvCxnSpPr>
      <xdr:spPr>
        <a:xfrm flipV="1">
          <a:off x="3201693" y="7476145"/>
          <a:ext cx="5880" cy="225401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558679</xdr:colOff>
      <xdr:row>63</xdr:row>
      <xdr:rowOff>73269</xdr:rowOff>
    </xdr:from>
    <xdr:ext cx="1803827" cy="3524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7">
              <a:extLst>
                <a:ext uri="{FF2B5EF4-FFF2-40B4-BE49-F238E27FC236}">
                  <a16:creationId xmlns:a16="http://schemas.microsoft.com/office/drawing/2014/main" id="{19DA1073-D682-4763-9ABA-F8CA2B2F3B53}"/>
                </a:ext>
              </a:extLst>
            </xdr:cNvPr>
            <xdr:cNvSpPr txBox="1"/>
          </xdr:nvSpPr>
          <xdr:spPr>
            <a:xfrm>
              <a:off x="2487492" y="6374057"/>
              <a:ext cx="1803827" cy="3524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𝐸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𝑉𝑝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𝑝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∙(1+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𝑢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)(1−2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𝑢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(1−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𝑢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5" name="CuadroTexto 7">
              <a:extLst>
                <a:ext uri="{FF2B5EF4-FFF2-40B4-BE49-F238E27FC236}">
                  <a16:creationId xmlns:a16="http://schemas.microsoft.com/office/drawing/2014/main" id="{19DA1073-D682-4763-9ABA-F8CA2B2F3B53}"/>
                </a:ext>
              </a:extLst>
            </xdr:cNvPr>
            <xdr:cNvSpPr txBox="1"/>
          </xdr:nvSpPr>
          <xdr:spPr>
            <a:xfrm>
              <a:off x="2487492" y="6374057"/>
              <a:ext cx="1803827" cy="3524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𝐸=〖𝑉𝑝〗^2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∙(𝑝∙(1+𝑢)(1−2𝑢))/((1−𝑢))</a:t>
              </a:r>
              <a:endParaRPr lang="es-MX" sz="1100"/>
            </a:p>
          </xdr:txBody>
        </xdr:sp>
      </mc:Fallback>
    </mc:AlternateContent>
    <xdr:clientData/>
  </xdr:oneCellAnchor>
  <xdr:twoCellAnchor>
    <xdr:from>
      <xdr:col>28</xdr:col>
      <xdr:colOff>553909</xdr:colOff>
      <xdr:row>71</xdr:row>
      <xdr:rowOff>177129</xdr:rowOff>
    </xdr:from>
    <xdr:to>
      <xdr:col>33</xdr:col>
      <xdr:colOff>336485</xdr:colOff>
      <xdr:row>83</xdr:row>
      <xdr:rowOff>25407</xdr:rowOff>
    </xdr:to>
    <xdr:graphicFrame macro="">
      <xdr:nvGraphicFramePr>
        <xdr:cNvPr id="6" name="Gráfico 1">
          <a:extLst>
            <a:ext uri="{FF2B5EF4-FFF2-40B4-BE49-F238E27FC236}">
              <a16:creationId xmlns:a16="http://schemas.microsoft.com/office/drawing/2014/main" id="{6CF35358-E48A-4CD4-BD60-62F9E4700D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529189</xdr:colOff>
      <xdr:row>74</xdr:row>
      <xdr:rowOff>147137</xdr:rowOff>
    </xdr:from>
    <xdr:to>
      <xdr:col>7</xdr:col>
      <xdr:colOff>633677</xdr:colOff>
      <xdr:row>74</xdr:row>
      <xdr:rowOff>163447</xdr:rowOff>
    </xdr:to>
    <xdr:cxnSp macro="">
      <xdr:nvCxnSpPr>
        <xdr:cNvPr id="7" name="Straight Connector 2">
          <a:extLst>
            <a:ext uri="{FF2B5EF4-FFF2-40B4-BE49-F238E27FC236}">
              <a16:creationId xmlns:a16="http://schemas.microsoft.com/office/drawing/2014/main" id="{E9F66644-68FF-416E-B676-1BF1DA729523}"/>
            </a:ext>
          </a:extLst>
        </xdr:cNvPr>
        <xdr:cNvCxnSpPr/>
      </xdr:nvCxnSpPr>
      <xdr:spPr>
        <a:xfrm flipV="1">
          <a:off x="1815064" y="8438650"/>
          <a:ext cx="3319176" cy="163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168565</xdr:colOff>
      <xdr:row>0</xdr:row>
      <xdr:rowOff>27878</xdr:rowOff>
    </xdr:from>
    <xdr:to>
      <xdr:col>32</xdr:col>
      <xdr:colOff>597841</xdr:colOff>
      <xdr:row>23</xdr:row>
      <xdr:rowOff>66438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7FB6BA-6432-41A1-886E-A55FCEAB9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81445" y="27878"/>
          <a:ext cx="3666705" cy="4265948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35</xdr:row>
      <xdr:rowOff>0</xdr:rowOff>
    </xdr:from>
    <xdr:to>
      <xdr:col>7</xdr:col>
      <xdr:colOff>884</xdr:colOff>
      <xdr:row>55</xdr:row>
      <xdr:rowOff>5661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FBB21A-D30B-D95C-C477-DD307240E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6982" y="6379953"/>
          <a:ext cx="4519081" cy="3600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12</xdr:col>
      <xdr:colOff>648323</xdr:colOff>
      <xdr:row>55</xdr:row>
      <xdr:rowOff>5661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1F9E025-B170-AC18-FCB7-6A6DCD384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66864" y="6379953"/>
          <a:ext cx="4377450" cy="3600000"/>
        </a:xfrm>
        <a:prstGeom prst="rect">
          <a:avLst/>
        </a:prstGeom>
      </xdr:spPr>
    </xdr:pic>
    <xdr:clientData/>
  </xdr:twoCellAnchor>
  <xdr:twoCellAnchor editAs="oneCell">
    <xdr:from>
      <xdr:col>12</xdr:col>
      <xdr:colOff>646981</xdr:colOff>
      <xdr:row>34</xdr:row>
      <xdr:rowOff>170732</xdr:rowOff>
    </xdr:from>
    <xdr:to>
      <xdr:col>19</xdr:col>
      <xdr:colOff>412628</xdr:colOff>
      <xdr:row>54</xdr:row>
      <xdr:rowOff>176393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50E6293-3EE5-D666-983E-DC2EEAA5F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42972" y="6370968"/>
          <a:ext cx="4429303" cy="3600000"/>
        </a:xfrm>
        <a:prstGeom prst="rect">
          <a:avLst/>
        </a:prstGeom>
      </xdr:spPr>
    </xdr:pic>
    <xdr:clientData/>
  </xdr:twoCellAnchor>
  <xdr:twoCellAnchor editAs="oneCell">
    <xdr:from>
      <xdr:col>19</xdr:col>
      <xdr:colOff>413349</xdr:colOff>
      <xdr:row>34</xdr:row>
      <xdr:rowOff>170730</xdr:rowOff>
    </xdr:from>
    <xdr:to>
      <xdr:col>26</xdr:col>
      <xdr:colOff>410287</xdr:colOff>
      <xdr:row>54</xdr:row>
      <xdr:rowOff>176391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469671B-D061-AD0D-8C31-76179B428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972996" y="6370966"/>
          <a:ext cx="4525806" cy="3600000"/>
        </a:xfrm>
        <a:prstGeom prst="rect">
          <a:avLst/>
        </a:prstGeom>
      </xdr:spPr>
    </xdr:pic>
    <xdr:clientData/>
  </xdr:twoCellAnchor>
  <xdr:twoCellAnchor editAs="oneCell">
    <xdr:from>
      <xdr:col>26</xdr:col>
      <xdr:colOff>413349</xdr:colOff>
      <xdr:row>35</xdr:row>
      <xdr:rowOff>1</xdr:rowOff>
    </xdr:from>
    <xdr:to>
      <xdr:col>33</xdr:col>
      <xdr:colOff>357603</xdr:colOff>
      <xdr:row>55</xdr:row>
      <xdr:rowOff>5662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6EC69BE-14D7-BFF6-E755-4C81530B4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478379" y="6440201"/>
          <a:ext cx="4490276" cy="3685775"/>
        </a:xfrm>
        <a:prstGeom prst="rect">
          <a:avLst/>
        </a:prstGeom>
      </xdr:spPr>
    </xdr:pic>
    <xdr:clientData/>
  </xdr:twoCellAnchor>
  <xdr:twoCellAnchor editAs="oneCell">
    <xdr:from>
      <xdr:col>33</xdr:col>
      <xdr:colOff>341463</xdr:colOff>
      <xdr:row>34</xdr:row>
      <xdr:rowOff>170731</xdr:rowOff>
    </xdr:from>
    <xdr:to>
      <xdr:col>40</xdr:col>
      <xdr:colOff>285419</xdr:colOff>
      <xdr:row>54</xdr:row>
      <xdr:rowOff>176392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493A09-37AF-7892-807A-E9832DCE5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952515" y="6426924"/>
          <a:ext cx="4489979" cy="3685775"/>
        </a:xfrm>
        <a:prstGeom prst="rect">
          <a:avLst/>
        </a:prstGeom>
      </xdr:spPr>
    </xdr:pic>
    <xdr:clientData/>
  </xdr:twoCellAnchor>
  <xdr:twoCellAnchor editAs="oneCell">
    <xdr:from>
      <xdr:col>40</xdr:col>
      <xdr:colOff>270596</xdr:colOff>
      <xdr:row>34</xdr:row>
      <xdr:rowOff>151535</xdr:rowOff>
    </xdr:from>
    <xdr:to>
      <xdr:col>47</xdr:col>
      <xdr:colOff>259142</xdr:colOff>
      <xdr:row>54</xdr:row>
      <xdr:rowOff>157821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E5D4AD7-5EAE-8829-FAA4-39387B910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427671" y="6407728"/>
          <a:ext cx="4534569" cy="36864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248707</xdr:colOff>
      <xdr:row>0</xdr:row>
      <xdr:rowOff>153457</xdr:rowOff>
    </xdr:from>
    <xdr:to>
      <xdr:col>21</xdr:col>
      <xdr:colOff>269874</xdr:colOff>
      <xdr:row>27</xdr:row>
      <xdr:rowOff>31748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4A3691-E553-4D74-A3C6-4936DEAAA9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287391</xdr:colOff>
      <xdr:row>29</xdr:row>
      <xdr:rowOff>16423</xdr:rowOff>
    </xdr:from>
    <xdr:to>
      <xdr:col>14</xdr:col>
      <xdr:colOff>171567</xdr:colOff>
      <xdr:row>40</xdr:row>
      <xdr:rowOff>50967</xdr:rowOff>
    </xdr:to>
    <xdr:graphicFrame macro="">
      <xdr:nvGraphicFramePr>
        <xdr:cNvPr id="3" name="Gráfico 1">
          <a:extLst>
            <a:ext uri="{FF2B5EF4-FFF2-40B4-BE49-F238E27FC236}">
              <a16:creationId xmlns:a16="http://schemas.microsoft.com/office/drawing/2014/main" id="{41A5E899-42E3-41AA-B9C6-C3BEF94955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528846</xdr:colOff>
      <xdr:row>50</xdr:row>
      <xdr:rowOff>61159</xdr:rowOff>
    </xdr:from>
    <xdr:to>
      <xdr:col>11</xdr:col>
      <xdr:colOff>473229</xdr:colOff>
      <xdr:row>61</xdr:row>
      <xdr:rowOff>149513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CFBC4F1E-CA3D-4435-A61E-F9B245619A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394566</xdr:colOff>
      <xdr:row>98</xdr:row>
      <xdr:rowOff>35256</xdr:rowOff>
    </xdr:from>
    <xdr:to>
      <xdr:col>5</xdr:col>
      <xdr:colOff>865</xdr:colOff>
      <xdr:row>115</xdr:row>
      <xdr:rowOff>160099</xdr:rowOff>
    </xdr:to>
    <xdr:pic>
      <xdr:nvPicPr>
        <xdr:cNvPr id="3" name="Imagen 4">
          <a:extLst>
            <a:ext uri="{FF2B5EF4-FFF2-40B4-BE49-F238E27FC236}">
              <a16:creationId xmlns:a16="http://schemas.microsoft.com/office/drawing/2014/main" id="{8D28BF77-13AC-4DEC-A972-0AFA672F7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9328" y="17813668"/>
          <a:ext cx="4954587" cy="3196656"/>
        </a:xfrm>
        <a:prstGeom prst="rect">
          <a:avLst/>
        </a:prstGeom>
      </xdr:spPr>
    </xdr:pic>
    <xdr:clientData/>
  </xdr:twoCellAnchor>
  <xdr:twoCellAnchor editAs="oneCell">
    <xdr:from>
      <xdr:col>12</xdr:col>
      <xdr:colOff>177800</xdr:colOff>
      <xdr:row>49</xdr:row>
      <xdr:rowOff>50800</xdr:rowOff>
    </xdr:from>
    <xdr:to>
      <xdr:col>15</xdr:col>
      <xdr:colOff>762000</xdr:colOff>
      <xdr:row>63</xdr:row>
      <xdr:rowOff>62</xdr:rowOff>
    </xdr:to>
    <xdr:pic>
      <xdr:nvPicPr>
        <xdr:cNvPr id="4" name="Imagen 1" descr="19 Intervalos de confianza | Manual de R">
          <a:extLst>
            <a:ext uri="{FF2B5EF4-FFF2-40B4-BE49-F238E27FC236}">
              <a16:creationId xmlns:a16="http://schemas.microsoft.com/office/drawing/2014/main" id="{EB469018-656E-44DB-B876-3D65A116BAD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381" r="50898"/>
        <a:stretch/>
      </xdr:blipFill>
      <xdr:spPr bwMode="auto">
        <a:xfrm>
          <a:off x="10936287" y="8961437"/>
          <a:ext cx="2894013" cy="247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563218</xdr:colOff>
      <xdr:row>64</xdr:row>
      <xdr:rowOff>1</xdr:rowOff>
    </xdr:from>
    <xdr:to>
      <xdr:col>11</xdr:col>
      <xdr:colOff>565274</xdr:colOff>
      <xdr:row>75</xdr:row>
      <xdr:rowOff>88355</xdr:rowOff>
    </xdr:to>
    <xdr:graphicFrame macro="">
      <xdr:nvGraphicFramePr>
        <xdr:cNvPr id="5" name="Gráfico 3">
          <a:extLst>
            <a:ext uri="{FF2B5EF4-FFF2-40B4-BE49-F238E27FC236}">
              <a16:creationId xmlns:a16="http://schemas.microsoft.com/office/drawing/2014/main" id="{310D4835-DC56-4219-BB26-85D3CC5E2B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305245</xdr:colOff>
      <xdr:row>4</xdr:row>
      <xdr:rowOff>39151</xdr:rowOff>
    </xdr:from>
    <xdr:to>
      <xdr:col>11</xdr:col>
      <xdr:colOff>241839</xdr:colOff>
      <xdr:row>15</xdr:row>
      <xdr:rowOff>61594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B98CB6B-BFED-47BF-8CB6-A21E13D90B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359513</xdr:colOff>
      <xdr:row>16</xdr:row>
      <xdr:rowOff>52690</xdr:rowOff>
    </xdr:from>
    <xdr:to>
      <xdr:col>11</xdr:col>
      <xdr:colOff>296107</xdr:colOff>
      <xdr:row>27</xdr:row>
      <xdr:rowOff>75133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3323AD5-DCFB-465C-BCDB-196DEF6CA7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30</xdr:row>
      <xdr:rowOff>0</xdr:rowOff>
    </xdr:from>
    <xdr:to>
      <xdr:col>13</xdr:col>
      <xdr:colOff>766327</xdr:colOff>
      <xdr:row>41</xdr:row>
      <xdr:rowOff>22444</xdr:rowOff>
    </xdr:to>
    <xdr:graphicFrame macro="">
      <xdr:nvGraphicFramePr>
        <xdr:cNvPr id="4" name="Gráfico 4">
          <a:extLst>
            <a:ext uri="{FF2B5EF4-FFF2-40B4-BE49-F238E27FC236}">
              <a16:creationId xmlns:a16="http://schemas.microsoft.com/office/drawing/2014/main" id="{EF078D0E-FAD2-44EC-B120-1202031FDD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ablo\Desktop\InvestigacionUSFQ\SSWCompleteAnalysis\SSW_CompleteProcessingSoilCermica.xlsx" TargetMode="External"/><Relationship Id="rId1" Type="http://schemas.openxmlformats.org/officeDocument/2006/relationships/externalLinkPath" Target="/Users/pablo/Desktop/InvestigacionUSFQ/SSWCompleteAnalysis/SSW_CompleteProcessingSoilCermic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ablo\Desktop\SSW_Complete_Graphs_Data.xlsx" TargetMode="External"/><Relationship Id="rId1" Type="http://schemas.openxmlformats.org/officeDocument/2006/relationships/externalLinkPath" Target="/Users/pablo/Desktop/SSW_Complete_Graphs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talleMediciones"/>
      <sheetName val="Mediciones"/>
      <sheetName val="CurvasCompactación"/>
    </sheetNames>
    <sheetDataSet>
      <sheetData sheetId="0" refreshError="1"/>
      <sheetData sheetId="1" refreshError="1">
        <row r="35">
          <cell r="I35">
            <v>0.11843409316154611</v>
          </cell>
          <cell r="J35">
            <v>1.6584291622044007</v>
          </cell>
        </row>
        <row r="36">
          <cell r="I36">
            <v>0.11805225653206648</v>
          </cell>
          <cell r="J36">
            <v>1.763728134637909</v>
          </cell>
        </row>
        <row r="37">
          <cell r="I37">
            <v>9.6678107984795758E-2</v>
          </cell>
          <cell r="J37">
            <v>1.6822689096024417</v>
          </cell>
        </row>
        <row r="38">
          <cell r="I38">
            <v>8.0713111267325499E-2</v>
          </cell>
          <cell r="J38">
            <v>1.6483733962172045</v>
          </cell>
        </row>
        <row r="49">
          <cell r="I49">
            <v>0.1430861723446894</v>
          </cell>
          <cell r="J49">
            <v>1.7772421994397172</v>
          </cell>
        </row>
        <row r="50">
          <cell r="I50">
            <v>0.17279256442754556</v>
          </cell>
          <cell r="J50">
            <v>1.6951263354634258</v>
          </cell>
        </row>
        <row r="51">
          <cell r="I51">
            <v>0.1863437537080784</v>
          </cell>
          <cell r="J51">
            <v>1.6321784584194605</v>
          </cell>
        </row>
        <row r="54">
          <cell r="I54">
            <v>0.13297332509443671</v>
          </cell>
          <cell r="J54">
            <v>1.6867190368361413</v>
          </cell>
        </row>
        <row r="55">
          <cell r="I55">
            <v>0.15578764142732804</v>
          </cell>
          <cell r="J55">
            <v>1.678484887889131</v>
          </cell>
        </row>
        <row r="56">
          <cell r="I56">
            <v>0.16935064935064942</v>
          </cell>
          <cell r="J56">
            <v>1.601954608561813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 vs K"/>
      <sheetName val="SawBones_TOF"/>
      <sheetName val="SawBown_Calibration"/>
      <sheetName val="SSW_CalibrationCurve"/>
      <sheetName val="ConPlaca#1"/>
      <sheetName val="SinPlaca#1 "/>
      <sheetName val="Mediciones"/>
      <sheetName val="TOF vs D. density"/>
      <sheetName val="TOF vs density (LC)"/>
      <sheetName val="CurvasCompactació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5">
          <cell r="B35" t="str">
            <v>M1 - Mod</v>
          </cell>
          <cell r="H35">
            <v>1.8548437161027418</v>
          </cell>
          <cell r="J35">
            <v>1.6584291622044007</v>
          </cell>
          <cell r="AK35">
            <v>1.3520135201360978E-3</v>
          </cell>
        </row>
        <row r="36">
          <cell r="B36" t="str">
            <v>M1 - Mod</v>
          </cell>
          <cell r="H36">
            <v>1.9719402208410066</v>
          </cell>
          <cell r="J36">
            <v>1.763728134637909</v>
          </cell>
          <cell r="AK36">
            <v>1.3460134601345421E-3</v>
          </cell>
        </row>
        <row r="37">
          <cell r="B37" t="str">
            <v>M2 - Mod</v>
          </cell>
          <cell r="H37">
            <v>1.8449074849044513</v>
          </cell>
          <cell r="J37">
            <v>1.6822689096024417</v>
          </cell>
          <cell r="AK37">
            <v>1.2780127801285319E-3</v>
          </cell>
        </row>
        <row r="38">
          <cell r="B38" t="str">
            <v>M3 - Mod</v>
          </cell>
          <cell r="H38">
            <v>1.7814187415561826</v>
          </cell>
          <cell r="J38">
            <v>1.6483733962172045</v>
          </cell>
          <cell r="AK38">
            <v>1.2380123801243302E-3</v>
          </cell>
        </row>
        <row r="39">
          <cell r="B39" t="str">
            <v>M1 - Est</v>
          </cell>
          <cell r="H39">
            <v>1.6522742875839982</v>
          </cell>
          <cell r="J39">
            <v>1.480677915463195</v>
          </cell>
          <cell r="AK39">
            <v>1.8960189601884298E-3</v>
          </cell>
        </row>
        <row r="40">
          <cell r="B40" t="str">
            <v>M2 - Est</v>
          </cell>
          <cell r="H40">
            <v>1.6910926798682204</v>
          </cell>
          <cell r="J40">
            <v>1.4904689597154233</v>
          </cell>
          <cell r="AK40">
            <v>1.83601836018994E-3</v>
          </cell>
        </row>
        <row r="41">
          <cell r="B41" t="str">
            <v>M3 - Est</v>
          </cell>
          <cell r="H41">
            <v>1.7439839744061931</v>
          </cell>
          <cell r="J41">
            <v>1.5294344523239138</v>
          </cell>
          <cell r="AK41">
            <v>1.4240142401433782E-3</v>
          </cell>
        </row>
        <row r="42">
          <cell r="B42" t="str">
            <v>M4 - Est</v>
          </cell>
          <cell r="H42">
            <v>1.7820623952024157</v>
          </cell>
          <cell r="J42">
            <v>1.5475074537777984</v>
          </cell>
          <cell r="AK42">
            <v>1.6520165201640679E-3</v>
          </cell>
        </row>
        <row r="49">
          <cell r="B49" t="str">
            <v>M4 - Mod</v>
          </cell>
          <cell r="H49">
            <v>2.0315409830870035</v>
          </cell>
          <cell r="J49">
            <v>1.7772421994397172</v>
          </cell>
          <cell r="AK49">
            <v>1.3240132401346459E-3</v>
          </cell>
        </row>
        <row r="50">
          <cell r="B50" t="str">
            <v>M5 - Mod</v>
          </cell>
          <cell r="H50">
            <v>1.9880315619968192</v>
          </cell>
          <cell r="J50">
            <v>1.6951263354634258</v>
          </cell>
          <cell r="AK50">
            <v>1.484014840148264E-3</v>
          </cell>
        </row>
        <row r="51">
          <cell r="B51" t="str">
            <v>M6 - Mod</v>
          </cell>
          <cell r="H51">
            <v>1.9363247190828075</v>
          </cell>
          <cell r="J51">
            <v>1.6321784584194605</v>
          </cell>
          <cell r="AK51">
            <v>1.5760157601505359E-3</v>
          </cell>
        </row>
        <row r="52">
          <cell r="B52" t="str">
            <v>M5 - Est</v>
          </cell>
          <cell r="H52">
            <v>1.8753921739061294</v>
          </cell>
          <cell r="J52">
            <v>1.6090048691339709</v>
          </cell>
          <cell r="AK52">
            <v>1.686016860168494E-3</v>
          </cell>
        </row>
        <row r="53">
          <cell r="B53" t="str">
            <v>M6 - Est</v>
          </cell>
          <cell r="H53">
            <v>1.9187315194191186</v>
          </cell>
          <cell r="J53">
            <v>1.6060302554528956</v>
          </cell>
          <cell r="AK53">
            <v>1.9700197001942142E-3</v>
          </cell>
        </row>
        <row r="54">
          <cell r="B54" t="str">
            <v>M2 - Mod</v>
          </cell>
          <cell r="H54">
            <v>1.9110076756643286</v>
          </cell>
          <cell r="J54">
            <v>1.6867190368361413</v>
          </cell>
          <cell r="AK54">
            <v>1.4060140601390699E-3</v>
          </cell>
        </row>
        <row r="55">
          <cell r="B55" t="str">
            <v>M3 - Mod</v>
          </cell>
          <cell r="H55">
            <v>1.9399720897447918</v>
          </cell>
          <cell r="J55">
            <v>1.678484887889131</v>
          </cell>
          <cell r="AK55">
            <v>1.516015160152762E-3</v>
          </cell>
        </row>
        <row r="56">
          <cell r="B56" t="str">
            <v>M4 - Mod</v>
          </cell>
          <cell r="H56">
            <v>1.8732466617520214</v>
          </cell>
          <cell r="J56">
            <v>1.601954608561813</v>
          </cell>
          <cell r="AK56">
            <v>1.455014550145075E-3</v>
          </cell>
        </row>
      </sheetData>
      <sheetData sheetId="7">
        <row r="5">
          <cell r="C5">
            <v>1.8548437161027418</v>
          </cell>
        </row>
      </sheetData>
      <sheetData sheetId="8">
        <row r="5">
          <cell r="C5">
            <v>1.6584291622044007</v>
          </cell>
        </row>
      </sheetData>
      <sheetData sheetId="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EAD91-9997-4F2A-98C3-37FFEEA6231A}">
  <dimension ref="B2:O33"/>
  <sheetViews>
    <sheetView zoomScale="58" zoomScaleNormal="135" workbookViewId="0">
      <selection activeCell="N15" sqref="N15:O22"/>
    </sheetView>
  </sheetViews>
  <sheetFormatPr defaultColWidth="11.6640625" defaultRowHeight="15.75" x14ac:dyDescent="0.5"/>
  <cols>
    <col min="1" max="16384" width="11.6640625" style="1"/>
  </cols>
  <sheetData>
    <row r="2" spans="2:15" x14ac:dyDescent="0.5">
      <c r="E2" s="140" t="s">
        <v>0</v>
      </c>
      <c r="F2" s="141"/>
      <c r="N2" s="143" t="s">
        <v>23</v>
      </c>
      <c r="O2" s="143"/>
    </row>
    <row r="3" spans="2:15" x14ac:dyDescent="0.5">
      <c r="B3" s="2" t="s">
        <v>1</v>
      </c>
      <c r="C3" s="2" t="s">
        <v>2</v>
      </c>
      <c r="E3" s="3" t="s">
        <v>1</v>
      </c>
      <c r="F3" s="3" t="s">
        <v>2</v>
      </c>
      <c r="N3" s="3" t="s">
        <v>1</v>
      </c>
      <c r="O3" s="3" t="s">
        <v>2</v>
      </c>
    </row>
    <row r="4" spans="2:15" x14ac:dyDescent="0.5">
      <c r="B4" s="3">
        <v>10</v>
      </c>
      <c r="C4" s="3">
        <v>1.4008761139878505</v>
      </c>
      <c r="E4" s="3">
        <v>10</v>
      </c>
      <c r="F4" s="3">
        <v>1.4007381733822328</v>
      </c>
      <c r="N4" s="3">
        <v>10000000</v>
      </c>
      <c r="O4" s="3">
        <v>1.4007381733822328</v>
      </c>
    </row>
    <row r="5" spans="2:15" x14ac:dyDescent="0.5">
      <c r="B5" s="3">
        <v>40</v>
      </c>
      <c r="C5" s="3">
        <v>1.2140668286409155</v>
      </c>
      <c r="E5" s="3">
        <v>40</v>
      </c>
      <c r="F5" s="3">
        <v>1.2140668286409155</v>
      </c>
      <c r="N5" s="3">
        <v>40000000</v>
      </c>
      <c r="O5" s="3">
        <v>1.2140668286409155</v>
      </c>
    </row>
    <row r="6" spans="2:15" x14ac:dyDescent="0.5">
      <c r="B6" s="3">
        <v>100</v>
      </c>
      <c r="C6" s="3">
        <v>1.1364514797140099</v>
      </c>
      <c r="E6" s="3">
        <v>100</v>
      </c>
      <c r="F6" s="3">
        <v>1.1177048296059127</v>
      </c>
      <c r="N6" s="3">
        <v>100000000</v>
      </c>
      <c r="O6" s="3">
        <v>1.1177048296059127</v>
      </c>
    </row>
    <row r="7" spans="2:15" x14ac:dyDescent="0.5">
      <c r="B7" s="3">
        <v>200</v>
      </c>
      <c r="C7" s="4">
        <v>1.1021356095449999</v>
      </c>
      <c r="E7" s="3">
        <v>200</v>
      </c>
      <c r="F7" s="3">
        <v>1.0909213561826436</v>
      </c>
      <c r="N7" s="3">
        <v>200000000</v>
      </c>
      <c r="O7" s="3">
        <v>1.0909213561826436</v>
      </c>
    </row>
    <row r="8" spans="2:15" x14ac:dyDescent="0.5">
      <c r="B8" s="3">
        <v>300</v>
      </c>
      <c r="C8" s="4">
        <v>1.0895843774985536</v>
      </c>
      <c r="E8" s="3">
        <v>300</v>
      </c>
      <c r="F8" s="3">
        <v>1.08058437749855</v>
      </c>
      <c r="N8" s="3">
        <v>300000000</v>
      </c>
      <c r="O8" s="3">
        <v>1.08058437749855</v>
      </c>
    </row>
    <row r="9" spans="2:15" x14ac:dyDescent="0.5">
      <c r="B9" s="3">
        <v>500</v>
      </c>
      <c r="C9" s="4">
        <v>1.0619149270978936</v>
      </c>
      <c r="E9" s="3">
        <v>500</v>
      </c>
      <c r="F9" s="3">
        <v>1.0723113034395499</v>
      </c>
      <c r="N9" s="3">
        <v>500000000</v>
      </c>
      <c r="O9" s="3">
        <v>1.0723113034395499</v>
      </c>
    </row>
    <row r="10" spans="2:15" x14ac:dyDescent="0.5">
      <c r="E10" s="3">
        <v>700</v>
      </c>
      <c r="F10" s="3">
        <v>1.0694334868948585</v>
      </c>
      <c r="L10" s="5"/>
      <c r="N10" s="3">
        <v>700000000</v>
      </c>
      <c r="O10" s="3">
        <v>1.0694334868948585</v>
      </c>
    </row>
    <row r="11" spans="2:15" x14ac:dyDescent="0.5">
      <c r="E11" s="3">
        <v>1000</v>
      </c>
      <c r="F11" s="3">
        <v>1.0629208338167233</v>
      </c>
      <c r="L11" s="5"/>
      <c r="N11" s="3">
        <v>1000000000</v>
      </c>
      <c r="O11" s="3">
        <v>1.0629208338167233</v>
      </c>
    </row>
    <row r="12" spans="2:15" x14ac:dyDescent="0.5">
      <c r="B12" s="3" t="s">
        <v>1</v>
      </c>
      <c r="C12" s="3" t="s">
        <v>2</v>
      </c>
      <c r="L12" s="5"/>
    </row>
    <row r="13" spans="2:15" x14ac:dyDescent="0.5">
      <c r="B13" s="3">
        <v>10</v>
      </c>
      <c r="C13" s="3">
        <v>1.3259736795022041</v>
      </c>
      <c r="E13" s="140" t="s">
        <v>3</v>
      </c>
      <c r="F13" s="141"/>
      <c r="L13" s="5"/>
      <c r="N13" s="143" t="s">
        <v>24</v>
      </c>
      <c r="O13" s="143"/>
    </row>
    <row r="14" spans="2:15" x14ac:dyDescent="0.5">
      <c r="B14" s="3">
        <v>40</v>
      </c>
      <c r="C14" s="3">
        <v>1.1531017802399695</v>
      </c>
      <c r="E14" s="3" t="s">
        <v>1</v>
      </c>
      <c r="F14" s="3" t="s">
        <v>2</v>
      </c>
      <c r="L14" s="5"/>
      <c r="N14" s="3" t="s">
        <v>1</v>
      </c>
      <c r="O14" s="3" t="s">
        <v>2</v>
      </c>
    </row>
    <row r="15" spans="2:15" x14ac:dyDescent="0.5">
      <c r="B15" s="3">
        <v>100</v>
      </c>
      <c r="C15" s="3">
        <v>1.0971813204036651</v>
      </c>
      <c r="E15" s="3">
        <v>10</v>
      </c>
      <c r="F15" s="3">
        <v>1.3259736795022041</v>
      </c>
      <c r="L15" s="5"/>
      <c r="N15" s="3">
        <v>10000000</v>
      </c>
      <c r="O15" s="3">
        <v>1.3259736795022041</v>
      </c>
    </row>
    <row r="16" spans="2:15" x14ac:dyDescent="0.5">
      <c r="B16" s="3">
        <v>200</v>
      </c>
      <c r="C16" s="3">
        <v>1.0655488819535901</v>
      </c>
      <c r="E16" s="3">
        <v>40</v>
      </c>
      <c r="F16" s="3">
        <v>1.1531017802399695</v>
      </c>
      <c r="L16" s="5"/>
      <c r="N16" s="3">
        <v>40000000</v>
      </c>
      <c r="O16" s="3">
        <v>1.1531017802399695</v>
      </c>
    </row>
    <row r="17" spans="2:15" x14ac:dyDescent="0.5">
      <c r="B17" s="3">
        <v>300</v>
      </c>
      <c r="C17" s="3">
        <v>1.0484829598242356</v>
      </c>
      <c r="E17" s="3">
        <v>100</v>
      </c>
      <c r="F17" s="3">
        <v>1.0821813204036701</v>
      </c>
      <c r="L17" s="5"/>
      <c r="N17" s="3">
        <v>100000000</v>
      </c>
      <c r="O17" s="3">
        <v>1.0821813204036701</v>
      </c>
    </row>
    <row r="18" spans="2:15" x14ac:dyDescent="0.5">
      <c r="B18" s="3">
        <v>500</v>
      </c>
      <c r="C18" s="3">
        <v>1.0242471957523509</v>
      </c>
      <c r="E18" s="3">
        <v>200</v>
      </c>
      <c r="F18" s="3">
        <v>1.05394888195359</v>
      </c>
      <c r="L18" s="5"/>
      <c r="N18" s="3">
        <v>200000000</v>
      </c>
      <c r="O18" s="3">
        <v>1.05394888195359</v>
      </c>
    </row>
    <row r="19" spans="2:15" x14ac:dyDescent="0.5">
      <c r="E19" s="3">
        <v>300</v>
      </c>
      <c r="F19" s="3">
        <v>1.0434829598242401</v>
      </c>
      <c r="L19" s="5"/>
      <c r="N19" s="3">
        <v>300000000</v>
      </c>
      <c r="O19" s="3">
        <v>1.0434829598242401</v>
      </c>
    </row>
    <row r="20" spans="2:15" x14ac:dyDescent="0.5">
      <c r="E20" s="3">
        <v>500</v>
      </c>
      <c r="F20" s="3">
        <v>1.0350255733857601</v>
      </c>
      <c r="N20" s="3">
        <v>500000000</v>
      </c>
      <c r="O20" s="3">
        <v>1.0350255733857601</v>
      </c>
    </row>
    <row r="21" spans="2:15" x14ac:dyDescent="0.5">
      <c r="B21" s="3" t="s">
        <v>1</v>
      </c>
      <c r="C21" s="3" t="s">
        <v>2</v>
      </c>
      <c r="E21" s="3">
        <v>700</v>
      </c>
      <c r="F21" s="3">
        <v>1.0306193761935976</v>
      </c>
      <c r="N21" s="3">
        <v>700000000</v>
      </c>
      <c r="O21" s="3">
        <v>1.0306193761935976</v>
      </c>
    </row>
    <row r="22" spans="2:15" x14ac:dyDescent="0.5">
      <c r="B22" s="3">
        <v>10</v>
      </c>
      <c r="C22" s="3">
        <v>1.2535678601649396</v>
      </c>
      <c r="E22" s="3">
        <v>1000</v>
      </c>
      <c r="F22" s="3">
        <v>1.0245285302824279</v>
      </c>
      <c r="N22" s="3">
        <v>1000000000</v>
      </c>
      <c r="O22" s="3">
        <v>1.0245285302824279</v>
      </c>
    </row>
    <row r="23" spans="2:15" x14ac:dyDescent="0.5">
      <c r="B23" s="3">
        <v>40</v>
      </c>
      <c r="C23" s="3">
        <v>1.0971579631994441</v>
      </c>
    </row>
    <row r="24" spans="2:15" x14ac:dyDescent="0.5">
      <c r="B24" s="3">
        <v>100</v>
      </c>
      <c r="C24" s="3">
        <v>1.044067031509573</v>
      </c>
      <c r="E24" s="142" t="s">
        <v>4</v>
      </c>
      <c r="F24" s="142"/>
      <c r="N24" s="143" t="s">
        <v>25</v>
      </c>
      <c r="O24" s="143"/>
    </row>
    <row r="25" spans="2:15" x14ac:dyDescent="0.5">
      <c r="B25" s="3">
        <v>200</v>
      </c>
      <c r="C25" s="3">
        <v>1.0178564010016986</v>
      </c>
      <c r="E25" s="3" t="s">
        <v>1</v>
      </c>
      <c r="F25" s="3" t="s">
        <v>2</v>
      </c>
      <c r="N25" s="3" t="s">
        <v>1</v>
      </c>
      <c r="O25" s="3" t="s">
        <v>2</v>
      </c>
    </row>
    <row r="26" spans="2:15" x14ac:dyDescent="0.5">
      <c r="B26" s="3">
        <v>300</v>
      </c>
      <c r="C26" s="3">
        <v>1.0079754145139397</v>
      </c>
      <c r="E26" s="3">
        <v>10</v>
      </c>
      <c r="F26" s="3">
        <v>1.2535678601649396</v>
      </c>
      <c r="N26" s="3">
        <v>10000000</v>
      </c>
      <c r="O26" s="3">
        <v>1.2535678601649396</v>
      </c>
    </row>
    <row r="27" spans="2:15" x14ac:dyDescent="0.5">
      <c r="B27" s="3">
        <v>500</v>
      </c>
      <c r="C27" s="3">
        <v>0.98769792542820101</v>
      </c>
      <c r="E27" s="3">
        <v>40</v>
      </c>
      <c r="F27" s="3">
        <v>1.0971579631994441</v>
      </c>
      <c r="N27" s="3">
        <v>40000000</v>
      </c>
      <c r="O27" s="3">
        <v>1.0971579631994441</v>
      </c>
    </row>
    <row r="28" spans="2:15" x14ac:dyDescent="0.5">
      <c r="E28" s="3">
        <v>100</v>
      </c>
      <c r="F28" s="3">
        <v>1.0400670315095699</v>
      </c>
      <c r="N28" s="3">
        <v>100000000</v>
      </c>
      <c r="O28" s="3">
        <v>1.0400670315095699</v>
      </c>
    </row>
    <row r="29" spans="2:15" x14ac:dyDescent="0.5">
      <c r="E29" s="3">
        <v>200</v>
      </c>
      <c r="F29" s="3">
        <v>1.0169791360217704</v>
      </c>
      <c r="N29" s="3">
        <v>200000000</v>
      </c>
      <c r="O29" s="3">
        <v>1.0169791360217704</v>
      </c>
    </row>
    <row r="30" spans="2:15" x14ac:dyDescent="0.5">
      <c r="E30" s="3">
        <v>300</v>
      </c>
      <c r="F30" s="3">
        <v>1.00942182278415</v>
      </c>
      <c r="N30" s="3">
        <v>300000000</v>
      </c>
      <c r="O30" s="3">
        <v>1.00942182278415</v>
      </c>
    </row>
    <row r="31" spans="2:15" x14ac:dyDescent="0.5">
      <c r="E31" s="3">
        <v>500</v>
      </c>
      <c r="F31" s="3">
        <v>0.99776030496475798</v>
      </c>
      <c r="N31" s="3">
        <v>500000000</v>
      </c>
      <c r="O31" s="3">
        <v>0.99776030496475798</v>
      </c>
    </row>
    <row r="32" spans="2:15" x14ac:dyDescent="0.5">
      <c r="E32" s="3">
        <v>700</v>
      </c>
      <c r="F32" s="3">
        <v>0.98765618756805007</v>
      </c>
      <c r="N32" s="3">
        <v>700000000</v>
      </c>
      <c r="O32" s="3">
        <v>0.98765618756805007</v>
      </c>
    </row>
    <row r="33" spans="5:15" x14ac:dyDescent="0.5">
      <c r="E33" s="3">
        <v>1000</v>
      </c>
      <c r="F33" s="3">
        <v>0.97950536977613056</v>
      </c>
      <c r="N33" s="3">
        <v>1000000000</v>
      </c>
      <c r="O33" s="3">
        <v>0.97950536977613056</v>
      </c>
    </row>
  </sheetData>
  <mergeCells count="6">
    <mergeCell ref="E2:F2"/>
    <mergeCell ref="E13:F13"/>
    <mergeCell ref="E24:F24"/>
    <mergeCell ref="N2:O2"/>
    <mergeCell ref="N13:O13"/>
    <mergeCell ref="N24:O2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F56E5-78E9-483C-9F55-92B020B67876}">
  <dimension ref="B2:M22"/>
  <sheetViews>
    <sheetView zoomScale="115" zoomScaleNormal="115" workbookViewId="0">
      <selection activeCell="A26" sqref="A26"/>
    </sheetView>
  </sheetViews>
  <sheetFormatPr defaultColWidth="9" defaultRowHeight="14.25" x14ac:dyDescent="0.45"/>
  <cols>
    <col min="1" max="6" width="9" style="6"/>
    <col min="7" max="13" width="10.1328125" style="6" customWidth="1"/>
    <col min="14" max="16384" width="9" style="6"/>
  </cols>
  <sheetData>
    <row r="2" spans="2:13" x14ac:dyDescent="0.45">
      <c r="C2" s="7" t="s">
        <v>7</v>
      </c>
      <c r="G2" s="144" t="s">
        <v>16</v>
      </c>
      <c r="H2" s="144"/>
      <c r="I2" s="144"/>
      <c r="J2" s="144"/>
      <c r="K2" s="144"/>
      <c r="L2" s="144"/>
      <c r="M2" s="144"/>
    </row>
    <row r="3" spans="2:13" x14ac:dyDescent="0.45">
      <c r="B3" s="11" t="s">
        <v>5</v>
      </c>
      <c r="C3" s="11" t="s">
        <v>6</v>
      </c>
      <c r="D3" s="11" t="s">
        <v>8</v>
      </c>
      <c r="G3" s="11" t="s">
        <v>9</v>
      </c>
      <c r="H3" s="11" t="s">
        <v>10</v>
      </c>
      <c r="I3" s="11" t="s">
        <v>11</v>
      </c>
      <c r="J3" s="11" t="s">
        <v>12</v>
      </c>
      <c r="K3" s="11" t="s">
        <v>13</v>
      </c>
      <c r="L3" s="11" t="s">
        <v>14</v>
      </c>
      <c r="M3" s="11" t="s">
        <v>15</v>
      </c>
    </row>
    <row r="4" spans="2:13" x14ac:dyDescent="0.45">
      <c r="B4" s="9">
        <v>5</v>
      </c>
      <c r="C4" s="10">
        <v>16</v>
      </c>
      <c r="D4" s="8">
        <f>G21</f>
        <v>1.97269477919804E-3</v>
      </c>
      <c r="G4" s="8">
        <v>1.93363151624482E-3</v>
      </c>
      <c r="H4" s="8">
        <v>1.77737846442305E-3</v>
      </c>
      <c r="I4" s="8">
        <v>1.73831520146805E-3</v>
      </c>
      <c r="J4" s="8">
        <v>1.5820621496516201E-3</v>
      </c>
      <c r="K4" s="8">
        <v>1.46487236078663E-3</v>
      </c>
      <c r="L4" s="8">
        <v>1.30861930897197E-3</v>
      </c>
      <c r="M4" s="8">
        <v>1.15236625715376E-3</v>
      </c>
    </row>
    <row r="5" spans="2:13" x14ac:dyDescent="0.45">
      <c r="B5" s="9">
        <v>8</v>
      </c>
      <c r="C5" s="9">
        <v>38</v>
      </c>
      <c r="D5" s="8">
        <f>H20</f>
        <v>1.75784683294467E-3</v>
      </c>
      <c r="G5" s="8">
        <v>1.97269477919804E-3</v>
      </c>
      <c r="H5" s="8">
        <v>1.7578468329482199E-3</v>
      </c>
      <c r="I5" s="8">
        <v>1.6601886755616101E-3</v>
      </c>
      <c r="J5" s="8">
        <v>1.5429988866912899E-3</v>
      </c>
      <c r="K5" s="8">
        <v>1.44534072931179E-3</v>
      </c>
      <c r="L5" s="8">
        <v>1.30861930897197E-3</v>
      </c>
      <c r="M5" s="8">
        <v>1.15236625715198E-3</v>
      </c>
    </row>
    <row r="6" spans="2:13" x14ac:dyDescent="0.45">
      <c r="B6" s="9">
        <v>10</v>
      </c>
      <c r="C6" s="9">
        <v>58</v>
      </c>
      <c r="D6" s="8">
        <f>I21</f>
        <v>1.62112541260484E-3</v>
      </c>
      <c r="G6" s="8">
        <v>1.91409988475755E-3</v>
      </c>
      <c r="H6" s="8">
        <v>1.6992519385183901E-3</v>
      </c>
      <c r="I6" s="8">
        <v>1.67972030703467E-3</v>
      </c>
      <c r="J6" s="8">
        <v>1.5429988866912899E-3</v>
      </c>
      <c r="K6" s="8">
        <v>1.44534072930469E-3</v>
      </c>
      <c r="L6" s="8">
        <v>1.28908767749181E-3</v>
      </c>
      <c r="M6" s="8">
        <v>1.1328346256753699E-3</v>
      </c>
    </row>
    <row r="7" spans="2:13" x14ac:dyDescent="0.45">
      <c r="B7" s="9">
        <v>12</v>
      </c>
      <c r="C7" s="9">
        <v>81</v>
      </c>
      <c r="D7" s="8">
        <f>J20</f>
        <v>1.5820621496516201E-3</v>
      </c>
      <c r="G7" s="8">
        <v>1.93363151623771E-3</v>
      </c>
      <c r="H7" s="8">
        <v>1.7187835699843401E-3</v>
      </c>
      <c r="I7" s="8">
        <v>1.6797203070311199E-3</v>
      </c>
      <c r="J7" s="8">
        <v>1.5234672552111299E-3</v>
      </c>
      <c r="K7" s="8">
        <v>1.44534072931179E-3</v>
      </c>
      <c r="L7" s="8">
        <v>1.30861930897197E-3</v>
      </c>
      <c r="M7" s="8">
        <v>1.1718978886321499E-3</v>
      </c>
    </row>
    <row r="8" spans="2:13" x14ac:dyDescent="0.45">
      <c r="B8" s="9">
        <v>15</v>
      </c>
      <c r="C8" s="9">
        <v>123</v>
      </c>
      <c r="D8" s="8">
        <f>K20</f>
        <v>1.44534072931179E-3</v>
      </c>
      <c r="G8" s="8">
        <v>1.91409988477176E-3</v>
      </c>
      <c r="H8" s="8">
        <v>1.7383152014645001E-3</v>
      </c>
      <c r="I8" s="8">
        <v>1.66018867555806E-3</v>
      </c>
      <c r="J8" s="8">
        <v>1.5429988867054999E-3</v>
      </c>
      <c r="K8" s="8">
        <v>1.4453407293082399E-3</v>
      </c>
      <c r="L8" s="8">
        <v>1.28908767749181E-3</v>
      </c>
      <c r="M8" s="8">
        <v>1.13283462567892E-3</v>
      </c>
    </row>
    <row r="9" spans="2:13" x14ac:dyDescent="0.45">
      <c r="B9" s="9">
        <v>20</v>
      </c>
      <c r="C9" s="9">
        <v>210</v>
      </c>
      <c r="D9" s="8">
        <f>L20</f>
        <v>1.30861930897197E-3</v>
      </c>
      <c r="G9" s="8">
        <v>1.9140998847646501E-3</v>
      </c>
      <c r="H9" s="8">
        <v>1.81644172737805E-3</v>
      </c>
      <c r="I9" s="8">
        <v>1.77737846442305E-3</v>
      </c>
      <c r="J9" s="8">
        <v>1.6015937811282299E-3</v>
      </c>
      <c r="K9" s="8">
        <v>1.46487236079196E-3</v>
      </c>
      <c r="L9" s="8">
        <v>1.4062774663568E-3</v>
      </c>
      <c r="M9" s="8">
        <v>1.13283462567626E-3</v>
      </c>
    </row>
    <row r="10" spans="2:13" x14ac:dyDescent="0.45">
      <c r="B10" s="9">
        <v>30</v>
      </c>
      <c r="C10" s="9">
        <v>415</v>
      </c>
      <c r="D10" s="8">
        <f>M20</f>
        <v>1.11330299419876E-3</v>
      </c>
      <c r="G10" s="8">
        <v>1.8555049903312699E-3</v>
      </c>
      <c r="H10" s="8">
        <v>1.75784683294467E-3</v>
      </c>
      <c r="I10" s="8">
        <v>1.7187835699914401E-3</v>
      </c>
      <c r="J10" s="8">
        <v>1.5820621496516201E-3</v>
      </c>
      <c r="K10" s="8">
        <v>1.44534072931179E-3</v>
      </c>
      <c r="L10" s="8">
        <v>1.3476825719251899E-3</v>
      </c>
      <c r="M10" s="8">
        <v>1.1133029942005401E-3</v>
      </c>
    </row>
    <row r="11" spans="2:13" x14ac:dyDescent="0.45">
      <c r="G11" s="18">
        <v>1.8750366218114301E-3</v>
      </c>
      <c r="H11" s="8">
        <v>1.75784683294467E-3</v>
      </c>
      <c r="I11" s="8">
        <v>1.69925193851483E-3</v>
      </c>
      <c r="J11" s="8">
        <v>1.5820621496516201E-3</v>
      </c>
      <c r="K11" s="8">
        <v>1.44534072931179E-3</v>
      </c>
      <c r="L11" s="8">
        <v>1.32815094045213E-3</v>
      </c>
      <c r="M11" s="8">
        <v>1.13283462567182E-3</v>
      </c>
    </row>
    <row r="12" spans="2:13" x14ac:dyDescent="0.45">
      <c r="G12" s="8">
        <v>1.8945682532916001E-3</v>
      </c>
      <c r="H12" s="8">
        <v>1.7187835699843401E-3</v>
      </c>
      <c r="I12" s="8">
        <v>1.6992519385112799E-3</v>
      </c>
      <c r="J12" s="8">
        <v>1.5820621496516201E-3</v>
      </c>
      <c r="K12" s="8">
        <v>1.46487236078485E-3</v>
      </c>
      <c r="L12" s="8">
        <v>1.3476825719180899E-3</v>
      </c>
      <c r="M12" s="8">
        <v>1.13283462567892E-3</v>
      </c>
    </row>
    <row r="13" spans="2:13" x14ac:dyDescent="0.45">
      <c r="G13" s="8">
        <v>1.9726947791944799E-3</v>
      </c>
      <c r="H13" s="8">
        <v>1.75784683294467E-3</v>
      </c>
      <c r="I13" s="8">
        <v>1.62112541260484E-3</v>
      </c>
      <c r="J13" s="8">
        <v>1.5820621496516201E-3</v>
      </c>
      <c r="K13" s="8">
        <v>1.4648723607884101E-3</v>
      </c>
      <c r="L13" s="8">
        <v>1.4062774663568E-3</v>
      </c>
      <c r="M13" s="8">
        <v>1.11330299419876E-3</v>
      </c>
    </row>
    <row r="14" spans="2:13" x14ac:dyDescent="0.45">
      <c r="G14" s="8">
        <v>1.93363151623771E-3</v>
      </c>
      <c r="H14" s="8">
        <v>1.8945682532862699E-3</v>
      </c>
      <c r="I14" s="8">
        <v>1.7187835699914401E-3</v>
      </c>
      <c r="J14" s="8">
        <v>1.5820621496516201E-3</v>
      </c>
      <c r="K14" s="8">
        <v>1.44534072931179E-3</v>
      </c>
      <c r="L14" s="8">
        <v>1.3476825719251899E-3</v>
      </c>
      <c r="M14" s="8">
        <v>1.11330299419876E-3</v>
      </c>
    </row>
    <row r="15" spans="2:13" x14ac:dyDescent="0.45">
      <c r="G15" s="8">
        <v>1.93363151623771E-3</v>
      </c>
      <c r="H15" s="8">
        <v>1.7969100959014401E-3</v>
      </c>
      <c r="I15" s="8">
        <v>1.62112541260484E-3</v>
      </c>
      <c r="J15" s="8">
        <v>1.5429988866912899E-3</v>
      </c>
      <c r="K15" s="8">
        <v>1.42580909783874E-3</v>
      </c>
      <c r="L15" s="8">
        <v>1.32815094045213E-3</v>
      </c>
      <c r="M15" s="8">
        <v>1.11330299419876E-3</v>
      </c>
    </row>
    <row r="16" spans="2:13" x14ac:dyDescent="0.45">
      <c r="G16" s="8">
        <v>1.93363151623771E-3</v>
      </c>
      <c r="H16" s="8">
        <v>1.7773784644212799E-3</v>
      </c>
      <c r="I16" s="8">
        <v>1.62112541261195E-3</v>
      </c>
      <c r="J16" s="8">
        <v>1.5625305181714601E-3</v>
      </c>
      <c r="K16" s="8">
        <v>1.42580909783874E-3</v>
      </c>
      <c r="L16" s="8">
        <v>1.3476825719180899E-3</v>
      </c>
      <c r="M16" s="8">
        <v>1.09377136273281E-3</v>
      </c>
    </row>
    <row r="17" spans="6:13" x14ac:dyDescent="0.45">
      <c r="G17" s="8"/>
      <c r="H17" s="8">
        <v>1.75784683294467E-3</v>
      </c>
      <c r="I17" s="8">
        <v>1.640657044085E-3</v>
      </c>
      <c r="J17" s="8"/>
      <c r="K17" s="8"/>
      <c r="L17" s="8"/>
      <c r="M17" s="8"/>
    </row>
    <row r="18" spans="6:13" x14ac:dyDescent="0.45">
      <c r="G18" s="8"/>
      <c r="H18" s="8">
        <v>1.7383152014645001E-3</v>
      </c>
      <c r="I18" s="8">
        <v>1.62112541261195E-3</v>
      </c>
      <c r="J18" s="8"/>
      <c r="K18" s="8"/>
      <c r="L18" s="8"/>
      <c r="M18" s="8"/>
    </row>
    <row r="19" spans="6:13" x14ac:dyDescent="0.45">
      <c r="G19" s="19"/>
      <c r="H19" s="19">
        <v>1.7383152014716101E-3</v>
      </c>
      <c r="I19" s="19"/>
      <c r="J19" s="19"/>
      <c r="K19" s="19"/>
      <c r="L19" s="19"/>
      <c r="M19" s="19"/>
    </row>
    <row r="20" spans="6:13" x14ac:dyDescent="0.45">
      <c r="F20" s="8" t="s">
        <v>22</v>
      </c>
      <c r="G20" s="8" cm="1">
        <f t="array" ref="G20">_xlfn.MODE.MULT(G4:G19)</f>
        <v>1.93363151623771E-3</v>
      </c>
      <c r="H20" s="8" cm="1">
        <f t="array" ref="H20">_xlfn.MODE.MULT(H4:H19)</f>
        <v>1.75784683294467E-3</v>
      </c>
      <c r="I20" s="8" cm="1">
        <f t="array" ref="I20:I22">_xlfn.MODE.MULT(I4:I19)</f>
        <v>1.7187835699914401E-3</v>
      </c>
      <c r="J20" s="8" cm="1">
        <f t="array" ref="J20">_xlfn.MODE.MULT(J4:J19)</f>
        <v>1.5820621496516201E-3</v>
      </c>
      <c r="K20" s="8" cm="1">
        <f t="array" ref="K20">_xlfn.MODE.MULT(K4:K19)</f>
        <v>1.44534072931179E-3</v>
      </c>
      <c r="L20" s="8" cm="1">
        <f t="array" ref="L20">_xlfn.MODE.MULT(L4:L19)</f>
        <v>1.30861930897197E-3</v>
      </c>
      <c r="M20" s="8" cm="1">
        <f t="array" ref="M20">_xlfn.MODE.MULT(M4:M19)</f>
        <v>1.11330299419876E-3</v>
      </c>
    </row>
    <row r="21" spans="6:13" x14ac:dyDescent="0.45">
      <c r="G21" s="6">
        <f>G5</f>
        <v>1.97269477919804E-3</v>
      </c>
      <c r="I21" s="6">
        <v>1.62112541260484E-3</v>
      </c>
    </row>
    <row r="22" spans="6:13" x14ac:dyDescent="0.45">
      <c r="I22" s="6">
        <v>1.62112541261195E-3</v>
      </c>
    </row>
  </sheetData>
  <mergeCells count="1">
    <mergeCell ref="G2:M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3A7F2-D29A-40AE-B803-B6E36FB8B393}">
  <dimension ref="F2:AD384"/>
  <sheetViews>
    <sheetView zoomScale="89" zoomScaleNormal="100" workbookViewId="0">
      <selection activeCell="Q4" sqref="Q4"/>
    </sheetView>
  </sheetViews>
  <sheetFormatPr defaultColWidth="9" defaultRowHeight="14.25" x14ac:dyDescent="0.45"/>
  <cols>
    <col min="1" max="14" width="9" style="6"/>
    <col min="15" max="15" width="10.1328125" style="6" bestFit="1" customWidth="1"/>
    <col min="16" max="16" width="12.33203125" style="6" bestFit="1" customWidth="1"/>
    <col min="17" max="17" width="12.33203125" style="6" customWidth="1"/>
    <col min="18" max="20" width="9" style="6"/>
    <col min="21" max="21" width="11.73046875" style="6" bestFit="1" customWidth="1"/>
    <col min="22" max="24" width="9" style="6"/>
    <col min="25" max="25" width="11.33203125" style="6" bestFit="1" customWidth="1"/>
    <col min="26" max="28" width="9" style="6"/>
    <col min="29" max="29" width="10.73046875" style="6" bestFit="1" customWidth="1"/>
    <col min="30" max="16384" width="9" style="6"/>
  </cols>
  <sheetData>
    <row r="2" spans="6:30" x14ac:dyDescent="0.45">
      <c r="P2" s="9" t="s">
        <v>132</v>
      </c>
      <c r="Q2" s="9">
        <f>MAX(P4:P385)</f>
        <v>1.492667872</v>
      </c>
      <c r="T2" s="9" t="s">
        <v>132</v>
      </c>
      <c r="U2" s="9">
        <f>MAX(T4:T385)</f>
        <v>1.481352862</v>
      </c>
      <c r="X2" s="9" t="s">
        <v>132</v>
      </c>
      <c r="Y2" s="9">
        <f>MAX(X4:X385)</f>
        <v>1.613900122</v>
      </c>
      <c r="AC2" s="7" t="s">
        <v>132</v>
      </c>
      <c r="AD2" s="9">
        <f>MAX(AB4:AB385)</f>
        <v>1.614223408</v>
      </c>
    </row>
    <row r="3" spans="6:30" x14ac:dyDescent="0.45">
      <c r="N3" s="144" t="s">
        <v>46</v>
      </c>
      <c r="O3" s="144"/>
      <c r="P3" s="144"/>
      <c r="Q3" s="97" t="s">
        <v>133</v>
      </c>
      <c r="R3" s="144" t="s">
        <v>47</v>
      </c>
      <c r="S3" s="144"/>
      <c r="T3" s="144"/>
      <c r="U3" s="97" t="s">
        <v>133</v>
      </c>
      <c r="V3" s="144" t="s">
        <v>48</v>
      </c>
      <c r="W3" s="144"/>
      <c r="X3" s="144"/>
      <c r="Y3" s="97" t="s">
        <v>133</v>
      </c>
      <c r="Z3" s="144" t="s">
        <v>49</v>
      </c>
      <c r="AA3" s="144"/>
      <c r="AB3" s="144"/>
      <c r="AC3" s="97" t="s">
        <v>133</v>
      </c>
    </row>
    <row r="4" spans="6:30" x14ac:dyDescent="0.45">
      <c r="N4" s="8">
        <v>72.885304119927198</v>
      </c>
      <c r="O4" s="105">
        <f>N4-$N$4</f>
        <v>0</v>
      </c>
      <c r="P4" s="82">
        <v>1.996126E-3</v>
      </c>
      <c r="Q4" s="82">
        <f t="shared" ref="Q4:Q67" si="0">P4/$Q$2</f>
        <v>1.3372874417973673E-3</v>
      </c>
      <c r="R4" s="8">
        <v>24.031463341738402</v>
      </c>
      <c r="S4" s="102">
        <f>R4-$R$4</f>
        <v>0</v>
      </c>
      <c r="T4" s="8">
        <v>9.4317040000000008E-3</v>
      </c>
      <c r="U4" s="101">
        <f t="shared" ref="U4:U67" si="1">T4/$U$2</f>
        <v>6.3669529670777394E-3</v>
      </c>
      <c r="V4" s="8">
        <v>51.981605536246398</v>
      </c>
      <c r="W4" s="103">
        <f>V4-$V$4</f>
        <v>0</v>
      </c>
      <c r="X4" s="8">
        <v>-3.8230220000000001E-3</v>
      </c>
      <c r="Y4" s="104">
        <f t="shared" ref="Y4:Y67" si="2">X4/$Y$2</f>
        <v>-2.3688095365296713E-3</v>
      </c>
      <c r="Z4" s="8">
        <v>62.996889276386803</v>
      </c>
      <c r="AA4" s="100">
        <f>Z4-$Z$4</f>
        <v>0</v>
      </c>
      <c r="AB4" s="8">
        <v>6.1988440000000002E-3</v>
      </c>
      <c r="AC4" s="98">
        <f>AB4/$AD$2</f>
        <v>3.8401400755799227E-3</v>
      </c>
    </row>
    <row r="5" spans="6:30" x14ac:dyDescent="0.45">
      <c r="F5" s="144" t="s">
        <v>45</v>
      </c>
      <c r="G5" s="144"/>
      <c r="H5" s="144"/>
      <c r="I5" s="144"/>
      <c r="N5" s="8">
        <v>72.885314120027203</v>
      </c>
      <c r="O5" s="105">
        <f t="shared" ref="O5:O67" si="3">N5-$N$4</f>
        <v>1.0000100004958767E-5</v>
      </c>
      <c r="P5" s="82">
        <v>-9.9654559999999993E-3</v>
      </c>
      <c r="Q5" s="82">
        <f t="shared" si="0"/>
        <v>-6.6762715182229091E-3</v>
      </c>
      <c r="R5" s="8">
        <v>24.031473341838399</v>
      </c>
      <c r="S5" s="102">
        <f t="shared" ref="S5:S68" si="4">R5-$R$4</f>
        <v>1.000009999785334E-5</v>
      </c>
      <c r="T5" s="8">
        <v>-1.236734E-3</v>
      </c>
      <c r="U5" s="101">
        <f t="shared" si="1"/>
        <v>-8.3486793168932355E-4</v>
      </c>
      <c r="V5" s="8">
        <v>51.981615536346403</v>
      </c>
      <c r="W5" s="103">
        <f t="shared" ref="W5:W68" si="5">V5-$V$4</f>
        <v>1.0000100004958767E-5</v>
      </c>
      <c r="X5" s="8">
        <v>-1.5600200000000001E-3</v>
      </c>
      <c r="Y5" s="104">
        <f t="shared" si="2"/>
        <v>-9.6661495884068098E-4</v>
      </c>
      <c r="Z5" s="8">
        <v>62.996899276486801</v>
      </c>
      <c r="AA5" s="100">
        <f t="shared" ref="AA5:AA68" si="6">Z5-$Z$4</f>
        <v>1.000009999785334E-5</v>
      </c>
      <c r="AB5" s="8">
        <v>2.6426980000000002E-3</v>
      </c>
      <c r="AC5" s="98">
        <f t="shared" ref="AC5:AC68" si="7">AB5/$AD$2</f>
        <v>1.6371327456304611E-3</v>
      </c>
    </row>
    <row r="6" spans="6:30" x14ac:dyDescent="0.45">
      <c r="N6" s="8">
        <v>72.885324120127194</v>
      </c>
      <c r="O6" s="105">
        <f t="shared" si="3"/>
        <v>2.000019999570668E-5</v>
      </c>
      <c r="P6" s="82">
        <v>1.6728400000000001E-3</v>
      </c>
      <c r="Q6" s="82">
        <f t="shared" si="0"/>
        <v>1.1207047672022246E-3</v>
      </c>
      <c r="R6" s="8">
        <v>24.031483341938401</v>
      </c>
      <c r="S6" s="102">
        <f t="shared" si="4"/>
        <v>2.0000199999259394E-5</v>
      </c>
      <c r="T6" s="8">
        <v>2.9659840000000001E-3</v>
      </c>
      <c r="U6" s="101">
        <f t="shared" si="1"/>
        <v>2.0022130284310341E-3</v>
      </c>
      <c r="V6" s="8">
        <v>51.981625536446401</v>
      </c>
      <c r="W6" s="103">
        <f t="shared" si="5"/>
        <v>2.0000200002812107E-5</v>
      </c>
      <c r="X6" s="8">
        <v>-5.439452E-3</v>
      </c>
      <c r="Y6" s="104">
        <f t="shared" si="2"/>
        <v>-3.3703770920218072E-3</v>
      </c>
      <c r="Z6" s="8">
        <v>62.996909276586798</v>
      </c>
      <c r="AA6" s="100">
        <f t="shared" si="6"/>
        <v>2.000019999570668E-5</v>
      </c>
      <c r="AB6" s="8">
        <v>2.9659840000000001E-3</v>
      </c>
      <c r="AC6" s="98">
        <f t="shared" si="7"/>
        <v>1.8374061392622304E-3</v>
      </c>
    </row>
    <row r="7" spans="6:30" x14ac:dyDescent="0.45">
      <c r="N7" s="8">
        <v>72.885334120227199</v>
      </c>
      <c r="O7" s="105">
        <f t="shared" si="3"/>
        <v>3.0000300000665447E-5</v>
      </c>
      <c r="P7" s="82">
        <v>-2.853164E-3</v>
      </c>
      <c r="Q7" s="82">
        <f t="shared" si="0"/>
        <v>-1.9114526771297723E-3</v>
      </c>
      <c r="R7" s="8">
        <v>24.031493342038399</v>
      </c>
      <c r="S7" s="102">
        <f t="shared" si="4"/>
        <v>3.0000299997112734E-5</v>
      </c>
      <c r="T7" s="8">
        <v>-3.4997359999999998E-3</v>
      </c>
      <c r="U7" s="101">
        <f t="shared" si="1"/>
        <v>-2.36252691021567E-3</v>
      </c>
      <c r="V7" s="8">
        <v>51.981635536546399</v>
      </c>
      <c r="W7" s="103">
        <f t="shared" si="5"/>
        <v>3.0000300000665447E-5</v>
      </c>
      <c r="X7" s="8">
        <v>1.0262680000000001E-3</v>
      </c>
      <c r="Y7" s="104">
        <f t="shared" si="2"/>
        <v>6.3589312994673664E-4</v>
      </c>
      <c r="Z7" s="8">
        <v>62.996919276686803</v>
      </c>
      <c r="AA7" s="100">
        <f t="shared" si="6"/>
        <v>3.0000300000665447E-5</v>
      </c>
      <c r="AB7" s="8">
        <v>6.5221300000000001E-3</v>
      </c>
      <c r="AC7" s="98">
        <f t="shared" si="7"/>
        <v>4.0404134692116917E-3</v>
      </c>
    </row>
    <row r="8" spans="6:30" x14ac:dyDescent="0.45">
      <c r="N8" s="8">
        <v>72.885344120327204</v>
      </c>
      <c r="O8" s="105">
        <f t="shared" si="3"/>
        <v>4.0000400005624215E-5</v>
      </c>
      <c r="P8" s="82">
        <v>-1.0935314E-2</v>
      </c>
      <c r="Q8" s="82">
        <f t="shared" si="0"/>
        <v>-7.326019542008338E-3</v>
      </c>
      <c r="R8" s="8">
        <v>24.0315033421384</v>
      </c>
      <c r="S8" s="102">
        <f t="shared" si="4"/>
        <v>4.0000399998518787E-5</v>
      </c>
      <c r="T8" s="8">
        <v>8.4618460000000003E-3</v>
      </c>
      <c r="U8" s="101">
        <f t="shared" si="1"/>
        <v>5.7122419762807332E-3</v>
      </c>
      <c r="V8" s="8">
        <v>51.981645536646397</v>
      </c>
      <c r="W8" s="103">
        <f t="shared" si="5"/>
        <v>4.0000399998518787E-5</v>
      </c>
      <c r="X8" s="8">
        <v>-2.2065919999999998E-3</v>
      </c>
      <c r="Y8" s="104">
        <f t="shared" si="2"/>
        <v>-1.3672419810375352E-3</v>
      </c>
      <c r="Z8" s="8">
        <v>62.996929276786801</v>
      </c>
      <c r="AA8" s="100">
        <f t="shared" si="6"/>
        <v>4.0000399998518787E-5</v>
      </c>
      <c r="AB8" s="8">
        <v>-4.1463079999999996E-3</v>
      </c>
      <c r="AC8" s="98">
        <f t="shared" si="7"/>
        <v>-2.5686085206366922E-3</v>
      </c>
    </row>
    <row r="9" spans="6:30" x14ac:dyDescent="0.45">
      <c r="N9" s="8">
        <v>72.885354120427195</v>
      </c>
      <c r="O9" s="105">
        <f t="shared" si="3"/>
        <v>5.0000499996372127E-5</v>
      </c>
      <c r="P9" s="82">
        <v>3.7969600000000098E-4</v>
      </c>
      <c r="Q9" s="82">
        <f t="shared" si="0"/>
        <v>2.5437406882165478E-4</v>
      </c>
      <c r="R9" s="8">
        <v>24.031513342238402</v>
      </c>
      <c r="S9" s="102">
        <f t="shared" si="4"/>
        <v>5.0000499999924841E-5</v>
      </c>
      <c r="T9" s="8">
        <v>1.298785E-2</v>
      </c>
      <c r="U9" s="101">
        <f t="shared" si="1"/>
        <v>8.7675599333334256E-3</v>
      </c>
      <c r="V9" s="8">
        <v>51.981655536746402</v>
      </c>
      <c r="W9" s="103">
        <f t="shared" si="5"/>
        <v>5.0000500003477555E-5</v>
      </c>
      <c r="X9" s="8">
        <v>-2.5298780000000002E-3</v>
      </c>
      <c r="Y9" s="104">
        <f t="shared" si="2"/>
        <v>-1.5675554921359626E-3</v>
      </c>
      <c r="Z9" s="8">
        <v>62.996939276886799</v>
      </c>
      <c r="AA9" s="100">
        <f t="shared" si="6"/>
        <v>5.0000499996372127E-5</v>
      </c>
      <c r="AB9" s="8">
        <v>1.3957707999999999E-2</v>
      </c>
      <c r="AC9" s="98">
        <f t="shared" si="7"/>
        <v>8.6467015227423838E-3</v>
      </c>
    </row>
    <row r="10" spans="6:30" x14ac:dyDescent="0.45">
      <c r="N10" s="8">
        <v>72.8853641205272</v>
      </c>
      <c r="O10" s="105">
        <f t="shared" si="3"/>
        <v>6.0000600001330895E-5</v>
      </c>
      <c r="P10" s="82">
        <v>-2.6687599999999901E-4</v>
      </c>
      <c r="Q10" s="82">
        <f t="shared" si="0"/>
        <v>-1.7879128036863047E-4</v>
      </c>
      <c r="R10" s="8">
        <v>24.031523342338399</v>
      </c>
      <c r="S10" s="102">
        <f t="shared" si="4"/>
        <v>6.0000599997778181E-5</v>
      </c>
      <c r="T10" s="8">
        <v>1.0724848E-2</v>
      </c>
      <c r="U10" s="101">
        <f t="shared" si="1"/>
        <v>7.2399009548070794E-3</v>
      </c>
      <c r="V10" s="8">
        <v>51.9816655368464</v>
      </c>
      <c r="W10" s="103">
        <f t="shared" si="5"/>
        <v>6.0000600001330895E-5</v>
      </c>
      <c r="X10" s="8">
        <v>-5.1161660000000001E-3</v>
      </c>
      <c r="Y10" s="104">
        <f t="shared" si="2"/>
        <v>-3.17006358092338E-3</v>
      </c>
      <c r="Z10" s="8">
        <v>62.996949276986797</v>
      </c>
      <c r="AA10" s="100">
        <f t="shared" si="6"/>
        <v>6.0000599994225468E-5</v>
      </c>
      <c r="AB10" s="8">
        <v>6.845416E-3</v>
      </c>
      <c r="AC10" s="98">
        <f t="shared" si="7"/>
        <v>4.2406868628434612E-3</v>
      </c>
    </row>
    <row r="11" spans="6:30" x14ac:dyDescent="0.45">
      <c r="N11" s="8">
        <v>72.885374120627205</v>
      </c>
      <c r="O11" s="105">
        <f t="shared" si="3"/>
        <v>7.0000700006289662E-5</v>
      </c>
      <c r="P11" s="82">
        <v>-7.3791680000000002E-3</v>
      </c>
      <c r="Q11" s="82">
        <f t="shared" si="0"/>
        <v>-4.9436101214617688E-3</v>
      </c>
      <c r="R11" s="8">
        <v>24.031533342438401</v>
      </c>
      <c r="S11" s="102">
        <f t="shared" si="4"/>
        <v>7.0000699999184235E-5</v>
      </c>
      <c r="T11" s="8">
        <v>-2.6687599999999901E-4</v>
      </c>
      <c r="U11" s="101">
        <f t="shared" si="1"/>
        <v>-1.8015694089231727E-4</v>
      </c>
      <c r="V11" s="8">
        <v>51.981675536946398</v>
      </c>
      <c r="W11" s="103">
        <f t="shared" si="5"/>
        <v>7.0000699999184235E-5</v>
      </c>
      <c r="X11" s="8">
        <v>-7.3791680000000002E-3</v>
      </c>
      <c r="Y11" s="104">
        <f t="shared" si="2"/>
        <v>-4.5722581586123707E-3</v>
      </c>
      <c r="Z11" s="8">
        <v>62.996959277086802</v>
      </c>
      <c r="AA11" s="100">
        <f t="shared" si="6"/>
        <v>7.0000699999184235E-5</v>
      </c>
      <c r="AB11" s="64">
        <v>5.6410000000000702E-5</v>
      </c>
      <c r="AC11" s="98">
        <f t="shared" si="7"/>
        <v>3.4945596576307796E-5</v>
      </c>
    </row>
    <row r="12" spans="6:30" x14ac:dyDescent="0.45">
      <c r="N12" s="8">
        <v>72.885384120727196</v>
      </c>
      <c r="O12" s="105">
        <f t="shared" si="3"/>
        <v>8.0000799997037575E-5</v>
      </c>
      <c r="P12" s="82">
        <v>1.0262680000000001E-3</v>
      </c>
      <c r="Q12" s="82">
        <f t="shared" si="0"/>
        <v>6.8753941801193944E-4</v>
      </c>
      <c r="R12" s="8">
        <v>24.031543342538399</v>
      </c>
      <c r="S12" s="102">
        <f t="shared" si="4"/>
        <v>8.0000799997037575E-5</v>
      </c>
      <c r="T12" s="8">
        <v>-9.3188839999999995E-3</v>
      </c>
      <c r="U12" s="101">
        <f t="shared" si="1"/>
        <v>-6.2907928549977036E-3</v>
      </c>
      <c r="V12" s="8">
        <v>51.981685537046403</v>
      </c>
      <c r="W12" s="103">
        <f t="shared" si="5"/>
        <v>8.0000800004143002E-5</v>
      </c>
      <c r="X12" s="8">
        <v>-3.4997359999999998E-3</v>
      </c>
      <c r="Y12" s="104">
        <f t="shared" si="2"/>
        <v>-2.1684960254312441E-3</v>
      </c>
      <c r="Z12" s="8">
        <v>62.9969692771868</v>
      </c>
      <c r="AA12" s="100">
        <f t="shared" si="6"/>
        <v>8.0000799997037575E-5</v>
      </c>
      <c r="AB12" s="8">
        <v>-9.13447999999999E-4</v>
      </c>
      <c r="AC12" s="98">
        <f t="shared" si="7"/>
        <v>-5.6587458431899972E-4</v>
      </c>
    </row>
    <row r="13" spans="6:30" x14ac:dyDescent="0.45">
      <c r="N13" s="8">
        <v>72.8853941208272</v>
      </c>
      <c r="O13" s="105">
        <f t="shared" si="3"/>
        <v>9.0000900001996342E-5</v>
      </c>
      <c r="P13" s="82">
        <v>3.9358420000000002E-3</v>
      </c>
      <c r="Q13" s="82">
        <f t="shared" si="0"/>
        <v>2.6367834893682232E-3</v>
      </c>
      <c r="R13" s="8">
        <v>24.0315533426384</v>
      </c>
      <c r="S13" s="102">
        <f t="shared" si="4"/>
        <v>9.0000899998443629E-5</v>
      </c>
      <c r="T13" s="8">
        <v>1.349554E-3</v>
      </c>
      <c r="U13" s="101">
        <f t="shared" si="1"/>
        <v>9.1102804376935818E-4</v>
      </c>
      <c r="V13" s="8">
        <v>51.9816955371464</v>
      </c>
      <c r="W13" s="103">
        <f t="shared" si="5"/>
        <v>9.0000900001996342E-5</v>
      </c>
      <c r="X13" s="8">
        <v>-5.439452E-3</v>
      </c>
      <c r="Y13" s="104">
        <f t="shared" si="2"/>
        <v>-3.3703770920218072E-3</v>
      </c>
      <c r="Z13" s="8">
        <v>62.996979277286798</v>
      </c>
      <c r="AA13" s="100">
        <f t="shared" si="6"/>
        <v>9.0000899994890915E-5</v>
      </c>
      <c r="AB13" s="8">
        <v>1.349554E-3</v>
      </c>
      <c r="AC13" s="98">
        <f t="shared" si="7"/>
        <v>8.3603917110338418E-4</v>
      </c>
    </row>
    <row r="14" spans="6:30" x14ac:dyDescent="0.45">
      <c r="N14" s="8">
        <v>72.885404120927205</v>
      </c>
      <c r="O14" s="105">
        <f t="shared" si="3"/>
        <v>1.0000100000695511E-4</v>
      </c>
      <c r="P14" s="82">
        <v>-4.4695940000000003E-3</v>
      </c>
      <c r="Q14" s="82">
        <f t="shared" si="0"/>
        <v>-2.9943660501054853E-3</v>
      </c>
      <c r="R14" s="8">
        <v>24.031563342738401</v>
      </c>
      <c r="S14" s="102">
        <f t="shared" si="4"/>
        <v>1.0000099999984968E-4</v>
      </c>
      <c r="T14" s="8">
        <v>4.5824139999999999E-3</v>
      </c>
      <c r="U14" s="101">
        <f t="shared" si="1"/>
        <v>3.0933980130927103E-3</v>
      </c>
      <c r="V14" s="8">
        <v>51.981705537246398</v>
      </c>
      <c r="W14" s="103">
        <f t="shared" si="5"/>
        <v>1.0000099999984968E-4</v>
      </c>
      <c r="X14" s="8">
        <v>1.349554E-3</v>
      </c>
      <c r="Y14" s="104">
        <f t="shared" si="2"/>
        <v>8.3620664104516371E-4</v>
      </c>
      <c r="Z14" s="8">
        <v>62.996989277386803</v>
      </c>
      <c r="AA14" s="100">
        <f t="shared" si="6"/>
        <v>1.0000099999984968E-4</v>
      </c>
      <c r="AB14" s="8">
        <v>2.9659840000000001E-3</v>
      </c>
      <c r="AC14" s="98">
        <f t="shared" si="7"/>
        <v>1.8374061392622304E-3</v>
      </c>
    </row>
    <row r="15" spans="6:30" x14ac:dyDescent="0.45">
      <c r="N15" s="8">
        <v>72.885414121027196</v>
      </c>
      <c r="O15" s="105">
        <f t="shared" si="3"/>
        <v>1.1000109999770302E-4</v>
      </c>
      <c r="P15" s="82">
        <v>-6.4093099999999997E-3</v>
      </c>
      <c r="Q15" s="82">
        <f t="shared" si="0"/>
        <v>-4.2938620976763408E-3</v>
      </c>
      <c r="R15" s="8">
        <v>24.031573342838399</v>
      </c>
      <c r="S15" s="102">
        <f t="shared" si="4"/>
        <v>1.1000109999770302E-4</v>
      </c>
      <c r="T15" s="8">
        <v>3.9358420000000002E-3</v>
      </c>
      <c r="U15" s="101">
        <f t="shared" si="1"/>
        <v>2.6569240192280399E-3</v>
      </c>
      <c r="V15" s="8">
        <v>51.981715537346403</v>
      </c>
      <c r="W15" s="103">
        <f t="shared" si="5"/>
        <v>1.1000110000480845E-4</v>
      </c>
      <c r="X15" s="8">
        <v>-1.1581886E-2</v>
      </c>
      <c r="Y15" s="104">
        <f t="shared" si="2"/>
        <v>-7.176333802891924E-3</v>
      </c>
      <c r="Z15" s="8">
        <v>62.9969992774868</v>
      </c>
      <c r="AA15" s="100">
        <f t="shared" si="6"/>
        <v>1.1000109999770302E-4</v>
      </c>
      <c r="AB15" s="8">
        <v>-3.8230220000000001E-3</v>
      </c>
      <c r="AC15" s="98">
        <f t="shared" si="7"/>
        <v>-2.3683351270049236E-3</v>
      </c>
    </row>
    <row r="16" spans="6:30" x14ac:dyDescent="0.45">
      <c r="N16" s="8">
        <v>72.885424121127201</v>
      </c>
      <c r="O16" s="105">
        <f t="shared" si="3"/>
        <v>1.2000120000266179E-4</v>
      </c>
      <c r="P16" s="82">
        <v>-1.5600200000000001E-3</v>
      </c>
      <c r="Q16" s="82">
        <f t="shared" si="0"/>
        <v>-1.0451219787492017E-3</v>
      </c>
      <c r="R16" s="8">
        <v>24.031583342938401</v>
      </c>
      <c r="S16" s="102">
        <f t="shared" si="4"/>
        <v>1.2000119999910908E-4</v>
      </c>
      <c r="T16" s="8">
        <v>-1.883306E-3</v>
      </c>
      <c r="U16" s="101">
        <f t="shared" si="1"/>
        <v>-1.271341925553994E-3</v>
      </c>
      <c r="V16" s="8">
        <v>51.981725537446401</v>
      </c>
      <c r="W16" s="103">
        <f t="shared" si="5"/>
        <v>1.2000120000266179E-4</v>
      </c>
      <c r="X16" s="8">
        <v>-7.0558820000000003E-3</v>
      </c>
      <c r="Y16" s="104">
        <f t="shared" si="2"/>
        <v>-4.3719446475139435E-3</v>
      </c>
      <c r="Z16" s="8">
        <v>62.997009277586798</v>
      </c>
      <c r="AA16" s="100">
        <f t="shared" si="6"/>
        <v>1.2000119999555636E-4</v>
      </c>
      <c r="AB16" s="8">
        <v>1.996126E-3</v>
      </c>
      <c r="AC16" s="98">
        <f t="shared" si="7"/>
        <v>1.2365859583669226E-3</v>
      </c>
    </row>
    <row r="17" spans="14:29" x14ac:dyDescent="0.45">
      <c r="N17" s="8">
        <v>72.885434121227206</v>
      </c>
      <c r="O17" s="105">
        <f t="shared" si="3"/>
        <v>1.3000130000762056E-4</v>
      </c>
      <c r="P17" s="82">
        <v>1.0262680000000001E-3</v>
      </c>
      <c r="Q17" s="82">
        <f t="shared" si="0"/>
        <v>6.8753941801193944E-4</v>
      </c>
      <c r="R17" s="8">
        <v>24.031593343038399</v>
      </c>
      <c r="S17" s="102">
        <f t="shared" si="4"/>
        <v>1.3000129999696242E-4</v>
      </c>
      <c r="T17" s="64">
        <v>5.6410000000000702E-5</v>
      </c>
      <c r="U17" s="101">
        <f t="shared" si="1"/>
        <v>3.8080056040017761E-5</v>
      </c>
      <c r="V17" s="8">
        <v>51.981735537546399</v>
      </c>
      <c r="W17" s="103">
        <f t="shared" si="5"/>
        <v>1.3000130000051513E-4</v>
      </c>
      <c r="X17" s="64">
        <v>-2.5298780000000002E-3</v>
      </c>
      <c r="Y17" s="104">
        <f t="shared" si="2"/>
        <v>-1.5675554921359626E-3</v>
      </c>
      <c r="Z17" s="8">
        <v>62.997019277686803</v>
      </c>
      <c r="AA17" s="100">
        <f t="shared" si="6"/>
        <v>1.3000130000051513E-4</v>
      </c>
      <c r="AB17" s="64">
        <v>3.6125559999999998E-3</v>
      </c>
      <c r="AC17" s="98">
        <f t="shared" si="7"/>
        <v>2.2379529265257685E-3</v>
      </c>
    </row>
    <row r="18" spans="14:29" x14ac:dyDescent="0.45">
      <c r="N18" s="8">
        <v>72.885444121327197</v>
      </c>
      <c r="O18" s="105">
        <f t="shared" si="3"/>
        <v>1.4000139999836847E-4</v>
      </c>
      <c r="P18" s="99">
        <v>5.6410000000000702E-5</v>
      </c>
      <c r="Q18" s="82">
        <f t="shared" si="0"/>
        <v>3.7791394226511967E-5</v>
      </c>
      <c r="R18" s="8">
        <v>24.0316033431384</v>
      </c>
      <c r="S18" s="102">
        <f t="shared" si="4"/>
        <v>1.4000139999836847E-4</v>
      </c>
      <c r="T18" s="64">
        <v>5.6410000000000702E-5</v>
      </c>
      <c r="U18" s="101">
        <f t="shared" si="1"/>
        <v>3.8080056040017761E-5</v>
      </c>
      <c r="V18" s="8">
        <v>51.981745537646397</v>
      </c>
      <c r="W18" s="103">
        <f t="shared" si="5"/>
        <v>1.4000139999836847E-4</v>
      </c>
      <c r="X18" s="64">
        <v>-1.0288742E-2</v>
      </c>
      <c r="Y18" s="104">
        <f t="shared" si="2"/>
        <v>-6.3750797584982153E-3</v>
      </c>
      <c r="Z18" s="8">
        <v>62.997029277786801</v>
      </c>
      <c r="AA18" s="100">
        <f t="shared" si="6"/>
        <v>1.4000139999836847E-4</v>
      </c>
      <c r="AB18" s="64">
        <v>4.259128E-3</v>
      </c>
      <c r="AC18" s="98">
        <f t="shared" si="7"/>
        <v>2.6384997137893071E-3</v>
      </c>
    </row>
    <row r="19" spans="14:29" x14ac:dyDescent="0.45">
      <c r="N19" s="8">
        <v>72.885454121427202</v>
      </c>
      <c r="O19" s="105">
        <f t="shared" si="3"/>
        <v>1.5000150000332724E-4</v>
      </c>
      <c r="P19" s="82">
        <v>1.0262680000000001E-3</v>
      </c>
      <c r="Q19" s="82">
        <f t="shared" si="0"/>
        <v>6.8753941801193944E-4</v>
      </c>
      <c r="R19" s="8">
        <v>24.031613343238401</v>
      </c>
      <c r="S19" s="102">
        <f t="shared" si="4"/>
        <v>1.5000149999977452E-4</v>
      </c>
      <c r="T19" s="8">
        <v>3.28927E-3</v>
      </c>
      <c r="U19" s="101">
        <f t="shared" si="1"/>
        <v>2.2204500253633695E-3</v>
      </c>
      <c r="V19" s="8">
        <v>51.981755537746402</v>
      </c>
      <c r="W19" s="103">
        <f t="shared" si="5"/>
        <v>1.5000150000332724E-4</v>
      </c>
      <c r="X19" s="8">
        <v>1.996126E-3</v>
      </c>
      <c r="Y19" s="104">
        <f t="shared" si="2"/>
        <v>1.2368336632420181E-3</v>
      </c>
      <c r="Z19" s="8">
        <v>62.997039277886799</v>
      </c>
      <c r="AA19" s="100">
        <f t="shared" si="6"/>
        <v>1.5000149999622181E-4</v>
      </c>
      <c r="AB19" s="8">
        <v>1.0262680000000001E-3</v>
      </c>
      <c r="AC19" s="98">
        <f t="shared" si="7"/>
        <v>6.3576577747161513E-4</v>
      </c>
    </row>
    <row r="20" spans="14:29" x14ac:dyDescent="0.45">
      <c r="N20" s="8">
        <v>72.885464121527207</v>
      </c>
      <c r="O20" s="105">
        <f t="shared" si="3"/>
        <v>1.60001600008286E-4</v>
      </c>
      <c r="P20" s="82">
        <v>5.5522719999999996E-3</v>
      </c>
      <c r="Q20" s="82">
        <f t="shared" si="0"/>
        <v>3.719696862343936E-3</v>
      </c>
      <c r="R20" s="8">
        <v>24.031623343338399</v>
      </c>
      <c r="S20" s="102">
        <f t="shared" si="4"/>
        <v>1.6000159999762786E-4</v>
      </c>
      <c r="T20" s="8">
        <v>1.349554E-3</v>
      </c>
      <c r="U20" s="101">
        <f t="shared" si="1"/>
        <v>9.1102804376935818E-4</v>
      </c>
      <c r="V20" s="8">
        <v>51.9817655378464</v>
      </c>
      <c r="W20" s="103">
        <f t="shared" si="5"/>
        <v>1.6000160000118058E-4</v>
      </c>
      <c r="X20" s="8">
        <v>-9.13447999999999E-4</v>
      </c>
      <c r="Y20" s="104">
        <f t="shared" si="2"/>
        <v>-5.6598793664382598E-4</v>
      </c>
      <c r="Z20" s="8">
        <v>62.997049277986797</v>
      </c>
      <c r="AA20" s="100">
        <f t="shared" si="6"/>
        <v>1.6000159999407515E-4</v>
      </c>
      <c r="AB20" s="8">
        <v>4.259128E-3</v>
      </c>
      <c r="AC20" s="98">
        <f t="shared" si="7"/>
        <v>2.6384997137893071E-3</v>
      </c>
    </row>
    <row r="21" spans="14:29" x14ac:dyDescent="0.45">
      <c r="N21" s="8">
        <v>72.885474121627198</v>
      </c>
      <c r="O21" s="105">
        <f t="shared" si="3"/>
        <v>1.7000169999903392E-4</v>
      </c>
      <c r="P21" s="82">
        <v>-1.236734E-3</v>
      </c>
      <c r="Q21" s="82">
        <f t="shared" si="0"/>
        <v>-8.2853930415405902E-4</v>
      </c>
      <c r="R21" s="8">
        <v>24.031633343438401</v>
      </c>
      <c r="S21" s="102">
        <f t="shared" si="4"/>
        <v>1.7000169999903392E-4</v>
      </c>
      <c r="T21" s="8">
        <v>1.349554E-3</v>
      </c>
      <c r="U21" s="101">
        <f t="shared" si="1"/>
        <v>9.1102804376935818E-4</v>
      </c>
      <c r="V21" s="8">
        <v>51.981775537946397</v>
      </c>
      <c r="W21" s="103">
        <f t="shared" si="5"/>
        <v>1.7000169999903392E-4</v>
      </c>
      <c r="X21" s="8">
        <v>-4.7928800000000002E-3</v>
      </c>
      <c r="Y21" s="104">
        <f t="shared" si="2"/>
        <v>-2.9697500698249528E-3</v>
      </c>
      <c r="Z21" s="8">
        <v>62.997059278086802</v>
      </c>
      <c r="AA21" s="100">
        <f t="shared" si="6"/>
        <v>1.7000169999903392E-4</v>
      </c>
      <c r="AB21" s="8">
        <v>-1.236734E-3</v>
      </c>
      <c r="AC21" s="98">
        <f t="shared" si="7"/>
        <v>-7.6614797795076953E-4</v>
      </c>
    </row>
    <row r="22" spans="14:29" x14ac:dyDescent="0.45">
      <c r="N22" s="8">
        <v>72.885484121727202</v>
      </c>
      <c r="O22" s="105">
        <f t="shared" si="3"/>
        <v>1.8000180000399268E-4</v>
      </c>
      <c r="P22" s="82">
        <v>-9.13447999999999E-4</v>
      </c>
      <c r="Q22" s="82">
        <f t="shared" si="0"/>
        <v>-6.1195662955891572E-4</v>
      </c>
      <c r="R22" s="8">
        <v>24.031643343538398</v>
      </c>
      <c r="S22" s="102">
        <f t="shared" si="4"/>
        <v>1.8000179999688726E-4</v>
      </c>
      <c r="T22" s="8">
        <v>1.6728400000000001E-3</v>
      </c>
      <c r="U22" s="101">
        <f t="shared" si="1"/>
        <v>1.1292650407016935E-3</v>
      </c>
      <c r="V22" s="8">
        <v>51.981785538046402</v>
      </c>
      <c r="W22" s="103">
        <f t="shared" si="5"/>
        <v>1.8000180000399268E-4</v>
      </c>
      <c r="X22" s="8">
        <v>-2.853164E-3</v>
      </c>
      <c r="Y22" s="104">
        <f t="shared" si="2"/>
        <v>-1.7678690032343898E-3</v>
      </c>
      <c r="Z22" s="8">
        <v>62.9970692781868</v>
      </c>
      <c r="AA22" s="100">
        <f t="shared" si="6"/>
        <v>1.8000179999688726E-4</v>
      </c>
      <c r="AB22" s="8">
        <v>4.5824139999999999E-3</v>
      </c>
      <c r="AC22" s="98">
        <f t="shared" si="7"/>
        <v>2.8387731074210765E-3</v>
      </c>
    </row>
    <row r="23" spans="14:29" x14ac:dyDescent="0.45">
      <c r="N23" s="8">
        <v>72.885494121827193</v>
      </c>
      <c r="O23" s="105">
        <f t="shared" si="3"/>
        <v>1.900018999947406E-4</v>
      </c>
      <c r="P23" s="82">
        <v>3.6125559999999998E-3</v>
      </c>
      <c r="Q23" s="82">
        <f t="shared" si="0"/>
        <v>2.4202008147730801E-3</v>
      </c>
      <c r="R23" s="8">
        <v>24.0316533436384</v>
      </c>
      <c r="S23" s="102">
        <f t="shared" si="4"/>
        <v>1.9000189999829331E-4</v>
      </c>
      <c r="T23" s="8">
        <v>1.6728400000000001E-3</v>
      </c>
      <c r="U23" s="101">
        <f t="shared" si="1"/>
        <v>1.1292650407016935E-3</v>
      </c>
      <c r="V23" s="8">
        <v>51.9817955381464</v>
      </c>
      <c r="W23" s="103">
        <f t="shared" si="5"/>
        <v>1.9000190000184602E-4</v>
      </c>
      <c r="X23" s="8">
        <v>-3.4997359999999998E-3</v>
      </c>
      <c r="Y23" s="104">
        <f t="shared" si="2"/>
        <v>-2.1684960254312441E-3</v>
      </c>
      <c r="Z23" s="8">
        <v>62.997079278286797</v>
      </c>
      <c r="AA23" s="100">
        <f t="shared" si="6"/>
        <v>1.900018999947406E-4</v>
      </c>
      <c r="AB23" s="8">
        <v>1.6728400000000001E-3</v>
      </c>
      <c r="AC23" s="98">
        <f t="shared" si="7"/>
        <v>1.0363125647351536E-3</v>
      </c>
    </row>
    <row r="24" spans="14:29" x14ac:dyDescent="0.45">
      <c r="N24" s="8">
        <v>72.885504121927198</v>
      </c>
      <c r="O24" s="105">
        <f t="shared" si="3"/>
        <v>2.0000199999969936E-4</v>
      </c>
      <c r="P24" s="82">
        <v>2.3194119999999999E-3</v>
      </c>
      <c r="Q24" s="82">
        <f t="shared" si="0"/>
        <v>1.5538701163925097E-3</v>
      </c>
      <c r="R24" s="8">
        <v>24.031663343738401</v>
      </c>
      <c r="S24" s="102">
        <f t="shared" si="4"/>
        <v>2.0000199999969936E-4</v>
      </c>
      <c r="T24" s="8">
        <v>4.5824139999999999E-3</v>
      </c>
      <c r="U24" s="101">
        <f t="shared" si="1"/>
        <v>3.0933980130927103E-3</v>
      </c>
      <c r="V24" s="8">
        <v>51.981805538246398</v>
      </c>
      <c r="W24" s="103">
        <f t="shared" si="5"/>
        <v>2.0000199999969936E-4</v>
      </c>
      <c r="X24" s="8">
        <v>-5.439452E-3</v>
      </c>
      <c r="Y24" s="104">
        <f t="shared" si="2"/>
        <v>-3.3703770920218072E-3</v>
      </c>
      <c r="Z24" s="8">
        <v>62.997089278386802</v>
      </c>
      <c r="AA24" s="100">
        <f t="shared" si="6"/>
        <v>2.0000199999969936E-4</v>
      </c>
      <c r="AB24" s="8">
        <v>3.28927E-3</v>
      </c>
      <c r="AC24" s="98">
        <f t="shared" si="7"/>
        <v>2.0376795328939995E-3</v>
      </c>
    </row>
    <row r="25" spans="14:29" x14ac:dyDescent="0.45">
      <c r="N25" s="8">
        <v>72.885514122027203</v>
      </c>
      <c r="O25" s="105">
        <f t="shared" si="3"/>
        <v>2.1000210000465813E-4</v>
      </c>
      <c r="P25" s="82">
        <v>2.6426980000000002E-3</v>
      </c>
      <c r="Q25" s="82">
        <f t="shared" si="0"/>
        <v>1.7704527909876526E-3</v>
      </c>
      <c r="R25" s="8">
        <v>24.031673343838399</v>
      </c>
      <c r="S25" s="102">
        <f t="shared" si="4"/>
        <v>2.100020999975527E-4</v>
      </c>
      <c r="T25" s="8">
        <v>-3.1764499999999999E-3</v>
      </c>
      <c r="U25" s="101">
        <f t="shared" si="1"/>
        <v>-2.144289913283335E-3</v>
      </c>
      <c r="V25" s="8">
        <v>51.981815538346403</v>
      </c>
      <c r="W25" s="103">
        <f t="shared" si="5"/>
        <v>2.1000210000465813E-4</v>
      </c>
      <c r="X25" s="8">
        <v>-8.02574E-3</v>
      </c>
      <c r="Y25" s="104">
        <f t="shared" si="2"/>
        <v>-4.972885180809225E-3</v>
      </c>
      <c r="Z25" s="8">
        <v>62.9970992784868</v>
      </c>
      <c r="AA25" s="100">
        <f t="shared" si="6"/>
        <v>2.100020999975527E-4</v>
      </c>
      <c r="AB25" s="8">
        <v>5.2289859999999997E-3</v>
      </c>
      <c r="AC25" s="98">
        <f t="shared" si="7"/>
        <v>3.2393198946846146E-3</v>
      </c>
    </row>
    <row r="26" spans="14:29" x14ac:dyDescent="0.45">
      <c r="N26" s="8">
        <v>72.885524122127194</v>
      </c>
      <c r="O26" s="105">
        <f t="shared" si="3"/>
        <v>2.2000219999540604E-4</v>
      </c>
      <c r="P26" s="82">
        <v>5.8755580000000003E-3</v>
      </c>
      <c r="Q26" s="82">
        <f t="shared" si="0"/>
        <v>3.9362795369390791E-3</v>
      </c>
      <c r="R26" s="8">
        <v>24.031683343938401</v>
      </c>
      <c r="S26" s="102">
        <f t="shared" si="4"/>
        <v>2.2000219999895876E-4</v>
      </c>
      <c r="T26" s="8">
        <v>-2.2065919999999998E-3</v>
      </c>
      <c r="U26" s="101">
        <f t="shared" si="1"/>
        <v>-1.4895789224863292E-3</v>
      </c>
      <c r="V26" s="8">
        <v>51.981825538446401</v>
      </c>
      <c r="W26" s="103">
        <f t="shared" si="5"/>
        <v>2.2000220000251147E-4</v>
      </c>
      <c r="X26" s="8">
        <v>-5.7627379999999999E-3</v>
      </c>
      <c r="Y26" s="104">
        <f t="shared" si="2"/>
        <v>-3.5706906031202344E-3</v>
      </c>
      <c r="Z26" s="8">
        <v>62.997109278586798</v>
      </c>
      <c r="AA26" s="100">
        <f t="shared" si="6"/>
        <v>2.2000219999540604E-4</v>
      </c>
      <c r="AB26" s="8">
        <v>7.02982E-4</v>
      </c>
      <c r="AC26" s="98">
        <f t="shared" si="7"/>
        <v>4.3549238383984581E-4</v>
      </c>
    </row>
    <row r="27" spans="14:29" x14ac:dyDescent="0.45">
      <c r="N27" s="8">
        <v>72.885534122227199</v>
      </c>
      <c r="O27" s="105">
        <f t="shared" si="3"/>
        <v>2.3000230000036481E-4</v>
      </c>
      <c r="P27" s="82">
        <v>2.3194119999999999E-3</v>
      </c>
      <c r="Q27" s="82">
        <f t="shared" si="0"/>
        <v>1.5538701163925097E-3</v>
      </c>
      <c r="R27" s="8">
        <v>24.031693344038398</v>
      </c>
      <c r="S27" s="102">
        <f t="shared" si="4"/>
        <v>2.300022999968121E-4</v>
      </c>
      <c r="T27" s="8">
        <v>-1.883306E-3</v>
      </c>
      <c r="U27" s="101">
        <f t="shared" si="1"/>
        <v>-1.271341925553994E-3</v>
      </c>
      <c r="V27" s="8">
        <v>51.981835538546399</v>
      </c>
      <c r="W27" s="103">
        <f t="shared" si="5"/>
        <v>2.3000230000036481E-4</v>
      </c>
      <c r="X27" s="8">
        <v>-4.1463079999999996E-3</v>
      </c>
      <c r="Y27" s="104">
        <f t="shared" si="2"/>
        <v>-2.5691230476280981E-3</v>
      </c>
      <c r="Z27" s="8">
        <v>62.997119278686803</v>
      </c>
      <c r="AA27" s="100">
        <f t="shared" si="6"/>
        <v>2.3000230000036481E-4</v>
      </c>
      <c r="AB27" s="8">
        <v>1.1048133999999999E-2</v>
      </c>
      <c r="AC27" s="98">
        <f t="shared" si="7"/>
        <v>6.8442409800564602E-3</v>
      </c>
    </row>
    <row r="28" spans="14:29" x14ac:dyDescent="0.45">
      <c r="N28" s="8">
        <v>72.885544122327204</v>
      </c>
      <c r="O28" s="105">
        <f t="shared" si="3"/>
        <v>2.4000240000532358E-4</v>
      </c>
      <c r="P28" s="82">
        <v>-9.13447999999999E-4</v>
      </c>
      <c r="Q28" s="82">
        <f t="shared" si="0"/>
        <v>-6.1195662955891572E-4</v>
      </c>
      <c r="R28" s="8">
        <v>24.0317033441384</v>
      </c>
      <c r="S28" s="102">
        <f t="shared" si="4"/>
        <v>2.4000239999821815E-4</v>
      </c>
      <c r="T28" s="8">
        <v>-1.5600200000000001E-3</v>
      </c>
      <c r="U28" s="101">
        <f t="shared" si="1"/>
        <v>-1.0531049286216588E-3</v>
      </c>
      <c r="V28" s="8">
        <v>51.981845538646397</v>
      </c>
      <c r="W28" s="103">
        <f t="shared" si="5"/>
        <v>2.4000239999821815E-4</v>
      </c>
      <c r="X28" s="8">
        <v>-4.7928800000000002E-3</v>
      </c>
      <c r="Y28" s="104">
        <f t="shared" si="2"/>
        <v>-2.9697500698249528E-3</v>
      </c>
      <c r="Z28" s="8">
        <v>62.997129278786801</v>
      </c>
      <c r="AA28" s="100">
        <f t="shared" si="6"/>
        <v>2.4000239999821815E-4</v>
      </c>
      <c r="AB28" s="8">
        <v>4.9056999999999998E-3</v>
      </c>
      <c r="AC28" s="98">
        <f t="shared" si="7"/>
        <v>3.0390465010528456E-3</v>
      </c>
    </row>
    <row r="29" spans="14:29" x14ac:dyDescent="0.45">
      <c r="N29" s="8">
        <v>72.885554122427195</v>
      </c>
      <c r="O29" s="105">
        <f t="shared" si="3"/>
        <v>2.5000249999607149E-4</v>
      </c>
      <c r="P29" s="82">
        <v>1.0262680000000001E-3</v>
      </c>
      <c r="Q29" s="82">
        <f t="shared" si="0"/>
        <v>6.8753941801193944E-4</v>
      </c>
      <c r="R29" s="8">
        <v>24.031713344238401</v>
      </c>
      <c r="S29" s="102">
        <f t="shared" si="4"/>
        <v>2.5000249999962421E-4</v>
      </c>
      <c r="T29" s="64">
        <v>5.6410000000000702E-5</v>
      </c>
      <c r="U29" s="101">
        <f t="shared" si="1"/>
        <v>3.8080056040017761E-5</v>
      </c>
      <c r="V29" s="8">
        <v>51.981855538746402</v>
      </c>
      <c r="W29" s="103">
        <f t="shared" si="5"/>
        <v>2.5000250000317692E-4</v>
      </c>
      <c r="X29" s="64">
        <v>-5.439452E-3</v>
      </c>
      <c r="Y29" s="104">
        <f t="shared" si="2"/>
        <v>-3.3703770920218072E-3</v>
      </c>
      <c r="Z29" s="8">
        <v>62.997139278886799</v>
      </c>
      <c r="AA29" s="100">
        <f t="shared" si="6"/>
        <v>2.5000249999607149E-4</v>
      </c>
      <c r="AB29" s="64">
        <v>1.0401562E-2</v>
      </c>
      <c r="AC29" s="98">
        <f t="shared" si="7"/>
        <v>6.4436941927929221E-3</v>
      </c>
    </row>
    <row r="30" spans="14:29" x14ac:dyDescent="0.45">
      <c r="N30" s="8">
        <v>72.8855641225272</v>
      </c>
      <c r="O30" s="105">
        <f t="shared" si="3"/>
        <v>2.6000260000103026E-4</v>
      </c>
      <c r="P30" s="82">
        <v>-4.1463079999999996E-3</v>
      </c>
      <c r="Q30" s="82">
        <f t="shared" si="0"/>
        <v>-2.7777833755103423E-3</v>
      </c>
      <c r="R30" s="8">
        <v>24.031723344338399</v>
      </c>
      <c r="S30" s="102">
        <f t="shared" si="4"/>
        <v>2.6000259999747755E-4</v>
      </c>
      <c r="T30" s="8">
        <v>-2.853164E-3</v>
      </c>
      <c r="U30" s="101">
        <f t="shared" si="1"/>
        <v>-1.9260529163509996E-3</v>
      </c>
      <c r="V30" s="8">
        <v>51.981865538846399</v>
      </c>
      <c r="W30" s="103">
        <f t="shared" si="5"/>
        <v>2.6000260000103026E-4</v>
      </c>
      <c r="X30" s="8">
        <v>-3.4997359999999998E-3</v>
      </c>
      <c r="Y30" s="104">
        <f t="shared" si="2"/>
        <v>-2.1684960254312441E-3</v>
      </c>
      <c r="Z30" s="8">
        <v>62.997149278986797</v>
      </c>
      <c r="AA30" s="100">
        <f t="shared" si="6"/>
        <v>2.6000259999392483E-4</v>
      </c>
      <c r="AB30" s="8">
        <v>-6.0860239999999998E-3</v>
      </c>
      <c r="AC30" s="98">
        <f t="shared" si="7"/>
        <v>-3.7702488824273078E-3</v>
      </c>
    </row>
    <row r="31" spans="14:29" x14ac:dyDescent="0.45">
      <c r="N31" s="8">
        <v>72.885574122627204</v>
      </c>
      <c r="O31" s="105">
        <f t="shared" si="3"/>
        <v>2.7000270000598903E-4</v>
      </c>
      <c r="P31" s="82">
        <v>-1.883306E-3</v>
      </c>
      <c r="Q31" s="82">
        <f t="shared" si="0"/>
        <v>-1.2617046533443443E-3</v>
      </c>
      <c r="R31" s="8">
        <v>24.0317333444384</v>
      </c>
      <c r="S31" s="102">
        <f t="shared" si="4"/>
        <v>2.700026999988836E-4</v>
      </c>
      <c r="T31" s="8">
        <v>-1.0288742E-2</v>
      </c>
      <c r="U31" s="101">
        <f t="shared" si="1"/>
        <v>-6.9455038457947099E-3</v>
      </c>
      <c r="V31" s="8">
        <v>51.981875538946397</v>
      </c>
      <c r="W31" s="103">
        <f t="shared" si="5"/>
        <v>2.700026999988836E-4</v>
      </c>
      <c r="X31" s="8">
        <v>-3.4997359999999998E-3</v>
      </c>
      <c r="Y31" s="104">
        <f t="shared" si="2"/>
        <v>-2.1684960254312441E-3</v>
      </c>
      <c r="Z31" s="8">
        <v>62.997159279086802</v>
      </c>
      <c r="AA31" s="100">
        <f t="shared" si="6"/>
        <v>2.700026999988836E-4</v>
      </c>
      <c r="AB31" s="8">
        <v>9.4317040000000008E-3</v>
      </c>
      <c r="AC31" s="98">
        <f t="shared" si="7"/>
        <v>5.8428740118976153E-3</v>
      </c>
    </row>
    <row r="32" spans="14:29" x14ac:dyDescent="0.45">
      <c r="N32" s="8">
        <v>72.885584122727195</v>
      </c>
      <c r="O32" s="105">
        <f t="shared" si="3"/>
        <v>2.8000279999673694E-4</v>
      </c>
      <c r="P32" s="82">
        <v>-9.13447999999999E-4</v>
      </c>
      <c r="Q32" s="82">
        <f t="shared" si="0"/>
        <v>-6.1195662955891572E-4</v>
      </c>
      <c r="R32" s="8">
        <v>24.031743344538398</v>
      </c>
      <c r="S32" s="102">
        <f t="shared" si="4"/>
        <v>2.8000279999673694E-4</v>
      </c>
      <c r="T32" s="8">
        <v>2.3194119999999999E-3</v>
      </c>
      <c r="U32" s="101">
        <f t="shared" si="1"/>
        <v>1.5657390345663637E-3</v>
      </c>
      <c r="V32" s="8">
        <v>51.981885539046402</v>
      </c>
      <c r="W32" s="103">
        <f t="shared" si="5"/>
        <v>2.8000280000384237E-4</v>
      </c>
      <c r="X32" s="8">
        <v>-4.4695940000000003E-3</v>
      </c>
      <c r="Y32" s="104">
        <f t="shared" si="2"/>
        <v>-2.7694365587265261E-3</v>
      </c>
      <c r="Z32" s="8">
        <v>62.997169279186799</v>
      </c>
      <c r="AA32" s="100">
        <f t="shared" si="6"/>
        <v>2.8000279999673694E-4</v>
      </c>
      <c r="AB32" s="8">
        <v>2.9659840000000001E-3</v>
      </c>
      <c r="AC32" s="98">
        <f t="shared" si="7"/>
        <v>1.8374061392622304E-3</v>
      </c>
    </row>
    <row r="33" spans="14:29" x14ac:dyDescent="0.45">
      <c r="N33" s="8">
        <v>72.8855941228272</v>
      </c>
      <c r="O33" s="105">
        <f t="shared" si="3"/>
        <v>2.9000290000169571E-4</v>
      </c>
      <c r="P33" s="82">
        <v>-1.2551744E-2</v>
      </c>
      <c r="Q33" s="82">
        <f t="shared" si="0"/>
        <v>-8.4089329149840512E-3</v>
      </c>
      <c r="R33" s="8">
        <v>24.0317533446384</v>
      </c>
      <c r="S33" s="102">
        <f t="shared" si="4"/>
        <v>2.9000289999814299E-4</v>
      </c>
      <c r="T33" s="8">
        <v>2.6426980000000002E-3</v>
      </c>
      <c r="U33" s="101">
        <f t="shared" si="1"/>
        <v>1.7839760314986991E-3</v>
      </c>
      <c r="V33" s="8">
        <v>51.9818955391464</v>
      </c>
      <c r="W33" s="103">
        <f t="shared" si="5"/>
        <v>2.9000290000169571E-4</v>
      </c>
      <c r="X33" s="8">
        <v>-3.1764499999999999E-3</v>
      </c>
      <c r="Y33" s="104">
        <f t="shared" si="2"/>
        <v>-1.968182514332817E-3</v>
      </c>
      <c r="Z33" s="8">
        <v>62.997179279286797</v>
      </c>
      <c r="AA33" s="100">
        <f t="shared" si="6"/>
        <v>2.9000289999459028E-4</v>
      </c>
      <c r="AB33" s="8">
        <v>7.02982E-4</v>
      </c>
      <c r="AC33" s="98">
        <f t="shared" si="7"/>
        <v>4.3549238383984581E-4</v>
      </c>
    </row>
    <row r="34" spans="14:29" x14ac:dyDescent="0.45">
      <c r="N34" s="8">
        <v>72.885604122927205</v>
      </c>
      <c r="O34" s="105">
        <f t="shared" si="3"/>
        <v>3.0000300000665447E-4</v>
      </c>
      <c r="P34" s="82">
        <v>-7.0558820000000003E-3</v>
      </c>
      <c r="Q34" s="82">
        <f t="shared" si="0"/>
        <v>-4.7270274468666261E-3</v>
      </c>
      <c r="R34" s="8">
        <v>24.031763344738401</v>
      </c>
      <c r="S34" s="102">
        <f t="shared" si="4"/>
        <v>3.0000299999954905E-4</v>
      </c>
      <c r="T34" s="8">
        <v>-1.883306E-3</v>
      </c>
      <c r="U34" s="101">
        <f t="shared" si="1"/>
        <v>-1.271341925553994E-3</v>
      </c>
      <c r="V34" s="8">
        <v>51.981905539246398</v>
      </c>
      <c r="W34" s="103">
        <f t="shared" si="5"/>
        <v>3.0000299999954905E-4</v>
      </c>
      <c r="X34" s="8">
        <v>-3.4997359999999998E-3</v>
      </c>
      <c r="Y34" s="104">
        <f t="shared" si="2"/>
        <v>-2.1684960254312441E-3</v>
      </c>
      <c r="Z34" s="8">
        <v>62.997189279386802</v>
      </c>
      <c r="AA34" s="100">
        <f t="shared" si="6"/>
        <v>3.0000299999954905E-4</v>
      </c>
      <c r="AB34" s="8">
        <v>5.5522719999999996E-3</v>
      </c>
      <c r="AC34" s="98">
        <f t="shared" si="7"/>
        <v>3.4395932883163837E-3</v>
      </c>
    </row>
    <row r="35" spans="14:29" x14ac:dyDescent="0.45">
      <c r="N35" s="8">
        <v>72.885614123027196</v>
      </c>
      <c r="O35" s="105">
        <f t="shared" si="3"/>
        <v>3.1000309999740239E-4</v>
      </c>
      <c r="P35" s="82">
        <v>-1.236734E-3</v>
      </c>
      <c r="Q35" s="82">
        <f t="shared" si="0"/>
        <v>-8.2853930415405902E-4</v>
      </c>
      <c r="R35" s="8">
        <v>24.031773344838498</v>
      </c>
      <c r="S35" s="102">
        <f t="shared" si="4"/>
        <v>3.1000310009687837E-4</v>
      </c>
      <c r="T35" s="8">
        <v>-5.7627379999999999E-3</v>
      </c>
      <c r="U35" s="101">
        <f t="shared" si="1"/>
        <v>-3.8901858887420166E-3</v>
      </c>
      <c r="V35" s="8">
        <v>51.981915539346403</v>
      </c>
      <c r="W35" s="103">
        <f t="shared" si="5"/>
        <v>3.1000310000450781E-4</v>
      </c>
      <c r="X35" s="8">
        <v>-3.8230220000000001E-3</v>
      </c>
      <c r="Y35" s="104">
        <f t="shared" si="2"/>
        <v>-2.3688095365296713E-3</v>
      </c>
      <c r="Z35" s="8">
        <v>62.9971992794868</v>
      </c>
      <c r="AA35" s="100">
        <f t="shared" si="6"/>
        <v>3.1000309999740239E-4</v>
      </c>
      <c r="AB35" s="8">
        <v>3.6125559999999998E-3</v>
      </c>
      <c r="AC35" s="98">
        <f t="shared" si="7"/>
        <v>2.2379529265257685E-3</v>
      </c>
    </row>
    <row r="36" spans="14:29" x14ac:dyDescent="0.45">
      <c r="N36" s="8">
        <v>72.885624123127201</v>
      </c>
      <c r="O36" s="105">
        <f t="shared" si="3"/>
        <v>3.2000320000236115E-4</v>
      </c>
      <c r="P36" s="82">
        <v>-2.5298780000000002E-3</v>
      </c>
      <c r="Q36" s="82">
        <f t="shared" si="0"/>
        <v>-1.6948700025346296E-3</v>
      </c>
      <c r="R36" s="8">
        <v>24.0317833449385</v>
      </c>
      <c r="S36" s="102">
        <f t="shared" si="4"/>
        <v>3.2000320009828442E-4</v>
      </c>
      <c r="T36" s="8">
        <v>-7.0558820000000003E-3</v>
      </c>
      <c r="U36" s="101">
        <f t="shared" si="1"/>
        <v>-4.7631338764713574E-3</v>
      </c>
      <c r="V36" s="8">
        <v>51.981925539446401</v>
      </c>
      <c r="W36" s="103">
        <f t="shared" si="5"/>
        <v>3.2000320000236115E-4</v>
      </c>
      <c r="X36" s="8">
        <v>-2.853164E-3</v>
      </c>
      <c r="Y36" s="104">
        <f t="shared" si="2"/>
        <v>-1.7678690032343898E-3</v>
      </c>
      <c r="Z36" s="8">
        <v>62.997209279586798</v>
      </c>
      <c r="AA36" s="100">
        <f t="shared" si="6"/>
        <v>3.2000319999525573E-4</v>
      </c>
      <c r="AB36" s="8">
        <v>4.5824139999999999E-3</v>
      </c>
      <c r="AC36" s="98">
        <f t="shared" si="7"/>
        <v>2.8387731074210765E-3</v>
      </c>
    </row>
    <row r="37" spans="14:29" x14ac:dyDescent="0.45">
      <c r="N37" s="8">
        <v>72.885634123227206</v>
      </c>
      <c r="O37" s="105">
        <f t="shared" si="3"/>
        <v>3.3000330000731992E-4</v>
      </c>
      <c r="P37" s="82">
        <v>1.6728400000000001E-3</v>
      </c>
      <c r="Q37" s="82">
        <f t="shared" si="0"/>
        <v>1.1207047672022246E-3</v>
      </c>
      <c r="R37" s="8">
        <v>24.031793345038501</v>
      </c>
      <c r="S37" s="102">
        <f t="shared" si="4"/>
        <v>3.3000330009969048E-4</v>
      </c>
      <c r="T37" s="8">
        <v>1.996126E-3</v>
      </c>
      <c r="U37" s="101">
        <f t="shared" si="1"/>
        <v>1.3475020376340285E-3</v>
      </c>
      <c r="V37" s="8">
        <v>51.981935539546399</v>
      </c>
      <c r="W37" s="103">
        <f t="shared" si="5"/>
        <v>3.3000330000021449E-4</v>
      </c>
      <c r="X37" s="8">
        <v>-3.4997359999999998E-3</v>
      </c>
      <c r="Y37" s="104">
        <f t="shared" si="2"/>
        <v>-2.1684960254312441E-3</v>
      </c>
      <c r="Z37" s="8">
        <v>62.997219279686803</v>
      </c>
      <c r="AA37" s="100">
        <f t="shared" si="6"/>
        <v>3.3000330000021449E-4</v>
      </c>
      <c r="AB37" s="8">
        <v>1.0262680000000001E-3</v>
      </c>
      <c r="AC37" s="98">
        <f t="shared" si="7"/>
        <v>6.3576577747161513E-4</v>
      </c>
    </row>
    <row r="38" spans="14:29" x14ac:dyDescent="0.45">
      <c r="N38" s="8">
        <v>72.885644123327197</v>
      </c>
      <c r="O38" s="105">
        <f t="shared" si="3"/>
        <v>3.4000339999806783E-4</v>
      </c>
      <c r="P38" s="82">
        <v>1.0262680000000001E-3</v>
      </c>
      <c r="Q38" s="82">
        <f t="shared" si="0"/>
        <v>6.8753941801193944E-4</v>
      </c>
      <c r="R38" s="8">
        <v>24.031803345138499</v>
      </c>
      <c r="S38" s="102">
        <f t="shared" si="4"/>
        <v>3.4000340009754382E-4</v>
      </c>
      <c r="T38" s="8">
        <v>6.5221300000000001E-3</v>
      </c>
      <c r="U38" s="101">
        <f t="shared" si="1"/>
        <v>4.4028199946867215E-3</v>
      </c>
      <c r="V38" s="8">
        <v>51.981945539646397</v>
      </c>
      <c r="W38" s="103">
        <f t="shared" si="5"/>
        <v>3.4000339999806783E-4</v>
      </c>
      <c r="X38" s="8">
        <v>2.3194119999999999E-3</v>
      </c>
      <c r="Y38" s="104">
        <f t="shared" si="2"/>
        <v>1.4371471743404452E-3</v>
      </c>
      <c r="Z38" s="8">
        <v>62.997229279786801</v>
      </c>
      <c r="AA38" s="100">
        <f t="shared" si="6"/>
        <v>3.4000339999806783E-4</v>
      </c>
      <c r="AB38" s="64">
        <v>5.6410000000000702E-5</v>
      </c>
      <c r="AC38" s="98">
        <f t="shared" si="7"/>
        <v>3.4945596576307796E-5</v>
      </c>
    </row>
    <row r="39" spans="14:29" x14ac:dyDescent="0.45">
      <c r="N39" s="8">
        <v>72.885654123427202</v>
      </c>
      <c r="O39" s="105">
        <f t="shared" si="3"/>
        <v>3.500035000030266E-4</v>
      </c>
      <c r="P39" s="82">
        <v>5.5522719999999996E-3</v>
      </c>
      <c r="Q39" s="82">
        <f t="shared" si="0"/>
        <v>3.719696862343936E-3</v>
      </c>
      <c r="R39" s="8">
        <v>24.031813345238501</v>
      </c>
      <c r="S39" s="102">
        <f t="shared" si="4"/>
        <v>3.5000350009894987E-4</v>
      </c>
      <c r="T39" s="8">
        <v>2.6426980000000002E-3</v>
      </c>
      <c r="U39" s="101">
        <f t="shared" si="1"/>
        <v>1.7839760314986991E-3</v>
      </c>
      <c r="V39" s="8">
        <v>51.981955539746401</v>
      </c>
      <c r="W39" s="103">
        <f t="shared" si="5"/>
        <v>3.500035000030266E-4</v>
      </c>
      <c r="X39" s="8">
        <v>-1.0935314E-2</v>
      </c>
      <c r="Y39" s="104">
        <f t="shared" si="2"/>
        <v>-6.7757067806950696E-3</v>
      </c>
      <c r="Z39" s="8">
        <v>62.997239279886799</v>
      </c>
      <c r="AA39" s="100">
        <f t="shared" si="6"/>
        <v>3.5000349999592117E-4</v>
      </c>
      <c r="AB39" s="8">
        <v>1.6728400000000001E-3</v>
      </c>
      <c r="AC39" s="98">
        <f t="shared" si="7"/>
        <v>1.0363125647351536E-3</v>
      </c>
    </row>
    <row r="40" spans="14:29" x14ac:dyDescent="0.45">
      <c r="N40" s="8">
        <v>72.885664123527206</v>
      </c>
      <c r="O40" s="105">
        <f t="shared" si="3"/>
        <v>3.6000360000798537E-4</v>
      </c>
      <c r="P40" s="99">
        <v>5.6410000000000702E-5</v>
      </c>
      <c r="Q40" s="82">
        <f t="shared" si="0"/>
        <v>3.7791394226511967E-5</v>
      </c>
      <c r="R40" s="8">
        <v>24.031823345338498</v>
      </c>
      <c r="S40" s="102">
        <f t="shared" si="4"/>
        <v>3.6000360009680321E-4</v>
      </c>
      <c r="T40" s="64">
        <v>5.6410000000000702E-5</v>
      </c>
      <c r="U40" s="101">
        <f t="shared" si="1"/>
        <v>3.8080056040017761E-5</v>
      </c>
      <c r="V40" s="8">
        <v>51.981965539846399</v>
      </c>
      <c r="W40" s="103">
        <f t="shared" si="5"/>
        <v>3.6000360000087994E-4</v>
      </c>
      <c r="X40" s="64">
        <v>-2.853164E-3</v>
      </c>
      <c r="Y40" s="104">
        <f t="shared" si="2"/>
        <v>-1.7678690032343898E-3</v>
      </c>
      <c r="Z40" s="8">
        <v>62.997249279986796</v>
      </c>
      <c r="AA40" s="100">
        <f t="shared" si="6"/>
        <v>3.6000359999377451E-4</v>
      </c>
      <c r="AB40" s="64">
        <v>7.8152740000000005E-3</v>
      </c>
      <c r="AC40" s="98">
        <f t="shared" si="7"/>
        <v>4.8415070437387688E-3</v>
      </c>
    </row>
    <row r="41" spans="14:29" x14ac:dyDescent="0.45">
      <c r="N41" s="8">
        <v>72.885674123627197</v>
      </c>
      <c r="O41" s="105">
        <f t="shared" si="3"/>
        <v>3.7000369999873328E-4</v>
      </c>
      <c r="P41" s="82">
        <v>-2.853164E-3</v>
      </c>
      <c r="Q41" s="82">
        <f t="shared" si="0"/>
        <v>-1.9114526771297723E-3</v>
      </c>
      <c r="R41" s="8">
        <v>24.0318333454385</v>
      </c>
      <c r="S41" s="102">
        <f t="shared" si="4"/>
        <v>3.7000370009820926E-4</v>
      </c>
      <c r="T41" s="8">
        <v>-1.236734E-3</v>
      </c>
      <c r="U41" s="101">
        <f t="shared" si="1"/>
        <v>-8.3486793168932355E-4</v>
      </c>
      <c r="V41" s="8">
        <v>51.981975539946397</v>
      </c>
      <c r="W41" s="103">
        <f t="shared" si="5"/>
        <v>3.7000369999873328E-4</v>
      </c>
      <c r="X41" s="8">
        <v>-4.1463079999999996E-3</v>
      </c>
      <c r="Y41" s="104">
        <f t="shared" si="2"/>
        <v>-2.5691230476280981E-3</v>
      </c>
      <c r="Z41" s="8">
        <v>62.997259280086801</v>
      </c>
      <c r="AA41" s="100">
        <f t="shared" si="6"/>
        <v>3.7000369999873328E-4</v>
      </c>
      <c r="AB41" s="8">
        <v>1.0262680000000001E-3</v>
      </c>
      <c r="AC41" s="98">
        <f t="shared" si="7"/>
        <v>6.3576577747161513E-4</v>
      </c>
    </row>
    <row r="42" spans="14:29" x14ac:dyDescent="0.45">
      <c r="N42" s="8">
        <v>72.885684123727202</v>
      </c>
      <c r="O42" s="105">
        <f t="shared" si="3"/>
        <v>3.8000380000369205E-4</v>
      </c>
      <c r="P42" s="82">
        <v>-1.883306E-3</v>
      </c>
      <c r="Q42" s="82">
        <f t="shared" si="0"/>
        <v>-1.2617046533443443E-3</v>
      </c>
      <c r="R42" s="8">
        <v>24.031843345538501</v>
      </c>
      <c r="S42" s="102">
        <f t="shared" si="4"/>
        <v>3.8000380009961532E-4</v>
      </c>
      <c r="T42" s="8">
        <v>3.7969600000000098E-4</v>
      </c>
      <c r="U42" s="101">
        <f t="shared" si="1"/>
        <v>2.5631705297235317E-4</v>
      </c>
      <c r="V42" s="8">
        <v>51.981985540046402</v>
      </c>
      <c r="W42" s="103">
        <f t="shared" si="5"/>
        <v>3.8000380000369205E-4</v>
      </c>
      <c r="X42" s="8">
        <v>-3.8230220000000001E-3</v>
      </c>
      <c r="Y42" s="104">
        <f t="shared" si="2"/>
        <v>-2.3688095365296713E-3</v>
      </c>
      <c r="Z42" s="8">
        <v>62.997269280186799</v>
      </c>
      <c r="AA42" s="100">
        <f t="shared" si="6"/>
        <v>3.8000379999658662E-4</v>
      </c>
      <c r="AB42" s="8">
        <v>2.3194119999999999E-3</v>
      </c>
      <c r="AC42" s="98">
        <f t="shared" si="7"/>
        <v>1.4368593519986919E-3</v>
      </c>
    </row>
    <row r="43" spans="14:29" x14ac:dyDescent="0.45">
      <c r="N43" s="8">
        <v>72.885694123827193</v>
      </c>
      <c r="O43" s="105">
        <f t="shared" si="3"/>
        <v>3.9000389999443996E-4</v>
      </c>
      <c r="P43" s="82">
        <v>3.28927E-3</v>
      </c>
      <c r="Q43" s="82">
        <f t="shared" si="0"/>
        <v>2.2036181401779379E-3</v>
      </c>
      <c r="R43" s="8">
        <v>24.031853345638499</v>
      </c>
      <c r="S43" s="102">
        <f t="shared" si="4"/>
        <v>3.9000390009746866E-4</v>
      </c>
      <c r="T43" s="8">
        <v>3.9358420000000002E-3</v>
      </c>
      <c r="U43" s="101">
        <f t="shared" si="1"/>
        <v>2.6569240192280399E-3</v>
      </c>
      <c r="V43" s="8">
        <v>51.9819955401464</v>
      </c>
      <c r="W43" s="103">
        <f t="shared" si="5"/>
        <v>3.9000390000154539E-4</v>
      </c>
      <c r="X43" s="8">
        <v>-2.5298780000000002E-3</v>
      </c>
      <c r="Y43" s="104">
        <f t="shared" si="2"/>
        <v>-1.5675554921359626E-3</v>
      </c>
      <c r="Z43" s="8">
        <v>62.997279280286797</v>
      </c>
      <c r="AA43" s="100">
        <f t="shared" si="6"/>
        <v>3.9000389999443996E-4</v>
      </c>
      <c r="AB43" s="8">
        <v>4.9056999999999998E-3</v>
      </c>
      <c r="AC43" s="98">
        <f t="shared" si="7"/>
        <v>3.0390465010528456E-3</v>
      </c>
    </row>
    <row r="44" spans="14:29" x14ac:dyDescent="0.45">
      <c r="N44" s="8">
        <v>72.885704123927198</v>
      </c>
      <c r="O44" s="105">
        <f t="shared" si="3"/>
        <v>4.0000399999939873E-4</v>
      </c>
      <c r="P44" s="82">
        <v>1.0262680000000001E-3</v>
      </c>
      <c r="Q44" s="82">
        <f t="shared" si="0"/>
        <v>6.8753941801193944E-4</v>
      </c>
      <c r="R44" s="8">
        <v>24.0318633457385</v>
      </c>
      <c r="S44" s="102">
        <f t="shared" si="4"/>
        <v>4.0000400009887471E-4</v>
      </c>
      <c r="T44" s="8">
        <v>-5.90161999999999E-4</v>
      </c>
      <c r="U44" s="101">
        <f t="shared" si="1"/>
        <v>-3.9839393782465244E-4</v>
      </c>
      <c r="V44" s="8">
        <v>51.982005540246398</v>
      </c>
      <c r="W44" s="103">
        <f t="shared" si="5"/>
        <v>4.0000399999939873E-4</v>
      </c>
      <c r="X44" s="8">
        <v>-9.9654559999999993E-3</v>
      </c>
      <c r="Y44" s="104">
        <f t="shared" si="2"/>
        <v>-6.1747662473997872E-3</v>
      </c>
      <c r="Z44" s="8">
        <v>62.997289280386802</v>
      </c>
      <c r="AA44" s="100">
        <f t="shared" si="6"/>
        <v>4.0000399999939873E-4</v>
      </c>
      <c r="AB44" s="8">
        <v>1.6728400000000001E-3</v>
      </c>
      <c r="AC44" s="98">
        <f t="shared" si="7"/>
        <v>1.0363125647351536E-3</v>
      </c>
    </row>
    <row r="45" spans="14:29" x14ac:dyDescent="0.45">
      <c r="N45" s="8">
        <v>72.885714124027302</v>
      </c>
      <c r="O45" s="105">
        <f t="shared" si="3"/>
        <v>4.1000410010383348E-4</v>
      </c>
      <c r="P45" s="82">
        <v>-1.236734E-3</v>
      </c>
      <c r="Q45" s="82">
        <f t="shared" si="0"/>
        <v>-8.2853930415405902E-4</v>
      </c>
      <c r="R45" s="8">
        <v>24.031873345838498</v>
      </c>
      <c r="S45" s="102">
        <f t="shared" si="4"/>
        <v>4.1000410009672805E-4</v>
      </c>
      <c r="T45" s="8">
        <v>-5.1161660000000001E-3</v>
      </c>
      <c r="U45" s="101">
        <f t="shared" si="1"/>
        <v>-3.4537118948773462E-3</v>
      </c>
      <c r="V45" s="8">
        <v>51.982015540346403</v>
      </c>
      <c r="W45" s="103">
        <f t="shared" si="5"/>
        <v>4.100041000043575E-4</v>
      </c>
      <c r="X45" s="8">
        <v>-2.853164E-3</v>
      </c>
      <c r="Y45" s="104">
        <f t="shared" si="2"/>
        <v>-1.7678690032343898E-3</v>
      </c>
      <c r="Z45" s="8">
        <v>62.9972992804868</v>
      </c>
      <c r="AA45" s="100">
        <f t="shared" si="6"/>
        <v>4.1000409999725207E-4</v>
      </c>
      <c r="AB45" s="8">
        <v>4.259128E-3</v>
      </c>
      <c r="AC45" s="98">
        <f t="shared" si="7"/>
        <v>2.6384997137893071E-3</v>
      </c>
    </row>
    <row r="46" spans="14:29" x14ac:dyDescent="0.45">
      <c r="N46" s="8">
        <v>72.885724124127194</v>
      </c>
      <c r="O46" s="105">
        <f t="shared" si="3"/>
        <v>4.2000419999510541E-4</v>
      </c>
      <c r="P46" s="82">
        <v>3.7969600000000098E-4</v>
      </c>
      <c r="Q46" s="82">
        <f t="shared" si="0"/>
        <v>2.5437406882165478E-4</v>
      </c>
      <c r="R46" s="8">
        <v>24.0318833459385</v>
      </c>
      <c r="S46" s="102">
        <f t="shared" si="4"/>
        <v>4.2000420009813411E-4</v>
      </c>
      <c r="T46" s="8">
        <v>-2.2065919999999998E-3</v>
      </c>
      <c r="U46" s="101">
        <f t="shared" si="1"/>
        <v>-1.4895789224863292E-3</v>
      </c>
      <c r="V46" s="8">
        <v>51.982025540446401</v>
      </c>
      <c r="W46" s="103">
        <f t="shared" si="5"/>
        <v>4.2000420000221084E-4</v>
      </c>
      <c r="X46" s="8">
        <v>-5.439452E-3</v>
      </c>
      <c r="Y46" s="104">
        <f t="shared" si="2"/>
        <v>-3.3703770920218072E-3</v>
      </c>
      <c r="Z46" s="8">
        <v>62.997309280586798</v>
      </c>
      <c r="AA46" s="100">
        <f t="shared" si="6"/>
        <v>4.2000419999510541E-4</v>
      </c>
      <c r="AB46" s="8">
        <v>3.9358420000000002E-3</v>
      </c>
      <c r="AC46" s="98">
        <f t="shared" si="7"/>
        <v>2.438226320157538E-3</v>
      </c>
    </row>
    <row r="47" spans="14:29" x14ac:dyDescent="0.45">
      <c r="N47" s="8">
        <v>72.885734124227199</v>
      </c>
      <c r="O47" s="105">
        <f t="shared" si="3"/>
        <v>4.3000430000006418E-4</v>
      </c>
      <c r="P47" s="82">
        <v>3.7969600000000098E-4</v>
      </c>
      <c r="Q47" s="82">
        <f t="shared" si="0"/>
        <v>2.5437406882165478E-4</v>
      </c>
      <c r="R47" s="8">
        <v>24.031893346038501</v>
      </c>
      <c r="S47" s="102">
        <f t="shared" si="4"/>
        <v>4.3000430009954016E-4</v>
      </c>
      <c r="T47" s="8">
        <v>3.7969600000000098E-4</v>
      </c>
      <c r="U47" s="101">
        <f t="shared" si="1"/>
        <v>2.5631705297235317E-4</v>
      </c>
      <c r="V47" s="8">
        <v>51.982035540546399</v>
      </c>
      <c r="W47" s="103">
        <f t="shared" si="5"/>
        <v>4.3000430000006418E-4</v>
      </c>
      <c r="X47" s="8">
        <v>-8.02574E-3</v>
      </c>
      <c r="Y47" s="104">
        <f t="shared" si="2"/>
        <v>-4.972885180809225E-3</v>
      </c>
      <c r="Z47" s="8">
        <v>62.997319280686803</v>
      </c>
      <c r="AA47" s="100">
        <f t="shared" si="6"/>
        <v>4.3000430000006418E-4</v>
      </c>
      <c r="AB47" s="8">
        <v>6.5221300000000001E-3</v>
      </c>
      <c r="AC47" s="98">
        <f t="shared" si="7"/>
        <v>4.0404134692116917E-3</v>
      </c>
    </row>
    <row r="48" spans="14:29" x14ac:dyDescent="0.45">
      <c r="N48" s="8">
        <v>72.885744124327303</v>
      </c>
      <c r="O48" s="105">
        <f t="shared" si="3"/>
        <v>4.4000440010449893E-4</v>
      </c>
      <c r="P48" s="82">
        <v>1.0262680000000001E-3</v>
      </c>
      <c r="Q48" s="82">
        <f t="shared" si="0"/>
        <v>6.8753941801193944E-4</v>
      </c>
      <c r="R48" s="8">
        <v>24.031903346138499</v>
      </c>
      <c r="S48" s="102">
        <f t="shared" si="4"/>
        <v>4.400044000973935E-4</v>
      </c>
      <c r="T48" s="8">
        <v>1.0262680000000001E-3</v>
      </c>
      <c r="U48" s="101">
        <f t="shared" si="1"/>
        <v>6.9279104683702298E-4</v>
      </c>
      <c r="V48" s="8">
        <v>51.982045540646403</v>
      </c>
      <c r="W48" s="103">
        <f t="shared" si="5"/>
        <v>4.4000440000502294E-4</v>
      </c>
      <c r="X48" s="8">
        <v>-3.8230220000000001E-3</v>
      </c>
      <c r="Y48" s="104">
        <f t="shared" si="2"/>
        <v>-2.3688095365296713E-3</v>
      </c>
      <c r="Z48" s="8">
        <v>62.997329280786801</v>
      </c>
      <c r="AA48" s="100">
        <f t="shared" si="6"/>
        <v>4.4000439999791752E-4</v>
      </c>
      <c r="AB48" s="8">
        <v>3.28927E-3</v>
      </c>
      <c r="AC48" s="98">
        <f t="shared" si="7"/>
        <v>2.0376795328939995E-3</v>
      </c>
    </row>
    <row r="49" spans="14:29" x14ac:dyDescent="0.45">
      <c r="N49" s="8">
        <v>72.885754124427294</v>
      </c>
      <c r="O49" s="105">
        <f t="shared" si="3"/>
        <v>4.5000450009524684E-4</v>
      </c>
      <c r="P49" s="82">
        <v>-9.13447999999999E-4</v>
      </c>
      <c r="Q49" s="82">
        <f t="shared" si="0"/>
        <v>-6.1195662955891572E-4</v>
      </c>
      <c r="R49" s="8">
        <v>24.0319133462385</v>
      </c>
      <c r="S49" s="102">
        <f t="shared" si="4"/>
        <v>4.5000450009879955E-4</v>
      </c>
      <c r="T49" s="8">
        <v>-2.6687599999999901E-4</v>
      </c>
      <c r="U49" s="101">
        <f t="shared" si="1"/>
        <v>-1.8015694089231727E-4</v>
      </c>
      <c r="V49" s="8">
        <v>51.982055540746401</v>
      </c>
      <c r="W49" s="103">
        <f t="shared" si="5"/>
        <v>4.5000450000287628E-4</v>
      </c>
      <c r="X49" s="8">
        <v>-2.5298780000000002E-3</v>
      </c>
      <c r="Y49" s="104">
        <f t="shared" si="2"/>
        <v>-1.5675554921359626E-3</v>
      </c>
      <c r="Z49" s="8">
        <v>62.997339280886798</v>
      </c>
      <c r="AA49" s="100">
        <f t="shared" si="6"/>
        <v>4.5000449999577086E-4</v>
      </c>
      <c r="AB49" s="8">
        <v>1.0401562E-2</v>
      </c>
      <c r="AC49" s="98">
        <f t="shared" si="7"/>
        <v>6.4436941927929221E-3</v>
      </c>
    </row>
    <row r="50" spans="14:29" x14ac:dyDescent="0.45">
      <c r="N50" s="8">
        <v>72.885764124527199</v>
      </c>
      <c r="O50" s="105">
        <f t="shared" si="3"/>
        <v>4.6000460000072962E-4</v>
      </c>
      <c r="P50" s="82">
        <v>1.996126E-3</v>
      </c>
      <c r="Q50" s="82">
        <f t="shared" si="0"/>
        <v>1.3372874417973673E-3</v>
      </c>
      <c r="R50" s="8">
        <v>24.031923346338498</v>
      </c>
      <c r="S50" s="102">
        <f t="shared" si="4"/>
        <v>4.6000460009665289E-4</v>
      </c>
      <c r="T50" s="8">
        <v>-3.4997359999999998E-3</v>
      </c>
      <c r="U50" s="101">
        <f t="shared" si="1"/>
        <v>-2.36252691021567E-3</v>
      </c>
      <c r="V50" s="8">
        <v>51.982065540846399</v>
      </c>
      <c r="W50" s="103">
        <f t="shared" si="5"/>
        <v>4.6000460000072962E-4</v>
      </c>
      <c r="X50" s="8">
        <v>-4.4695940000000003E-3</v>
      </c>
      <c r="Y50" s="104">
        <f t="shared" si="2"/>
        <v>-2.7694365587265261E-3</v>
      </c>
      <c r="Z50" s="8">
        <v>62.997349280986803</v>
      </c>
      <c r="AA50" s="100">
        <f t="shared" si="6"/>
        <v>4.6000460000072962E-4</v>
      </c>
      <c r="AB50" s="8">
        <v>1.1694705999999999E-2</v>
      </c>
      <c r="AC50" s="98">
        <f t="shared" si="7"/>
        <v>7.2447877673199991E-3</v>
      </c>
    </row>
    <row r="51" spans="14:29" x14ac:dyDescent="0.45">
      <c r="N51" s="8">
        <v>72.885774124627304</v>
      </c>
      <c r="O51" s="105">
        <f t="shared" si="3"/>
        <v>4.7000470010516437E-4</v>
      </c>
      <c r="P51" s="82">
        <v>-2.6687599999999901E-4</v>
      </c>
      <c r="Q51" s="82">
        <f t="shared" si="0"/>
        <v>-1.7879128036863047E-4</v>
      </c>
      <c r="R51" s="8">
        <v>24.0319333464385</v>
      </c>
      <c r="S51" s="102">
        <f t="shared" si="4"/>
        <v>4.7000470009805895E-4</v>
      </c>
      <c r="T51" s="8">
        <v>1.6728400000000001E-3</v>
      </c>
      <c r="U51" s="101">
        <f t="shared" si="1"/>
        <v>1.1292650407016935E-3</v>
      </c>
      <c r="V51" s="8">
        <v>51.982075540946397</v>
      </c>
      <c r="W51" s="103">
        <f t="shared" si="5"/>
        <v>4.7000469999858296E-4</v>
      </c>
      <c r="X51" s="8">
        <v>-7.3791680000000002E-3</v>
      </c>
      <c r="Y51" s="104">
        <f t="shared" si="2"/>
        <v>-4.5722581586123707E-3</v>
      </c>
      <c r="Z51" s="8">
        <v>62.997359281086801</v>
      </c>
      <c r="AA51" s="100">
        <f t="shared" si="6"/>
        <v>4.7000469999858296E-4</v>
      </c>
      <c r="AB51" s="8">
        <v>7.02982E-4</v>
      </c>
      <c r="AC51" s="98">
        <f t="shared" si="7"/>
        <v>4.3549238383984581E-4</v>
      </c>
    </row>
    <row r="52" spans="14:29" x14ac:dyDescent="0.45">
      <c r="N52" s="8">
        <v>72.885784124727294</v>
      </c>
      <c r="O52" s="105">
        <f t="shared" si="3"/>
        <v>4.8000480009591229E-4</v>
      </c>
      <c r="P52" s="82">
        <v>3.28927E-3</v>
      </c>
      <c r="Q52" s="82">
        <f t="shared" si="0"/>
        <v>2.2036181401779379E-3</v>
      </c>
      <c r="R52" s="8">
        <v>24.031943346538501</v>
      </c>
      <c r="S52" s="102">
        <f t="shared" si="4"/>
        <v>4.80004800099465E-4</v>
      </c>
      <c r="T52" s="8">
        <v>1.996126E-3</v>
      </c>
      <c r="U52" s="101">
        <f t="shared" si="1"/>
        <v>1.3475020376340285E-3</v>
      </c>
      <c r="V52" s="8">
        <v>51.982085541046402</v>
      </c>
      <c r="W52" s="103">
        <f t="shared" si="5"/>
        <v>4.8000480000354173E-4</v>
      </c>
      <c r="X52" s="8">
        <v>-6.4093099999999997E-3</v>
      </c>
      <c r="Y52" s="104">
        <f t="shared" si="2"/>
        <v>-3.9713176253170883E-3</v>
      </c>
      <c r="Z52" s="8">
        <v>62.997369281186799</v>
      </c>
      <c r="AA52" s="100">
        <f t="shared" si="6"/>
        <v>4.800047999964363E-4</v>
      </c>
      <c r="AB52" s="8">
        <v>-1.883306E-3</v>
      </c>
      <c r="AC52" s="98">
        <f t="shared" si="7"/>
        <v>-1.166694765214308E-3</v>
      </c>
    </row>
    <row r="53" spans="14:29" x14ac:dyDescent="0.45">
      <c r="N53" s="8">
        <v>72.8857941248272</v>
      </c>
      <c r="O53" s="105">
        <f t="shared" si="3"/>
        <v>4.9000490000139507E-4</v>
      </c>
      <c r="P53" s="82">
        <v>5.5522719999999996E-3</v>
      </c>
      <c r="Q53" s="82">
        <f t="shared" si="0"/>
        <v>3.719696862343936E-3</v>
      </c>
      <c r="R53" s="8">
        <v>24.031953346638499</v>
      </c>
      <c r="S53" s="102">
        <f t="shared" si="4"/>
        <v>4.9000490009731834E-4</v>
      </c>
      <c r="T53" s="8">
        <v>-9.13447999999999E-4</v>
      </c>
      <c r="U53" s="101">
        <f t="shared" si="1"/>
        <v>-6.166309347569877E-4</v>
      </c>
      <c r="V53" s="8">
        <v>51.9820955411464</v>
      </c>
      <c r="W53" s="103">
        <f t="shared" si="5"/>
        <v>4.9000490000139507E-4</v>
      </c>
      <c r="X53" s="8">
        <v>-3.1764499999999999E-3</v>
      </c>
      <c r="Y53" s="104">
        <f t="shared" si="2"/>
        <v>-1.968182514332817E-3</v>
      </c>
      <c r="Z53" s="8">
        <v>62.997379281286797</v>
      </c>
      <c r="AA53" s="100">
        <f t="shared" si="6"/>
        <v>4.9000489999428964E-4</v>
      </c>
      <c r="AB53" s="8">
        <v>1.0262680000000001E-3</v>
      </c>
      <c r="AC53" s="98">
        <f t="shared" si="7"/>
        <v>6.3576577747161513E-4</v>
      </c>
    </row>
    <row r="54" spans="14:29" x14ac:dyDescent="0.45">
      <c r="N54" s="8">
        <v>72.885804124927304</v>
      </c>
      <c r="O54" s="105">
        <f t="shared" si="3"/>
        <v>5.0000500010582982E-4</v>
      </c>
      <c r="P54" s="82">
        <v>3.28927E-3</v>
      </c>
      <c r="Q54" s="82">
        <f t="shared" si="0"/>
        <v>2.2036181401779379E-3</v>
      </c>
      <c r="R54" s="8">
        <v>24.0319633467385</v>
      </c>
      <c r="S54" s="102">
        <f t="shared" si="4"/>
        <v>5.0000500009872439E-4</v>
      </c>
      <c r="T54" s="8">
        <v>1.996126E-3</v>
      </c>
      <c r="U54" s="101">
        <f t="shared" si="1"/>
        <v>1.3475020376340285E-3</v>
      </c>
      <c r="V54" s="8">
        <v>51.982105541246398</v>
      </c>
      <c r="W54" s="103">
        <f t="shared" si="5"/>
        <v>5.0000499999924841E-4</v>
      </c>
      <c r="X54" s="8">
        <v>-6.0860239999999998E-3</v>
      </c>
      <c r="Y54" s="104">
        <f t="shared" si="2"/>
        <v>-3.7710041142186615E-3</v>
      </c>
      <c r="Z54" s="8">
        <v>62.997389281386802</v>
      </c>
      <c r="AA54" s="100">
        <f t="shared" si="6"/>
        <v>5.0000499999924841E-4</v>
      </c>
      <c r="AB54" s="8">
        <v>-1.236734E-3</v>
      </c>
      <c r="AC54" s="98">
        <f t="shared" si="7"/>
        <v>-7.6614797795076953E-4</v>
      </c>
    </row>
    <row r="55" spans="14:29" x14ac:dyDescent="0.45">
      <c r="N55" s="8">
        <v>72.885814125027295</v>
      </c>
      <c r="O55" s="105">
        <f t="shared" si="3"/>
        <v>5.1000510009657773E-4</v>
      </c>
      <c r="P55" s="82">
        <v>8.1385599999999995E-3</v>
      </c>
      <c r="Q55" s="82">
        <f t="shared" si="0"/>
        <v>5.4523582591050768E-3</v>
      </c>
      <c r="R55" s="8">
        <v>24.031973346838502</v>
      </c>
      <c r="S55" s="102">
        <f t="shared" si="4"/>
        <v>5.1000510010013045E-4</v>
      </c>
      <c r="T55" s="8">
        <v>-5.90161999999999E-4</v>
      </c>
      <c r="U55" s="101">
        <f t="shared" si="1"/>
        <v>-3.9839393782465244E-4</v>
      </c>
      <c r="V55" s="8">
        <v>51.982115541346403</v>
      </c>
      <c r="W55" s="103">
        <f t="shared" si="5"/>
        <v>5.1000510000420718E-4</v>
      </c>
      <c r="X55" s="8">
        <v>-6.7325960000000004E-3</v>
      </c>
      <c r="Y55" s="104">
        <f t="shared" si="2"/>
        <v>-4.1716311364155163E-3</v>
      </c>
      <c r="Z55" s="8">
        <v>62.9973992814868</v>
      </c>
      <c r="AA55" s="100">
        <f t="shared" si="6"/>
        <v>5.1000509999710175E-4</v>
      </c>
      <c r="AB55" s="8">
        <v>-3.8230220000000001E-3</v>
      </c>
      <c r="AC55" s="98">
        <f t="shared" si="7"/>
        <v>-2.3683351270049236E-3</v>
      </c>
    </row>
    <row r="56" spans="14:29" x14ac:dyDescent="0.45">
      <c r="N56" s="8">
        <v>72.8858241251273</v>
      </c>
      <c r="O56" s="105">
        <f t="shared" si="3"/>
        <v>5.200052001015365E-4</v>
      </c>
      <c r="P56" s="82">
        <v>2.0100142000000001E-2</v>
      </c>
      <c r="Q56" s="82">
        <f t="shared" si="0"/>
        <v>1.3465917219125356E-2</v>
      </c>
      <c r="R56" s="8">
        <v>24.0319833469385</v>
      </c>
      <c r="S56" s="102">
        <f t="shared" si="4"/>
        <v>5.2000520009798379E-4</v>
      </c>
      <c r="T56" s="8">
        <v>1.6220709999999999E-2</v>
      </c>
      <c r="U56" s="101">
        <f t="shared" si="1"/>
        <v>1.0949929902656778E-2</v>
      </c>
      <c r="V56" s="8">
        <v>51.982125541446401</v>
      </c>
      <c r="W56" s="103">
        <f t="shared" si="5"/>
        <v>5.2000520000206052E-4</v>
      </c>
      <c r="X56" s="8">
        <v>-5.1161660000000001E-3</v>
      </c>
      <c r="Y56" s="104">
        <f t="shared" si="2"/>
        <v>-3.17006358092338E-3</v>
      </c>
      <c r="Z56" s="8">
        <v>62.997409281586798</v>
      </c>
      <c r="AA56" s="100">
        <f t="shared" si="6"/>
        <v>5.2000519999495509E-4</v>
      </c>
      <c r="AB56" s="8">
        <v>3.6125559999999998E-3</v>
      </c>
      <c r="AC56" s="98">
        <f t="shared" si="7"/>
        <v>2.2379529265257685E-3</v>
      </c>
    </row>
    <row r="57" spans="14:29" x14ac:dyDescent="0.45">
      <c r="N57" s="8">
        <v>72.885834125227305</v>
      </c>
      <c r="O57" s="105">
        <f t="shared" si="3"/>
        <v>5.3000530010649527E-4</v>
      </c>
      <c r="P57" s="82">
        <v>2.0100142000000001E-2</v>
      </c>
      <c r="Q57" s="82">
        <f t="shared" si="0"/>
        <v>1.3465917219125356E-2</v>
      </c>
      <c r="R57" s="8">
        <v>24.031993347038501</v>
      </c>
      <c r="S57" s="102">
        <f t="shared" si="4"/>
        <v>5.3000530009938984E-4</v>
      </c>
      <c r="T57" s="8">
        <v>1.5574138E-2</v>
      </c>
      <c r="U57" s="101">
        <f t="shared" si="1"/>
        <v>1.0513455908792107E-2</v>
      </c>
      <c r="V57" s="8">
        <v>51.982135541546398</v>
      </c>
      <c r="W57" s="103">
        <f t="shared" si="5"/>
        <v>5.3000529999991386E-4</v>
      </c>
      <c r="X57" s="8">
        <v>1.349554E-3</v>
      </c>
      <c r="Y57" s="104">
        <f t="shared" si="2"/>
        <v>8.3620664104516371E-4</v>
      </c>
      <c r="Z57" s="8">
        <v>62.997419281686803</v>
      </c>
      <c r="AA57" s="100">
        <f t="shared" si="6"/>
        <v>5.3000529999991386E-4</v>
      </c>
      <c r="AB57" s="8">
        <v>1.5897424E-2</v>
      </c>
      <c r="AC57" s="98">
        <f t="shared" si="7"/>
        <v>9.848341884532999E-3</v>
      </c>
    </row>
    <row r="58" spans="14:29" x14ac:dyDescent="0.45">
      <c r="N58" s="8">
        <v>72.885844125327296</v>
      </c>
      <c r="O58" s="105">
        <f t="shared" si="3"/>
        <v>5.4000540009724318E-4</v>
      </c>
      <c r="P58" s="82">
        <v>6.4713610000000005E-2</v>
      </c>
      <c r="Q58" s="82">
        <f t="shared" si="0"/>
        <v>4.3354326313255039E-2</v>
      </c>
      <c r="R58" s="8">
        <v>24.032003347138499</v>
      </c>
      <c r="S58" s="102">
        <f t="shared" si="4"/>
        <v>5.4000540009724318E-4</v>
      </c>
      <c r="T58" s="8">
        <v>5.9864319999999999E-2</v>
      </c>
      <c r="U58" s="101">
        <f t="shared" si="1"/>
        <v>4.041192448852203E-2</v>
      </c>
      <c r="V58" s="8">
        <v>51.982145541646403</v>
      </c>
      <c r="W58" s="103">
        <f t="shared" si="5"/>
        <v>5.4000540000487263E-4</v>
      </c>
      <c r="X58" s="8">
        <v>8.7851319999999993E-3</v>
      </c>
      <c r="Y58" s="104">
        <f t="shared" si="2"/>
        <v>5.443417396308989E-3</v>
      </c>
      <c r="Z58" s="8">
        <v>62.9974292817868</v>
      </c>
      <c r="AA58" s="100">
        <f t="shared" si="6"/>
        <v>5.400053999977672E-4</v>
      </c>
      <c r="AB58" s="8">
        <v>5.6954746000000001E-2</v>
      </c>
      <c r="AC58" s="98">
        <f t="shared" si="7"/>
        <v>3.5283062875767691E-2</v>
      </c>
    </row>
    <row r="59" spans="14:29" x14ac:dyDescent="0.45">
      <c r="N59" s="8">
        <v>72.885854125427301</v>
      </c>
      <c r="O59" s="105">
        <f t="shared" si="3"/>
        <v>5.5000550010220195E-4</v>
      </c>
      <c r="P59" s="82">
        <v>0.17333770600000001</v>
      </c>
      <c r="Q59" s="82">
        <f t="shared" si="0"/>
        <v>0.11612610497722296</v>
      </c>
      <c r="R59" s="8">
        <v>24.0320133472385</v>
      </c>
      <c r="S59" s="102">
        <f t="shared" si="4"/>
        <v>5.5000550009864924E-4</v>
      </c>
      <c r="T59" s="8">
        <v>0.15394054600000001</v>
      </c>
      <c r="U59" s="101">
        <f t="shared" si="1"/>
        <v>0.10391889059583159</v>
      </c>
      <c r="V59" s="8">
        <v>51.982155541746401</v>
      </c>
      <c r="W59" s="103">
        <f t="shared" si="5"/>
        <v>5.5000550000272597E-4</v>
      </c>
      <c r="X59" s="8">
        <v>4.4669878000000003E-2</v>
      </c>
      <c r="Y59" s="104">
        <f t="shared" si="2"/>
        <v>2.7678217128234411E-2</v>
      </c>
      <c r="Z59" s="8">
        <v>62.997439281886798</v>
      </c>
      <c r="AA59" s="100">
        <f t="shared" si="6"/>
        <v>5.5000549999562054E-4</v>
      </c>
      <c r="AB59" s="8">
        <v>0.160729552</v>
      </c>
      <c r="AC59" s="98">
        <f t="shared" si="7"/>
        <v>9.9570822231565603E-2</v>
      </c>
    </row>
    <row r="60" spans="14:29" x14ac:dyDescent="0.45">
      <c r="N60" s="8">
        <v>72.885864125527306</v>
      </c>
      <c r="O60" s="105">
        <f t="shared" si="3"/>
        <v>5.6000560010716072E-4</v>
      </c>
      <c r="P60" s="82">
        <v>0.407720056</v>
      </c>
      <c r="Q60" s="82">
        <f t="shared" si="0"/>
        <v>0.27314854405870137</v>
      </c>
      <c r="R60" s="8">
        <v>24.032023347338502</v>
      </c>
      <c r="S60" s="102">
        <f t="shared" si="4"/>
        <v>5.6000560010005529E-4</v>
      </c>
      <c r="T60" s="8">
        <v>0.37733117199999999</v>
      </c>
      <c r="U60" s="101">
        <f t="shared" si="1"/>
        <v>0.2547206554760752</v>
      </c>
      <c r="V60" s="8">
        <v>51.982165541846399</v>
      </c>
      <c r="W60" s="103">
        <f t="shared" si="5"/>
        <v>5.6000560000057931E-4</v>
      </c>
      <c r="X60" s="8">
        <v>0.17527742199999999</v>
      </c>
      <c r="Y60" s="104">
        <f t="shared" si="2"/>
        <v>0.10860487561199898</v>
      </c>
      <c r="Z60" s="8">
        <v>62.997449281986803</v>
      </c>
      <c r="AA60" s="100">
        <f t="shared" si="6"/>
        <v>5.6000560000057931E-4</v>
      </c>
      <c r="AB60" s="8">
        <v>0.39414204400000002</v>
      </c>
      <c r="AC60" s="98">
        <f t="shared" si="7"/>
        <v>0.24416821243370301</v>
      </c>
    </row>
    <row r="61" spans="14:29" x14ac:dyDescent="0.45">
      <c r="N61" s="8">
        <v>72.885874125627296</v>
      </c>
      <c r="O61" s="105">
        <f t="shared" si="3"/>
        <v>5.7000570009790863E-4</v>
      </c>
      <c r="P61" s="82">
        <v>0.77949895599999997</v>
      </c>
      <c r="Q61" s="82">
        <f t="shared" si="0"/>
        <v>0.52221861984311535</v>
      </c>
      <c r="R61" s="8">
        <v>24.0320333474385</v>
      </c>
      <c r="S61" s="102">
        <f t="shared" si="4"/>
        <v>5.7000570009790863E-4</v>
      </c>
      <c r="T61" s="8">
        <v>0.72777319600000001</v>
      </c>
      <c r="U61" s="101">
        <f t="shared" si="1"/>
        <v>0.49128956015072661</v>
      </c>
      <c r="V61" s="8">
        <v>51.982175541946397</v>
      </c>
      <c r="W61" s="103">
        <f t="shared" si="5"/>
        <v>5.7000569999843265E-4</v>
      </c>
      <c r="X61" s="8">
        <v>0.51440443599999996</v>
      </c>
      <c r="Y61" s="104">
        <f t="shared" si="2"/>
        <v>0.31873374875424909</v>
      </c>
      <c r="Z61" s="8">
        <v>62.997459282086801</v>
      </c>
      <c r="AA61" s="100">
        <f t="shared" si="6"/>
        <v>5.7000569999843265E-4</v>
      </c>
      <c r="AB61" s="8">
        <v>0.77788252599999996</v>
      </c>
      <c r="AC61" s="98">
        <f t="shared" si="7"/>
        <v>0.48189273067461302</v>
      </c>
    </row>
    <row r="62" spans="14:29" x14ac:dyDescent="0.45">
      <c r="N62" s="8">
        <v>72.885884125727301</v>
      </c>
      <c r="O62" s="105">
        <f t="shared" si="3"/>
        <v>5.800058001028674E-4</v>
      </c>
      <c r="P62" s="99">
        <v>1.1648558680000001</v>
      </c>
      <c r="Q62" s="82">
        <f t="shared" si="0"/>
        <v>0.78038516796052548</v>
      </c>
      <c r="R62" s="8">
        <v>24.032043347538501</v>
      </c>
      <c r="S62" s="102">
        <f t="shared" si="4"/>
        <v>5.8000580009931468E-4</v>
      </c>
      <c r="T62" s="64">
        <v>1.1053712440000001</v>
      </c>
      <c r="U62" s="101">
        <f t="shared" si="1"/>
        <v>0.74619037256769416</v>
      </c>
      <c r="V62" s="8">
        <v>51.982185542046402</v>
      </c>
      <c r="W62" s="103">
        <f t="shared" si="5"/>
        <v>5.8000580000339141E-4</v>
      </c>
      <c r="X62" s="64">
        <v>0.95375010999999998</v>
      </c>
      <c r="Y62" s="104">
        <f t="shared" si="2"/>
        <v>0.59095981033701162</v>
      </c>
      <c r="Z62" s="8">
        <v>62.997469282186799</v>
      </c>
      <c r="AA62" s="100">
        <f t="shared" si="6"/>
        <v>5.8000579999628599E-4</v>
      </c>
      <c r="AB62" s="64">
        <v>1.1936283219999999</v>
      </c>
      <c r="AC62" s="98">
        <f t="shared" si="7"/>
        <v>0.73944431488506823</v>
      </c>
    </row>
    <row r="63" spans="14:29" x14ac:dyDescent="0.45">
      <c r="N63" s="8">
        <v>72.885894125827306</v>
      </c>
      <c r="O63" s="105">
        <f t="shared" si="3"/>
        <v>5.9000590010782616E-4</v>
      </c>
      <c r="P63" s="99">
        <v>1.4680981360000001</v>
      </c>
      <c r="Q63" s="82">
        <f t="shared" si="0"/>
        <v>0.98353971673076923</v>
      </c>
      <c r="R63" s="8">
        <v>24.032053347638499</v>
      </c>
      <c r="S63" s="102">
        <f t="shared" si="4"/>
        <v>5.9000590009716802E-4</v>
      </c>
      <c r="T63" s="64">
        <v>1.416372376</v>
      </c>
      <c r="U63" s="101">
        <f t="shared" si="1"/>
        <v>0.95613436361660054</v>
      </c>
      <c r="V63" s="8">
        <v>51.9821955421464</v>
      </c>
      <c r="W63" s="103">
        <f t="shared" si="5"/>
        <v>5.9000590000124475E-4</v>
      </c>
      <c r="X63" s="64">
        <v>1.3164770020000001</v>
      </c>
      <c r="Y63" s="104">
        <f t="shared" si="2"/>
        <v>0.81571156978944703</v>
      </c>
      <c r="Z63" s="8">
        <v>62.997479282286797</v>
      </c>
      <c r="AA63" s="100">
        <f t="shared" si="6"/>
        <v>5.9000589999413933E-4</v>
      </c>
      <c r="AB63" s="64">
        <v>1.5427772019999999</v>
      </c>
      <c r="AC63" s="98">
        <f t="shared" si="7"/>
        <v>0.95573958000737891</v>
      </c>
    </row>
    <row r="64" spans="14:29" x14ac:dyDescent="0.45">
      <c r="N64" s="8">
        <v>72.885904125927297</v>
      </c>
      <c r="O64" s="105">
        <f t="shared" si="3"/>
        <v>6.0000600009857408E-4</v>
      </c>
      <c r="P64" s="82">
        <v>1.492667872</v>
      </c>
      <c r="Q64" s="82">
        <f t="shared" si="0"/>
        <v>1</v>
      </c>
      <c r="R64" s="8">
        <v>24.0320633477385</v>
      </c>
      <c r="S64" s="102">
        <f t="shared" si="4"/>
        <v>6.0000600009857408E-4</v>
      </c>
      <c r="T64" s="8">
        <v>1.481352862</v>
      </c>
      <c r="U64" s="101">
        <f t="shared" si="1"/>
        <v>1</v>
      </c>
      <c r="V64" s="8">
        <v>51.982205542246398</v>
      </c>
      <c r="W64" s="103">
        <f t="shared" si="5"/>
        <v>6.0000599999909809E-4</v>
      </c>
      <c r="X64" s="8">
        <v>1.613900122</v>
      </c>
      <c r="Y64" s="104">
        <f t="shared" si="2"/>
        <v>1</v>
      </c>
      <c r="Z64" s="8">
        <v>62.997489282386802</v>
      </c>
      <c r="AA64" s="100">
        <f t="shared" si="6"/>
        <v>6.0000599999909809E-4</v>
      </c>
      <c r="AB64" s="8">
        <v>1.614223408</v>
      </c>
      <c r="AC64" s="98">
        <f t="shared" si="7"/>
        <v>1</v>
      </c>
    </row>
    <row r="65" spans="14:29" x14ac:dyDescent="0.45">
      <c r="N65" s="8">
        <v>72.885914126027302</v>
      </c>
      <c r="O65" s="105">
        <f t="shared" si="3"/>
        <v>6.1000610010353284E-4</v>
      </c>
      <c r="P65" s="99">
        <v>1.3416933099999999</v>
      </c>
      <c r="Q65" s="82">
        <f t="shared" si="0"/>
        <v>0.89885589096406837</v>
      </c>
      <c r="R65" s="8">
        <v>24.032073347838502</v>
      </c>
      <c r="S65" s="102">
        <f t="shared" si="4"/>
        <v>6.1000610009998013E-4</v>
      </c>
      <c r="T65" s="64">
        <v>1.3303783</v>
      </c>
      <c r="U65" s="101">
        <f t="shared" si="1"/>
        <v>0.89808332243259947</v>
      </c>
      <c r="V65" s="8">
        <v>51.982215542346403</v>
      </c>
      <c r="W65" s="103">
        <f t="shared" si="5"/>
        <v>6.1000610000405686E-4</v>
      </c>
      <c r="X65" s="64">
        <v>1.514974606</v>
      </c>
      <c r="Y65" s="104">
        <f t="shared" si="2"/>
        <v>0.93870406560388131</v>
      </c>
      <c r="Z65" s="8">
        <v>62.9974992824868</v>
      </c>
      <c r="AA65" s="100">
        <f t="shared" si="6"/>
        <v>6.1000609999695143E-4</v>
      </c>
      <c r="AB65" s="64">
        <v>1.4574296980000001</v>
      </c>
      <c r="AC65" s="98">
        <f t="shared" si="7"/>
        <v>0.90286740408859201</v>
      </c>
    </row>
    <row r="66" spans="14:29" x14ac:dyDescent="0.45">
      <c r="N66" s="8">
        <v>72.885924126127307</v>
      </c>
      <c r="O66" s="105">
        <f t="shared" si="3"/>
        <v>6.2000620010849161E-4</v>
      </c>
      <c r="P66" s="99">
        <v>1.0778919339999999</v>
      </c>
      <c r="Q66" s="82">
        <f t="shared" si="0"/>
        <v>0.72212442849443204</v>
      </c>
      <c r="R66" s="8">
        <v>24.032083347938499</v>
      </c>
      <c r="S66" s="102">
        <f t="shared" si="4"/>
        <v>6.2000620009783347E-4</v>
      </c>
      <c r="T66" s="64">
        <v>1.106664388</v>
      </c>
      <c r="U66" s="101">
        <f t="shared" si="1"/>
        <v>0.74706332055542346</v>
      </c>
      <c r="V66" s="8">
        <v>51.9822255424464</v>
      </c>
      <c r="W66" s="103">
        <f t="shared" si="5"/>
        <v>6.200062000019102E-4</v>
      </c>
      <c r="X66" s="64">
        <v>1.3151838579999999</v>
      </c>
      <c r="Y66" s="104">
        <f t="shared" si="2"/>
        <v>0.81491031574505324</v>
      </c>
      <c r="Z66" s="8">
        <v>62.997509282586797</v>
      </c>
      <c r="AA66" s="100">
        <f t="shared" si="6"/>
        <v>6.2000619999480477E-4</v>
      </c>
      <c r="AB66" s="64">
        <v>1.179080452</v>
      </c>
      <c r="AC66" s="98">
        <f t="shared" si="7"/>
        <v>0.73043201217163867</v>
      </c>
    </row>
    <row r="67" spans="14:29" x14ac:dyDescent="0.45">
      <c r="N67" s="8">
        <v>72.885934126227298</v>
      </c>
      <c r="O67" s="105">
        <f t="shared" si="3"/>
        <v>6.3000630009923952E-4</v>
      </c>
      <c r="P67" s="99">
        <v>0.79695640000000001</v>
      </c>
      <c r="Q67" s="82">
        <f t="shared" si="0"/>
        <v>0.53391408427125309</v>
      </c>
      <c r="R67" s="8">
        <v>24.032093348038501</v>
      </c>
      <c r="S67" s="102">
        <f t="shared" si="4"/>
        <v>6.3000630009923952E-4</v>
      </c>
      <c r="T67" s="64">
        <v>0.82152613600000002</v>
      </c>
      <c r="U67" s="101">
        <f t="shared" si="1"/>
        <v>0.55457828926110386</v>
      </c>
      <c r="V67" s="8">
        <v>51.982235542546398</v>
      </c>
      <c r="W67" s="103">
        <f t="shared" si="5"/>
        <v>6.3000629999976354E-4</v>
      </c>
      <c r="X67" s="64">
        <v>1.020993598</v>
      </c>
      <c r="Y67" s="104">
        <f t="shared" si="2"/>
        <v>0.63262502064548454</v>
      </c>
      <c r="Z67" s="8">
        <v>62.997519282686802</v>
      </c>
      <c r="AA67" s="100">
        <f t="shared" si="6"/>
        <v>6.3000629999976354E-4</v>
      </c>
      <c r="AB67" s="64">
        <v>0.8777779</v>
      </c>
      <c r="AC67" s="98">
        <f t="shared" si="7"/>
        <v>0.54377720930682971</v>
      </c>
    </row>
    <row r="68" spans="14:29" x14ac:dyDescent="0.45">
      <c r="N68" s="8">
        <v>72.885944126327303</v>
      </c>
      <c r="O68" s="105">
        <f t="shared" ref="O68:O131" si="8">N68-$N$4</f>
        <v>6.4000640010419829E-4</v>
      </c>
      <c r="P68" s="99">
        <v>0.58649721399999999</v>
      </c>
      <c r="Q68" s="82">
        <f t="shared" ref="Q68:Q131" si="9">P68/$Q$2</f>
        <v>0.39291876310981522</v>
      </c>
      <c r="R68" s="8">
        <v>24.032103348138499</v>
      </c>
      <c r="S68" s="102">
        <f t="shared" si="4"/>
        <v>6.4000640009709286E-4</v>
      </c>
      <c r="T68" s="64">
        <v>0.60654094599999997</v>
      </c>
      <c r="U68" s="101">
        <f t="shared" ref="U68:U131" si="10">T68/$U$2</f>
        <v>0.40945068630110087</v>
      </c>
      <c r="V68" s="8">
        <v>51.982245542646403</v>
      </c>
      <c r="W68" s="103">
        <f t="shared" si="5"/>
        <v>6.4000640000472231E-4</v>
      </c>
      <c r="X68" s="64">
        <v>0.73488548799999998</v>
      </c>
      <c r="Y68" s="104">
        <f t="shared" ref="Y68:Y131" si="11">X68/$Y$2</f>
        <v>0.45534756332337645</v>
      </c>
      <c r="Z68" s="8">
        <v>62.9975292827868</v>
      </c>
      <c r="AA68" s="100">
        <f t="shared" si="6"/>
        <v>6.4000639999761688E-4</v>
      </c>
      <c r="AB68" s="64">
        <v>0.63272711199999998</v>
      </c>
      <c r="AC68" s="98">
        <f t="shared" si="7"/>
        <v>0.39196997693394864</v>
      </c>
    </row>
    <row r="69" spans="14:29" x14ac:dyDescent="0.45">
      <c r="N69" s="8">
        <v>72.885954126427293</v>
      </c>
      <c r="O69" s="105">
        <f t="shared" si="8"/>
        <v>6.500065000949462E-4</v>
      </c>
      <c r="P69" s="99">
        <v>0.43746236799999999</v>
      </c>
      <c r="Q69" s="82">
        <f t="shared" si="9"/>
        <v>0.29307415012145449</v>
      </c>
      <c r="R69" s="8">
        <v>24.0321133482385</v>
      </c>
      <c r="S69" s="102">
        <f t="shared" ref="S69:S132" si="12">R69-$R$4</f>
        <v>6.5000650009849892E-4</v>
      </c>
      <c r="T69" s="64">
        <v>0.47173068400000001</v>
      </c>
      <c r="U69" s="101">
        <f t="shared" si="10"/>
        <v>0.3184458585803171</v>
      </c>
      <c r="V69" s="8">
        <v>51.982255542746401</v>
      </c>
      <c r="W69" s="103">
        <f t="shared" ref="W69:W132" si="13">V69-$V$4</f>
        <v>6.5000650000257565E-4</v>
      </c>
      <c r="X69" s="64">
        <v>0.56451376600000003</v>
      </c>
      <c r="Y69" s="104">
        <f t="shared" si="11"/>
        <v>0.34978234297450533</v>
      </c>
      <c r="Z69" s="8">
        <v>62.997539282886798</v>
      </c>
      <c r="AA69" s="100">
        <f t="shared" ref="AA69:AA132" si="14">Z69-$Z$4</f>
        <v>6.5000649999547022E-4</v>
      </c>
      <c r="AB69" s="64">
        <v>0.47593340200000001</v>
      </c>
      <c r="AC69" s="98">
        <f t="shared" ref="AC69:AC132" si="15">AB69/$AD$2</f>
        <v>0.29483738102254059</v>
      </c>
    </row>
    <row r="70" spans="14:29" x14ac:dyDescent="0.45">
      <c r="N70" s="8">
        <v>72.885964126527298</v>
      </c>
      <c r="O70" s="105">
        <f t="shared" si="8"/>
        <v>6.6000660009990497E-4</v>
      </c>
      <c r="P70" s="82">
        <v>0.37991745999999998</v>
      </c>
      <c r="Q70" s="82">
        <f t="shared" si="9"/>
        <v>0.2545224340435191</v>
      </c>
      <c r="R70" s="8">
        <v>24.032123348338502</v>
      </c>
      <c r="S70" s="102">
        <f t="shared" si="12"/>
        <v>6.6000660009990497E-4</v>
      </c>
      <c r="T70" s="8">
        <v>0.416772064</v>
      </c>
      <c r="U70" s="101">
        <f t="shared" si="10"/>
        <v>0.28134556910182013</v>
      </c>
      <c r="V70" s="8">
        <v>51.982265542846399</v>
      </c>
      <c r="W70" s="103">
        <f t="shared" si="13"/>
        <v>6.6000660000042899E-4</v>
      </c>
      <c r="X70" s="8">
        <v>0.45556638399999999</v>
      </c>
      <c r="Y70" s="104">
        <f t="shared" si="11"/>
        <v>0.28227668973433534</v>
      </c>
      <c r="Z70" s="8">
        <v>62.997549282986803</v>
      </c>
      <c r="AA70" s="100">
        <f t="shared" si="14"/>
        <v>6.6000660000042899E-4</v>
      </c>
      <c r="AB70" s="8">
        <v>0.420004924</v>
      </c>
      <c r="AC70" s="98">
        <f t="shared" si="15"/>
        <v>0.26019008392424453</v>
      </c>
    </row>
    <row r="71" spans="14:29" x14ac:dyDescent="0.45">
      <c r="N71" s="8">
        <v>72.885974126627303</v>
      </c>
      <c r="O71" s="105">
        <f t="shared" si="8"/>
        <v>6.7000670010486374E-4</v>
      </c>
      <c r="P71" s="82">
        <v>0.32334241000000002</v>
      </c>
      <c r="Q71" s="82">
        <f t="shared" si="9"/>
        <v>0.21662046598936915</v>
      </c>
      <c r="R71" s="8">
        <v>24.032133348438499</v>
      </c>
      <c r="S71" s="102">
        <f t="shared" si="12"/>
        <v>6.7000670009775831E-4</v>
      </c>
      <c r="T71" s="8">
        <v>0.32269583800000001</v>
      </c>
      <c r="U71" s="101">
        <f t="shared" si="10"/>
        <v>0.21783860299451058</v>
      </c>
      <c r="V71" s="8">
        <v>51.982275542946397</v>
      </c>
      <c r="W71" s="103">
        <f t="shared" si="13"/>
        <v>6.7000669999828233E-4</v>
      </c>
      <c r="X71" s="8">
        <v>0.36084358599999999</v>
      </c>
      <c r="Y71" s="104">
        <f t="shared" si="11"/>
        <v>0.22358483098249621</v>
      </c>
      <c r="Z71" s="8">
        <v>62.997559283086801</v>
      </c>
      <c r="AA71" s="100">
        <f t="shared" si="14"/>
        <v>6.7000669999828233E-4</v>
      </c>
      <c r="AB71" s="8">
        <v>0.34112313999999999</v>
      </c>
      <c r="AC71" s="98">
        <f t="shared" si="15"/>
        <v>0.21132337587809283</v>
      </c>
    </row>
    <row r="72" spans="14:29" x14ac:dyDescent="0.45">
      <c r="N72" s="8">
        <v>72.885984126727294</v>
      </c>
      <c r="O72" s="105">
        <f t="shared" si="8"/>
        <v>6.8000680009561165E-4</v>
      </c>
      <c r="P72" s="82">
        <v>0.245430484</v>
      </c>
      <c r="Q72" s="82">
        <f t="shared" si="9"/>
        <v>0.16442404141193978</v>
      </c>
      <c r="R72" s="8">
        <v>24.032143348538501</v>
      </c>
      <c r="S72" s="102">
        <f t="shared" si="12"/>
        <v>6.8000680009916437E-4</v>
      </c>
      <c r="T72" s="8">
        <v>0.25933178200000001</v>
      </c>
      <c r="U72" s="101">
        <f t="shared" si="10"/>
        <v>0.17506415159577288</v>
      </c>
      <c r="V72" s="8">
        <v>51.982285543046402</v>
      </c>
      <c r="W72" s="103">
        <f t="shared" si="13"/>
        <v>6.800068000032411E-4</v>
      </c>
      <c r="X72" s="8">
        <v>0.26709064599999999</v>
      </c>
      <c r="Y72" s="104">
        <f t="shared" si="11"/>
        <v>0.16549391276395231</v>
      </c>
      <c r="Z72" s="8">
        <v>62.997569283186799</v>
      </c>
      <c r="AA72" s="100">
        <f t="shared" si="14"/>
        <v>6.8000679999613567E-4</v>
      </c>
      <c r="AB72" s="8">
        <v>0.26030164</v>
      </c>
      <c r="AC72" s="98">
        <f t="shared" si="15"/>
        <v>0.16125502747015052</v>
      </c>
    </row>
    <row r="73" spans="14:29" x14ac:dyDescent="0.45">
      <c r="N73" s="8">
        <v>72.885994126827299</v>
      </c>
      <c r="O73" s="105">
        <f t="shared" si="8"/>
        <v>6.9000690010057042E-4</v>
      </c>
      <c r="P73" s="82">
        <v>0.31041097000000001</v>
      </c>
      <c r="Q73" s="82">
        <f t="shared" si="9"/>
        <v>0.20795715900556344</v>
      </c>
      <c r="R73" s="8">
        <v>24.032153348638499</v>
      </c>
      <c r="S73" s="102">
        <f t="shared" si="12"/>
        <v>6.9000690009701771E-4</v>
      </c>
      <c r="T73" s="8">
        <v>0.32107940800000001</v>
      </c>
      <c r="U73" s="101">
        <f t="shared" si="10"/>
        <v>0.2167474180098489</v>
      </c>
      <c r="V73" s="8">
        <v>51.9822955431464</v>
      </c>
      <c r="W73" s="103">
        <f t="shared" si="13"/>
        <v>6.9000690000109444E-4</v>
      </c>
      <c r="X73" s="8">
        <v>0.217951174</v>
      </c>
      <c r="Y73" s="104">
        <f t="shared" si="11"/>
        <v>0.13504625907699139</v>
      </c>
      <c r="Z73" s="8">
        <v>62.997579283286797</v>
      </c>
      <c r="AA73" s="100">
        <f t="shared" si="14"/>
        <v>6.9000689999398901E-4</v>
      </c>
      <c r="AB73" s="8">
        <v>0.33336427600000001</v>
      </c>
      <c r="AC73" s="98">
        <f t="shared" si="15"/>
        <v>0.20651681443093037</v>
      </c>
    </row>
    <row r="74" spans="14:29" x14ac:dyDescent="0.45">
      <c r="N74" s="8">
        <v>72.886004126927304</v>
      </c>
      <c r="O74" s="105">
        <f t="shared" si="8"/>
        <v>7.0000700010552919E-4</v>
      </c>
      <c r="P74" s="82">
        <v>0.43002678999999999</v>
      </c>
      <c r="Q74" s="82">
        <f t="shared" si="9"/>
        <v>0.28809274860576622</v>
      </c>
      <c r="R74" s="8">
        <v>24.0321633487385</v>
      </c>
      <c r="S74" s="102">
        <f t="shared" si="12"/>
        <v>7.0000700009842376E-4</v>
      </c>
      <c r="T74" s="8">
        <v>0.43584593799999999</v>
      </c>
      <c r="U74" s="101">
        <f t="shared" si="10"/>
        <v>0.29422155192082788</v>
      </c>
      <c r="V74" s="8">
        <v>51.982305543246397</v>
      </c>
      <c r="W74" s="103">
        <f t="shared" si="13"/>
        <v>7.0000699999894778E-4</v>
      </c>
      <c r="X74" s="8">
        <v>0.26579750200000002</v>
      </c>
      <c r="Y74" s="104">
        <f t="shared" si="11"/>
        <v>0.16469265871955863</v>
      </c>
      <c r="Z74" s="8">
        <v>62.997589283386802</v>
      </c>
      <c r="AA74" s="100">
        <f t="shared" si="14"/>
        <v>7.0000699999894778E-4</v>
      </c>
      <c r="AB74" s="8">
        <v>0.46073895999999998</v>
      </c>
      <c r="AC74" s="98">
        <f t="shared" si="15"/>
        <v>0.28542453152184744</v>
      </c>
    </row>
    <row r="75" spans="14:29" x14ac:dyDescent="0.45">
      <c r="N75" s="8">
        <v>72.886014127027295</v>
      </c>
      <c r="O75" s="105">
        <f t="shared" si="8"/>
        <v>7.100071000962771E-4</v>
      </c>
      <c r="P75" s="82">
        <v>0.35470115200000002</v>
      </c>
      <c r="Q75" s="82">
        <f t="shared" si="9"/>
        <v>0.237628985425098</v>
      </c>
      <c r="R75" s="8">
        <v>24.032173348838501</v>
      </c>
      <c r="S75" s="102">
        <f t="shared" si="12"/>
        <v>7.1000710009982981E-4</v>
      </c>
      <c r="T75" s="8">
        <v>0.344356</v>
      </c>
      <c r="U75" s="101">
        <f t="shared" si="10"/>
        <v>0.23246048178897702</v>
      </c>
      <c r="V75" s="8">
        <v>51.982315543346402</v>
      </c>
      <c r="W75" s="103">
        <f t="shared" si="13"/>
        <v>7.1000710000390654E-4</v>
      </c>
      <c r="X75" s="8">
        <v>0.33498070600000002</v>
      </c>
      <c r="Y75" s="104">
        <f t="shared" si="11"/>
        <v>0.20755975009462205</v>
      </c>
      <c r="Z75" s="8">
        <v>62.997599283486799</v>
      </c>
      <c r="AA75" s="100">
        <f t="shared" si="14"/>
        <v>7.1000709999680112E-4</v>
      </c>
      <c r="AB75" s="8">
        <v>0.35728744000000001</v>
      </c>
      <c r="AC75" s="98">
        <f t="shared" si="15"/>
        <v>0.22133704555968131</v>
      </c>
    </row>
    <row r="76" spans="14:29" x14ac:dyDescent="0.45">
      <c r="N76" s="8">
        <v>72.8860241271273</v>
      </c>
      <c r="O76" s="105">
        <f t="shared" si="8"/>
        <v>7.2000720010123587E-4</v>
      </c>
      <c r="P76" s="82">
        <v>0.267737218</v>
      </c>
      <c r="Q76" s="82">
        <f t="shared" si="9"/>
        <v>0.17936824595900461</v>
      </c>
      <c r="R76" s="8">
        <v>24.032183348938499</v>
      </c>
      <c r="S76" s="102">
        <f t="shared" si="12"/>
        <v>7.2000720009768315E-4</v>
      </c>
      <c r="T76" s="8">
        <v>0.28648780600000001</v>
      </c>
      <c r="U76" s="101">
        <f t="shared" si="10"/>
        <v>0.19339605933808904</v>
      </c>
      <c r="V76" s="8">
        <v>51.9823255434464</v>
      </c>
      <c r="W76" s="103">
        <f t="shared" si="13"/>
        <v>7.2000720000175988E-4</v>
      </c>
      <c r="X76" s="8">
        <v>0.36472301800000001</v>
      </c>
      <c r="Y76" s="104">
        <f t="shared" si="11"/>
        <v>0.22598859311567734</v>
      </c>
      <c r="Z76" s="8">
        <v>62.997609283586797</v>
      </c>
      <c r="AA76" s="100">
        <f t="shared" si="14"/>
        <v>7.2000719999465446E-4</v>
      </c>
      <c r="AB76" s="8">
        <v>0.26288792799999999</v>
      </c>
      <c r="AC76" s="98">
        <f t="shared" si="15"/>
        <v>0.16285721461920469</v>
      </c>
    </row>
    <row r="77" spans="14:29" x14ac:dyDescent="0.45">
      <c r="N77" s="8">
        <v>72.886034127227305</v>
      </c>
      <c r="O77" s="105">
        <f t="shared" si="8"/>
        <v>7.3000730010619463E-4</v>
      </c>
      <c r="P77" s="82">
        <v>0.26062492599999998</v>
      </c>
      <c r="Q77" s="82">
        <f t="shared" si="9"/>
        <v>0.17460342711791146</v>
      </c>
      <c r="R77" s="8">
        <v>24.032193349038501</v>
      </c>
      <c r="S77" s="102">
        <f t="shared" si="12"/>
        <v>7.3000730009908921E-4</v>
      </c>
      <c r="T77" s="8">
        <v>0.25965506799999999</v>
      </c>
      <c r="U77" s="101">
        <f t="shared" si="10"/>
        <v>0.17528238859270517</v>
      </c>
      <c r="V77" s="8">
        <v>51.982335543546398</v>
      </c>
      <c r="W77" s="103">
        <f t="shared" si="13"/>
        <v>7.3000729999961322E-4</v>
      </c>
      <c r="X77" s="8">
        <v>0.29715624400000001</v>
      </c>
      <c r="Y77" s="104">
        <f t="shared" si="11"/>
        <v>0.18412306929610606</v>
      </c>
      <c r="Z77" s="8">
        <v>62.997619283686802</v>
      </c>
      <c r="AA77" s="100">
        <f t="shared" si="14"/>
        <v>7.3000729999961322E-4</v>
      </c>
      <c r="AB77" s="8">
        <v>0.25739206599999997</v>
      </c>
      <c r="AC77" s="98">
        <f t="shared" si="15"/>
        <v>0.1594525669274646</v>
      </c>
    </row>
    <row r="78" spans="14:29" x14ac:dyDescent="0.45">
      <c r="N78" s="8">
        <v>72.886044127327295</v>
      </c>
      <c r="O78" s="105">
        <f t="shared" si="8"/>
        <v>7.4000740009694255E-4</v>
      </c>
      <c r="P78" s="82">
        <v>0.163639126</v>
      </c>
      <c r="Q78" s="82">
        <f t="shared" si="9"/>
        <v>0.10962862473936869</v>
      </c>
      <c r="R78" s="8">
        <v>24.032203349138499</v>
      </c>
      <c r="S78" s="102">
        <f t="shared" si="12"/>
        <v>7.4000740009694255E-4</v>
      </c>
      <c r="T78" s="8">
        <v>0.15975969400000001</v>
      </c>
      <c r="U78" s="101">
        <f t="shared" si="10"/>
        <v>0.10784715654061362</v>
      </c>
      <c r="V78" s="8">
        <v>51.982345543646403</v>
      </c>
      <c r="W78" s="103">
        <f t="shared" si="13"/>
        <v>7.4000740000457199E-4</v>
      </c>
      <c r="X78" s="8">
        <v>0.25092634600000002</v>
      </c>
      <c r="Y78" s="104">
        <f t="shared" si="11"/>
        <v>0.15547823720903098</v>
      </c>
      <c r="Z78" s="8">
        <v>62.9976292837868</v>
      </c>
      <c r="AA78" s="100">
        <f t="shared" si="14"/>
        <v>7.4000739999746656E-4</v>
      </c>
      <c r="AB78" s="8">
        <v>0.15426383199999999</v>
      </c>
      <c r="AC78" s="98">
        <f t="shared" si="15"/>
        <v>9.5565354358930224E-2</v>
      </c>
    </row>
    <row r="79" spans="14:29" x14ac:dyDescent="0.45">
      <c r="N79" s="8">
        <v>72.8860541274273</v>
      </c>
      <c r="O79" s="105">
        <f t="shared" si="8"/>
        <v>7.5000750010190131E-4</v>
      </c>
      <c r="P79" s="82">
        <v>5.1135597999999997E-2</v>
      </c>
      <c r="Q79" s="82">
        <f t="shared" si="9"/>
        <v>3.4257853980259045E-2</v>
      </c>
      <c r="R79" s="8">
        <v>24.0322133492385</v>
      </c>
      <c r="S79" s="102">
        <f t="shared" si="12"/>
        <v>7.500075000983486E-4</v>
      </c>
      <c r="T79" s="8">
        <v>5.4691744E-2</v>
      </c>
      <c r="U79" s="101">
        <f t="shared" si="10"/>
        <v>3.692013253760467E-2</v>
      </c>
      <c r="V79" s="8">
        <v>51.982355543746401</v>
      </c>
      <c r="W79" s="103">
        <f t="shared" si="13"/>
        <v>7.5000750000242533E-4</v>
      </c>
      <c r="X79" s="8">
        <v>0.18723900399999999</v>
      </c>
      <c r="Y79" s="104">
        <f t="shared" si="11"/>
        <v>0.11601647552264079</v>
      </c>
      <c r="Z79" s="8">
        <v>62.997639283886798</v>
      </c>
      <c r="AA79" s="100">
        <f t="shared" si="14"/>
        <v>7.500074999953199E-4</v>
      </c>
      <c r="AB79" s="8">
        <v>4.8549309999999998E-2</v>
      </c>
      <c r="AC79" s="98">
        <f t="shared" si="15"/>
        <v>3.007595464134169E-2</v>
      </c>
    </row>
    <row r="80" spans="14:29" x14ac:dyDescent="0.45">
      <c r="N80" s="8">
        <v>72.886064127527305</v>
      </c>
      <c r="O80" s="105">
        <f t="shared" si="8"/>
        <v>7.6000760010686008E-4</v>
      </c>
      <c r="P80" s="82">
        <v>4.5316450000000001E-2</v>
      </c>
      <c r="Q80" s="82">
        <f t="shared" si="9"/>
        <v>3.0359365837546479E-2</v>
      </c>
      <c r="R80" s="8">
        <v>24.032223349338501</v>
      </c>
      <c r="S80" s="102">
        <f t="shared" si="12"/>
        <v>7.6000760009975465E-4</v>
      </c>
      <c r="T80" s="8">
        <v>5.0489025999999999E-2</v>
      </c>
      <c r="U80" s="101">
        <f t="shared" si="10"/>
        <v>3.4083051577484313E-2</v>
      </c>
      <c r="V80" s="8">
        <v>51.982365543846399</v>
      </c>
      <c r="W80" s="103">
        <f t="shared" si="13"/>
        <v>7.6000760000027867E-4</v>
      </c>
      <c r="X80" s="8">
        <v>9.2839491999999996E-2</v>
      </c>
      <c r="Y80" s="104">
        <f t="shared" si="11"/>
        <v>5.7524930281900054E-2</v>
      </c>
      <c r="Z80" s="8">
        <v>62.997649283986803</v>
      </c>
      <c r="AA80" s="100">
        <f t="shared" si="14"/>
        <v>7.6000760000027867E-4</v>
      </c>
      <c r="AB80" s="8">
        <v>4.2406876000000003E-2</v>
      </c>
      <c r="AC80" s="98">
        <f t="shared" si="15"/>
        <v>2.6270760162338078E-2</v>
      </c>
    </row>
    <row r="81" spans="14:29" x14ac:dyDescent="0.45">
      <c r="N81" s="8">
        <v>72.886074127627296</v>
      </c>
      <c r="O81" s="105">
        <f t="shared" si="8"/>
        <v>7.7000770009760799E-4</v>
      </c>
      <c r="P81" s="82">
        <v>3.5617870000000003E-2</v>
      </c>
      <c r="Q81" s="82">
        <f t="shared" si="9"/>
        <v>2.3861885599692201E-2</v>
      </c>
      <c r="R81" s="8">
        <v>24.032233349438499</v>
      </c>
      <c r="S81" s="102">
        <f t="shared" si="12"/>
        <v>7.7000770009760799E-4</v>
      </c>
      <c r="T81" s="8">
        <v>3.3354868000000003E-2</v>
      </c>
      <c r="U81" s="101">
        <f t="shared" si="10"/>
        <v>2.2516490740070547E-2</v>
      </c>
      <c r="V81" s="8">
        <v>51.982375543946397</v>
      </c>
      <c r="W81" s="103">
        <f t="shared" si="13"/>
        <v>7.7000769999813201E-4</v>
      </c>
      <c r="X81" s="8">
        <v>5.3398599999999997E-2</v>
      </c>
      <c r="Y81" s="104">
        <f t="shared" si="11"/>
        <v>3.3086681927891944E-2</v>
      </c>
      <c r="Z81" s="8">
        <v>62.997659284086801</v>
      </c>
      <c r="AA81" s="100">
        <f t="shared" si="14"/>
        <v>7.7000769999813201E-4</v>
      </c>
      <c r="AB81" s="8">
        <v>2.9152150000000002E-2</v>
      </c>
      <c r="AC81" s="98">
        <f t="shared" si="15"/>
        <v>1.8059551023435538E-2</v>
      </c>
    </row>
    <row r="82" spans="14:29" x14ac:dyDescent="0.45">
      <c r="N82" s="8">
        <v>72.886084127727301</v>
      </c>
      <c r="O82" s="105">
        <f t="shared" si="8"/>
        <v>7.8000780010256676E-4</v>
      </c>
      <c r="P82" s="82">
        <v>3.6125559999999998E-3</v>
      </c>
      <c r="Q82" s="82">
        <f t="shared" si="9"/>
        <v>2.4202008147730801E-3</v>
      </c>
      <c r="R82" s="8">
        <v>24.032243349538501</v>
      </c>
      <c r="S82" s="102">
        <f t="shared" si="12"/>
        <v>7.8000780009901405E-4</v>
      </c>
      <c r="T82" s="8">
        <v>5.2289859999999997E-3</v>
      </c>
      <c r="U82" s="101">
        <f t="shared" si="10"/>
        <v>3.5298720069573807E-3</v>
      </c>
      <c r="V82" s="8">
        <v>51.982385544046402</v>
      </c>
      <c r="W82" s="103">
        <f t="shared" si="13"/>
        <v>7.8000780000309078E-4</v>
      </c>
      <c r="X82" s="8">
        <v>2.8505578E-2</v>
      </c>
      <c r="Y82" s="104">
        <f t="shared" si="11"/>
        <v>1.7662541573313047E-2</v>
      </c>
      <c r="Z82" s="8">
        <v>62.997669284186799</v>
      </c>
      <c r="AA82" s="100">
        <f t="shared" si="14"/>
        <v>7.8000779999598535E-4</v>
      </c>
      <c r="AB82" s="8">
        <v>2.6426980000000002E-3</v>
      </c>
      <c r="AC82" s="98">
        <f t="shared" si="15"/>
        <v>1.6371327456304611E-3</v>
      </c>
    </row>
    <row r="83" spans="14:29" x14ac:dyDescent="0.45">
      <c r="N83" s="8">
        <v>72.886094127827306</v>
      </c>
      <c r="O83" s="105">
        <f t="shared" si="8"/>
        <v>7.9000790010752553E-4</v>
      </c>
      <c r="P83" s="82">
        <v>-1.2875030000000001E-2</v>
      </c>
      <c r="Q83" s="82">
        <f t="shared" si="9"/>
        <v>-8.6255155895791948E-3</v>
      </c>
      <c r="R83" s="8">
        <v>24.032253349638498</v>
      </c>
      <c r="S83" s="102">
        <f t="shared" si="12"/>
        <v>7.9000790009686739E-4</v>
      </c>
      <c r="T83" s="8">
        <v>-1.2228457999999999E-2</v>
      </c>
      <c r="U83" s="101">
        <f t="shared" si="10"/>
        <v>-8.2549258273887198E-3</v>
      </c>
      <c r="V83" s="8">
        <v>51.982395544146399</v>
      </c>
      <c r="W83" s="103">
        <f t="shared" si="13"/>
        <v>7.9000790000094412E-4</v>
      </c>
      <c r="X83" s="8">
        <v>1.6867282000000001E-2</v>
      </c>
      <c r="Y83" s="104">
        <f t="shared" si="11"/>
        <v>1.045125517376967E-2</v>
      </c>
      <c r="Z83" s="8">
        <v>62.997679284286797</v>
      </c>
      <c r="AA83" s="100">
        <f t="shared" si="14"/>
        <v>7.9000789999383869E-4</v>
      </c>
      <c r="AB83" s="8">
        <v>-1.6754462000000001E-2</v>
      </c>
      <c r="AC83" s="98">
        <f t="shared" si="15"/>
        <v>-1.0379270872275692E-2</v>
      </c>
    </row>
    <row r="84" spans="14:29" x14ac:dyDescent="0.45">
      <c r="N84" s="8">
        <v>72.886104127927297</v>
      </c>
      <c r="O84" s="105">
        <f t="shared" si="8"/>
        <v>8.0000800009827344E-4</v>
      </c>
      <c r="P84" s="82">
        <v>9.1084180000000001E-3</v>
      </c>
      <c r="Q84" s="82">
        <f t="shared" si="9"/>
        <v>6.1021062828905048E-3</v>
      </c>
      <c r="R84" s="8">
        <v>24.0322633497385</v>
      </c>
      <c r="S84" s="102">
        <f t="shared" si="12"/>
        <v>8.0000800009827344E-4</v>
      </c>
      <c r="T84" s="8">
        <v>1.8160426E-2</v>
      </c>
      <c r="U84" s="101">
        <f t="shared" si="10"/>
        <v>1.2259351884250789E-2</v>
      </c>
      <c r="V84" s="8">
        <v>51.982405544246397</v>
      </c>
      <c r="W84" s="103">
        <f t="shared" si="13"/>
        <v>8.0000799999879746E-4</v>
      </c>
      <c r="X84" s="8">
        <v>-9.13447999999999E-4</v>
      </c>
      <c r="Y84" s="104">
        <f t="shared" si="11"/>
        <v>-5.6598793664382598E-4</v>
      </c>
      <c r="Z84" s="8">
        <v>62.997689284386801</v>
      </c>
      <c r="AA84" s="100">
        <f t="shared" si="14"/>
        <v>8.0000799999879746E-4</v>
      </c>
      <c r="AB84" s="8">
        <v>2.9659840000000001E-3</v>
      </c>
      <c r="AC84" s="98">
        <f t="shared" si="15"/>
        <v>1.8374061392622304E-3</v>
      </c>
    </row>
    <row r="85" spans="14:29" x14ac:dyDescent="0.45">
      <c r="N85" s="8">
        <v>72.886114128027302</v>
      </c>
      <c r="O85" s="105">
        <f t="shared" si="8"/>
        <v>8.1000810010323221E-4</v>
      </c>
      <c r="P85" s="82">
        <v>7.4919879999999998E-3</v>
      </c>
      <c r="Q85" s="82">
        <f t="shared" si="9"/>
        <v>5.0191929099147915E-3</v>
      </c>
      <c r="R85" s="8">
        <v>24.032273349838501</v>
      </c>
      <c r="S85" s="102">
        <f t="shared" si="12"/>
        <v>8.100081000996795E-4</v>
      </c>
      <c r="T85" s="8">
        <v>2.3009716E-2</v>
      </c>
      <c r="U85" s="101">
        <f t="shared" si="10"/>
        <v>1.5532906838235817E-2</v>
      </c>
      <c r="V85" s="8">
        <v>51.982415544346402</v>
      </c>
      <c r="W85" s="103">
        <f t="shared" si="13"/>
        <v>8.1000810000375623E-4</v>
      </c>
      <c r="X85" s="8">
        <v>1.2341278000000001E-2</v>
      </c>
      <c r="Y85" s="104">
        <f t="shared" si="11"/>
        <v>7.6468660183916888E-3</v>
      </c>
      <c r="Z85" s="8">
        <v>62.997699284486799</v>
      </c>
      <c r="AA85" s="100">
        <f t="shared" si="14"/>
        <v>8.100080999966508E-4</v>
      </c>
      <c r="AB85" s="8">
        <v>1.3311135999999999E-2</v>
      </c>
      <c r="AC85" s="98">
        <f t="shared" si="15"/>
        <v>8.2461547354788448E-3</v>
      </c>
    </row>
    <row r="86" spans="14:29" x14ac:dyDescent="0.45">
      <c r="N86" s="8">
        <v>72.886124128127307</v>
      </c>
      <c r="O86" s="105">
        <f t="shared" si="8"/>
        <v>8.2000820010819098E-4</v>
      </c>
      <c r="P86" s="82">
        <v>1.6220709999999999E-2</v>
      </c>
      <c r="Q86" s="82">
        <f t="shared" si="9"/>
        <v>1.0866925123983642E-2</v>
      </c>
      <c r="R86" s="8">
        <v>24.032283349938499</v>
      </c>
      <c r="S86" s="102">
        <f t="shared" si="12"/>
        <v>8.2000820009753284E-4</v>
      </c>
      <c r="T86" s="8">
        <v>-1.5600200000000001E-3</v>
      </c>
      <c r="U86" s="101">
        <f t="shared" si="10"/>
        <v>-1.0531049286216588E-3</v>
      </c>
      <c r="V86" s="8">
        <v>51.9824255444464</v>
      </c>
      <c r="W86" s="103">
        <f t="shared" si="13"/>
        <v>8.2000820000160957E-4</v>
      </c>
      <c r="X86" s="8">
        <v>1.1694705999999999E-2</v>
      </c>
      <c r="Y86" s="104">
        <f t="shared" si="11"/>
        <v>7.2462389961948336E-3</v>
      </c>
      <c r="Z86" s="8">
        <v>62.997709284586897</v>
      </c>
      <c r="AA86" s="100">
        <f t="shared" si="14"/>
        <v>8.2000820009398012E-4</v>
      </c>
      <c r="AB86" s="8">
        <v>1.137142E-2</v>
      </c>
      <c r="AC86" s="98">
        <f t="shared" si="15"/>
        <v>7.0445143736882305E-3</v>
      </c>
    </row>
    <row r="87" spans="14:29" x14ac:dyDescent="0.45">
      <c r="N87" s="8">
        <v>72.886134128227297</v>
      </c>
      <c r="O87" s="105">
        <f t="shared" si="8"/>
        <v>8.3000830009893889E-4</v>
      </c>
      <c r="P87" s="82">
        <v>-2.853164E-3</v>
      </c>
      <c r="Q87" s="82">
        <f t="shared" si="9"/>
        <v>-1.9114526771297723E-3</v>
      </c>
      <c r="R87" s="8">
        <v>24.032293350038501</v>
      </c>
      <c r="S87" s="102">
        <f t="shared" si="12"/>
        <v>8.3000830009893889E-4</v>
      </c>
      <c r="T87" s="8">
        <v>-8.9955980000000005E-3</v>
      </c>
      <c r="U87" s="101">
        <f t="shared" si="10"/>
        <v>-6.0725558580653691E-3</v>
      </c>
      <c r="V87" s="8">
        <v>51.982435544546398</v>
      </c>
      <c r="W87" s="103">
        <f t="shared" si="13"/>
        <v>8.3000829999946291E-4</v>
      </c>
      <c r="X87" s="8">
        <v>2.3979574E-2</v>
      </c>
      <c r="Y87" s="104">
        <f t="shared" si="11"/>
        <v>1.4858152417935068E-2</v>
      </c>
      <c r="Z87" s="8">
        <v>62.997719284686802</v>
      </c>
      <c r="AA87" s="100">
        <f t="shared" si="14"/>
        <v>8.3000829999946291E-4</v>
      </c>
      <c r="AB87" s="8">
        <v>7.1687019999999999E-3</v>
      </c>
      <c r="AC87" s="98">
        <f t="shared" si="15"/>
        <v>4.4409602564752298E-3</v>
      </c>
    </row>
    <row r="88" spans="14:29" x14ac:dyDescent="0.45">
      <c r="N88" s="8">
        <v>72.886144128327302</v>
      </c>
      <c r="O88" s="105">
        <f t="shared" si="8"/>
        <v>8.4000840010389766E-4</v>
      </c>
      <c r="P88" s="82">
        <v>-7.7024540000000001E-3</v>
      </c>
      <c r="Q88" s="82">
        <f t="shared" si="9"/>
        <v>-5.1601927960569114E-3</v>
      </c>
      <c r="R88" s="8">
        <v>24.032303350138498</v>
      </c>
      <c r="S88" s="102">
        <f t="shared" si="12"/>
        <v>8.4000840009679223E-4</v>
      </c>
      <c r="T88" s="8">
        <v>-6.7325960000000004E-3</v>
      </c>
      <c r="U88" s="101">
        <f t="shared" si="10"/>
        <v>-4.5448968795390229E-3</v>
      </c>
      <c r="V88" s="8">
        <v>51.982445544646403</v>
      </c>
      <c r="W88" s="103">
        <f t="shared" si="13"/>
        <v>8.4000840000442167E-4</v>
      </c>
      <c r="X88" s="8">
        <v>3.9358420000000002E-3</v>
      </c>
      <c r="Y88" s="104">
        <f t="shared" si="11"/>
        <v>2.4387147298325813E-3</v>
      </c>
      <c r="Z88" s="8">
        <v>62.997729284786899</v>
      </c>
      <c r="AA88" s="100">
        <f t="shared" si="14"/>
        <v>8.4000840009679223E-4</v>
      </c>
      <c r="AB88" s="8">
        <v>1.6728400000000001E-3</v>
      </c>
      <c r="AC88" s="98">
        <f t="shared" si="15"/>
        <v>1.0363125647351536E-3</v>
      </c>
    </row>
    <row r="89" spans="14:29" x14ac:dyDescent="0.45">
      <c r="N89" s="8">
        <v>72.886154128427293</v>
      </c>
      <c r="O89" s="105">
        <f t="shared" si="8"/>
        <v>8.5000850009464557E-4</v>
      </c>
      <c r="P89" s="82">
        <v>-1.5138031999999999E-2</v>
      </c>
      <c r="Q89" s="82">
        <f t="shared" si="9"/>
        <v>-1.0141594311745191E-2</v>
      </c>
      <c r="R89" s="8">
        <v>24.0323133502385</v>
      </c>
      <c r="S89" s="102">
        <f t="shared" si="12"/>
        <v>8.5000850009819828E-4</v>
      </c>
      <c r="T89" s="8">
        <v>-1.9987321999999998E-2</v>
      </c>
      <c r="U89" s="101">
        <f t="shared" si="10"/>
        <v>-1.3492613753764765E-2</v>
      </c>
      <c r="V89" s="8">
        <v>51.982455544746401</v>
      </c>
      <c r="W89" s="103">
        <f t="shared" si="13"/>
        <v>8.5000850000227501E-4</v>
      </c>
      <c r="X89" s="8">
        <v>2.9659840000000001E-3</v>
      </c>
      <c r="Y89" s="104">
        <f t="shared" si="11"/>
        <v>1.8377741965372998E-3</v>
      </c>
      <c r="Z89" s="8">
        <v>62.997739284886897</v>
      </c>
      <c r="AA89" s="100">
        <f t="shared" si="14"/>
        <v>8.5000850009464557E-4</v>
      </c>
      <c r="AB89" s="8">
        <v>-1.8047606000000001E-2</v>
      </c>
      <c r="AC89" s="98">
        <f t="shared" si="15"/>
        <v>-1.118036444680277E-2</v>
      </c>
    </row>
    <row r="90" spans="14:29" x14ac:dyDescent="0.45">
      <c r="N90" s="8">
        <v>72.886164128527298</v>
      </c>
      <c r="O90" s="105">
        <f t="shared" si="8"/>
        <v>8.6000860009960434E-4</v>
      </c>
      <c r="P90" s="82">
        <v>-1.2551744E-2</v>
      </c>
      <c r="Q90" s="82">
        <f t="shared" si="9"/>
        <v>-8.4089329149840512E-3</v>
      </c>
      <c r="R90" s="8">
        <v>24.032323350338501</v>
      </c>
      <c r="S90" s="102">
        <f t="shared" si="12"/>
        <v>8.6000860009960434E-4</v>
      </c>
      <c r="T90" s="8">
        <v>-2.3220181999999999E-2</v>
      </c>
      <c r="U90" s="101">
        <f t="shared" si="10"/>
        <v>-1.5674983723088117E-2</v>
      </c>
      <c r="V90" s="8">
        <v>51.982465544846498</v>
      </c>
      <c r="W90" s="103">
        <f t="shared" si="13"/>
        <v>8.6000860009960434E-4</v>
      </c>
      <c r="X90" s="8">
        <v>-1.3198316E-2</v>
      </c>
      <c r="Y90" s="104">
        <f t="shared" si="11"/>
        <v>-8.1779013583840598E-3</v>
      </c>
      <c r="Z90" s="8">
        <v>62.997749284986803</v>
      </c>
      <c r="AA90" s="100">
        <f t="shared" si="14"/>
        <v>8.6000860000012835E-4</v>
      </c>
      <c r="AB90" s="8">
        <v>-1.2551744E-2</v>
      </c>
      <c r="AC90" s="98">
        <f t="shared" si="15"/>
        <v>-7.7757167550626923E-3</v>
      </c>
    </row>
    <row r="91" spans="14:29" x14ac:dyDescent="0.45">
      <c r="N91" s="8">
        <v>72.886174128627303</v>
      </c>
      <c r="O91" s="105">
        <f t="shared" si="8"/>
        <v>8.700087001045631E-4</v>
      </c>
      <c r="P91" s="82">
        <v>-2.5159898E-2</v>
      </c>
      <c r="Q91" s="82">
        <f t="shared" si="9"/>
        <v>-1.6855657224194614E-2</v>
      </c>
      <c r="R91" s="8">
        <v>24.032333350438499</v>
      </c>
      <c r="S91" s="102">
        <f t="shared" si="12"/>
        <v>8.7000870009745768E-4</v>
      </c>
      <c r="T91" s="8">
        <v>-2.7099614000000001E-2</v>
      </c>
      <c r="U91" s="101">
        <f t="shared" si="10"/>
        <v>-1.8293827686276142E-2</v>
      </c>
      <c r="V91" s="8">
        <v>51.982475544946404</v>
      </c>
      <c r="W91" s="103">
        <f t="shared" si="13"/>
        <v>8.7000870000508712E-4</v>
      </c>
      <c r="X91" s="8">
        <v>1.6728400000000001E-3</v>
      </c>
      <c r="Y91" s="104">
        <f t="shared" si="11"/>
        <v>1.0365201521435911E-3</v>
      </c>
      <c r="Z91" s="8">
        <v>62.9977592850869</v>
      </c>
      <c r="AA91" s="100">
        <f t="shared" si="14"/>
        <v>8.7000870009745768E-4</v>
      </c>
      <c r="AB91" s="8">
        <v>-2.5159898E-2</v>
      </c>
      <c r="AC91" s="98">
        <f t="shared" si="15"/>
        <v>-1.5586379106701692E-2</v>
      </c>
    </row>
    <row r="92" spans="14:29" x14ac:dyDescent="0.45">
      <c r="N92" s="8">
        <v>72.886184128727294</v>
      </c>
      <c r="O92" s="105">
        <f t="shared" si="8"/>
        <v>8.8000880009531102E-4</v>
      </c>
      <c r="P92" s="82">
        <v>-2.0310608000000001E-2</v>
      </c>
      <c r="Q92" s="82">
        <f t="shared" si="9"/>
        <v>-1.3606917105267475E-2</v>
      </c>
      <c r="R92" s="8">
        <v>24.0323433505385</v>
      </c>
      <c r="S92" s="102">
        <f t="shared" si="12"/>
        <v>8.8000880009886373E-4</v>
      </c>
      <c r="T92" s="8">
        <v>-1.8047606000000001E-2</v>
      </c>
      <c r="U92" s="101">
        <f t="shared" si="10"/>
        <v>-1.2183191772170756E-2</v>
      </c>
      <c r="V92" s="8">
        <v>51.982485545046501</v>
      </c>
      <c r="W92" s="103">
        <f t="shared" si="13"/>
        <v>8.8000880010241644E-4</v>
      </c>
      <c r="X92" s="8">
        <v>-2.2573610000000001E-2</v>
      </c>
      <c r="Y92" s="104">
        <f t="shared" si="11"/>
        <v>-1.3986993180238449E-2</v>
      </c>
      <c r="Z92" s="8">
        <v>62.997769285186898</v>
      </c>
      <c r="AA92" s="100">
        <f t="shared" si="14"/>
        <v>8.8000880009531102E-4</v>
      </c>
      <c r="AB92" s="8">
        <v>-2.1603752E-2</v>
      </c>
      <c r="AC92" s="98">
        <f t="shared" si="15"/>
        <v>-1.338337177675223E-2</v>
      </c>
    </row>
    <row r="93" spans="14:29" x14ac:dyDescent="0.45">
      <c r="N93" s="8">
        <v>72.886194128827299</v>
      </c>
      <c r="O93" s="105">
        <f t="shared" si="8"/>
        <v>8.9000890010026978E-4</v>
      </c>
      <c r="P93" s="82">
        <v>-2.9685902E-2</v>
      </c>
      <c r="Q93" s="82">
        <f t="shared" si="9"/>
        <v>-1.9887814668526609E-2</v>
      </c>
      <c r="R93" s="8">
        <v>24.032353350638498</v>
      </c>
      <c r="S93" s="102">
        <f t="shared" si="12"/>
        <v>8.9000890009671707E-4</v>
      </c>
      <c r="T93" s="8">
        <v>-1.7724319999999998E-2</v>
      </c>
      <c r="U93" s="101">
        <f t="shared" si="10"/>
        <v>-1.1964954775238418E-2</v>
      </c>
      <c r="V93" s="8">
        <v>51.982495545146499</v>
      </c>
      <c r="W93" s="103">
        <f t="shared" si="13"/>
        <v>8.9000890010026978E-4</v>
      </c>
      <c r="X93" s="8">
        <v>-8.9955980000000005E-3</v>
      </c>
      <c r="Y93" s="104">
        <f t="shared" si="11"/>
        <v>-5.5738257141045066E-3</v>
      </c>
      <c r="Z93" s="8">
        <v>62.997779285286903</v>
      </c>
      <c r="AA93" s="100">
        <f t="shared" si="14"/>
        <v>8.9000890010026978E-4</v>
      </c>
      <c r="AB93" s="8">
        <v>-3.7121479999999998E-2</v>
      </c>
      <c r="AC93" s="98">
        <f t="shared" si="15"/>
        <v>-2.2996494671077151E-2</v>
      </c>
    </row>
    <row r="94" spans="14:29" x14ac:dyDescent="0.45">
      <c r="N94" s="8">
        <v>72.886204128927304</v>
      </c>
      <c r="O94" s="105">
        <f t="shared" si="8"/>
        <v>9.0000900010522855E-4</v>
      </c>
      <c r="P94" s="82">
        <v>-1.5461318E-2</v>
      </c>
      <c r="Q94" s="82">
        <f t="shared" si="9"/>
        <v>-1.0358176986340334E-2</v>
      </c>
      <c r="R94" s="8">
        <v>24.0323633507385</v>
      </c>
      <c r="S94" s="102">
        <f t="shared" si="12"/>
        <v>9.0000900009812312E-4</v>
      </c>
      <c r="T94" s="8">
        <v>-2.0633894E-2</v>
      </c>
      <c r="U94" s="101">
        <f t="shared" si="10"/>
        <v>-1.3929087747629436E-2</v>
      </c>
      <c r="V94" s="8">
        <v>51.982505545246497</v>
      </c>
      <c r="W94" s="103">
        <f t="shared" si="13"/>
        <v>9.0000900009812312E-4</v>
      </c>
      <c r="X94" s="8">
        <v>-2.6776327999999999E-2</v>
      </c>
      <c r="Y94" s="104">
        <f t="shared" si="11"/>
        <v>-1.6591068824517999E-2</v>
      </c>
      <c r="Z94" s="8">
        <v>62.997789285386901</v>
      </c>
      <c r="AA94" s="100">
        <f t="shared" si="14"/>
        <v>9.0000900009812312E-4</v>
      </c>
      <c r="AB94" s="8">
        <v>-2.2573610000000001E-2</v>
      </c>
      <c r="AC94" s="98">
        <f t="shared" si="15"/>
        <v>-1.3984191957647539E-2</v>
      </c>
    </row>
    <row r="95" spans="14:29" x14ac:dyDescent="0.45">
      <c r="N95" s="8">
        <v>72.886214129027294</v>
      </c>
      <c r="O95" s="105">
        <f t="shared" si="8"/>
        <v>9.1000910009597646E-4</v>
      </c>
      <c r="P95" s="82">
        <v>-2.3220181999999999E-2</v>
      </c>
      <c r="Q95" s="82">
        <f t="shared" si="9"/>
        <v>-1.5556161176623758E-2</v>
      </c>
      <c r="R95" s="8">
        <v>24.032373350838501</v>
      </c>
      <c r="S95" s="102">
        <f t="shared" si="12"/>
        <v>9.1000910009952918E-4</v>
      </c>
      <c r="T95" s="8">
        <v>-3.0979046E-2</v>
      </c>
      <c r="U95" s="101">
        <f t="shared" si="10"/>
        <v>-2.0912671649464164E-2</v>
      </c>
      <c r="V95" s="8">
        <v>51.982515545346502</v>
      </c>
      <c r="W95" s="103">
        <f t="shared" si="13"/>
        <v>9.1000910010308189E-4</v>
      </c>
      <c r="X95" s="8">
        <v>-9.6421700000000003E-3</v>
      </c>
      <c r="Y95" s="104">
        <f t="shared" si="11"/>
        <v>-5.9744527363013609E-3</v>
      </c>
      <c r="Z95" s="8">
        <v>62.997799285486899</v>
      </c>
      <c r="AA95" s="100">
        <f t="shared" si="14"/>
        <v>9.1000910009597646E-4</v>
      </c>
      <c r="AB95" s="8">
        <v>-2.9685902E-2</v>
      </c>
      <c r="AC95" s="98">
        <f t="shared" si="15"/>
        <v>-1.8390206617546461E-2</v>
      </c>
    </row>
    <row r="96" spans="14:29" x14ac:dyDescent="0.45">
      <c r="N96" s="8">
        <v>72.886224129127299</v>
      </c>
      <c r="O96" s="105">
        <f t="shared" si="8"/>
        <v>9.2000920010093523E-4</v>
      </c>
      <c r="P96" s="82">
        <v>-2.3543468000000001E-2</v>
      </c>
      <c r="Q96" s="82">
        <f t="shared" si="9"/>
        <v>-1.57727438512189E-2</v>
      </c>
      <c r="R96" s="8">
        <v>24.032383350938499</v>
      </c>
      <c r="S96" s="102">
        <f t="shared" si="12"/>
        <v>9.2000920009738252E-4</v>
      </c>
      <c r="T96" s="8">
        <v>-3.5181763999999997E-2</v>
      </c>
      <c r="U96" s="101">
        <f t="shared" si="10"/>
        <v>-2.3749752609584521E-2</v>
      </c>
      <c r="V96" s="8">
        <v>51.982525545446499</v>
      </c>
      <c r="W96" s="103">
        <f t="shared" si="13"/>
        <v>9.2000920010093523E-4</v>
      </c>
      <c r="X96" s="8">
        <v>-3.0332474000000002E-2</v>
      </c>
      <c r="Y96" s="104">
        <f t="shared" si="11"/>
        <v>-1.8794517446600701E-2</v>
      </c>
      <c r="Z96" s="8">
        <v>62.997809285586897</v>
      </c>
      <c r="AA96" s="100">
        <f t="shared" si="14"/>
        <v>9.200092000938298E-4</v>
      </c>
      <c r="AB96" s="8">
        <v>-1.7077748E-2</v>
      </c>
      <c r="AC96" s="98">
        <f t="shared" si="15"/>
        <v>-1.0579544265907461E-2</v>
      </c>
    </row>
    <row r="97" spans="14:29" x14ac:dyDescent="0.45">
      <c r="N97" s="8">
        <v>72.886234129227304</v>
      </c>
      <c r="O97" s="105">
        <f t="shared" si="8"/>
        <v>9.30009300105894E-4</v>
      </c>
      <c r="P97" s="82">
        <v>-3.1948904E-2</v>
      </c>
      <c r="Q97" s="82">
        <f t="shared" si="9"/>
        <v>-2.140389339069261E-2</v>
      </c>
      <c r="R97" s="8">
        <v>24.0323933510385</v>
      </c>
      <c r="S97" s="102">
        <f t="shared" si="12"/>
        <v>9.3000930009878857E-4</v>
      </c>
      <c r="T97" s="8">
        <v>-3.0655760000000001E-2</v>
      </c>
      <c r="U97" s="101">
        <f t="shared" si="10"/>
        <v>-2.0694434652531828E-2</v>
      </c>
      <c r="V97" s="8">
        <v>51.982535545546497</v>
      </c>
      <c r="W97" s="103">
        <f t="shared" si="13"/>
        <v>9.3000930009878857E-4</v>
      </c>
      <c r="X97" s="8">
        <v>-1.934075E-2</v>
      </c>
      <c r="Y97" s="104">
        <f t="shared" si="11"/>
        <v>-1.1983858069254177E-2</v>
      </c>
      <c r="Z97" s="8">
        <v>62.997819285686901</v>
      </c>
      <c r="AA97" s="100">
        <f t="shared" si="14"/>
        <v>9.3000930009878857E-4</v>
      </c>
      <c r="AB97" s="8">
        <v>-3.1625618000000001E-2</v>
      </c>
      <c r="AC97" s="98">
        <f t="shared" si="15"/>
        <v>-1.9591846979337076E-2</v>
      </c>
    </row>
    <row r="98" spans="14:29" x14ac:dyDescent="0.45">
      <c r="N98" s="8">
        <v>72.886244129327295</v>
      </c>
      <c r="O98" s="105">
        <f t="shared" si="8"/>
        <v>9.4000940009664191E-4</v>
      </c>
      <c r="P98" s="82">
        <v>-2.7099614000000001E-2</v>
      </c>
      <c r="Q98" s="82">
        <f t="shared" si="9"/>
        <v>-1.8155153271765472E-2</v>
      </c>
      <c r="R98" s="8">
        <v>24.032403351138498</v>
      </c>
      <c r="S98" s="102">
        <f t="shared" si="12"/>
        <v>9.4000940009664191E-4</v>
      </c>
      <c r="T98" s="8">
        <v>-2.9362616000000001E-2</v>
      </c>
      <c r="U98" s="101">
        <f t="shared" si="10"/>
        <v>-1.9821486664802487E-2</v>
      </c>
      <c r="V98" s="8">
        <v>51.982545545646502</v>
      </c>
      <c r="W98" s="103">
        <f t="shared" si="13"/>
        <v>9.4000940010374734E-4</v>
      </c>
      <c r="X98" s="8">
        <v>-3.5181763999999997E-2</v>
      </c>
      <c r="Y98" s="104">
        <f t="shared" si="11"/>
        <v>-2.1799220113077108E-2</v>
      </c>
      <c r="Z98" s="8">
        <v>62.997829285786899</v>
      </c>
      <c r="AA98" s="100">
        <f t="shared" si="14"/>
        <v>9.4000940009664191E-4</v>
      </c>
      <c r="AB98" s="8">
        <v>-2.4190039999999999E-2</v>
      </c>
      <c r="AC98" s="98">
        <f t="shared" si="15"/>
        <v>-1.4985558925806384E-2</v>
      </c>
    </row>
    <row r="99" spans="14:29" x14ac:dyDescent="0.45">
      <c r="N99" s="8">
        <v>72.8862541294273</v>
      </c>
      <c r="O99" s="105">
        <f t="shared" si="8"/>
        <v>9.5000950010160068E-4</v>
      </c>
      <c r="P99" s="82">
        <v>-2.8069472000000002E-2</v>
      </c>
      <c r="Q99" s="82">
        <f t="shared" si="9"/>
        <v>-1.8804901295550899E-2</v>
      </c>
      <c r="R99" s="8">
        <v>24.0324133512385</v>
      </c>
      <c r="S99" s="102">
        <f t="shared" si="12"/>
        <v>9.5000950009804797E-4</v>
      </c>
      <c r="T99" s="8">
        <v>-2.4513325999999998E-2</v>
      </c>
      <c r="U99" s="101">
        <f t="shared" si="10"/>
        <v>-1.6547931710817459E-2</v>
      </c>
      <c r="V99" s="8">
        <v>51.9825555457465</v>
      </c>
      <c r="W99" s="103">
        <f t="shared" si="13"/>
        <v>9.5000950010160068E-4</v>
      </c>
      <c r="X99" s="8">
        <v>-2.1280466000000001E-2</v>
      </c>
      <c r="Y99" s="104">
        <f t="shared" si="11"/>
        <v>-1.318573913584474E-2</v>
      </c>
      <c r="Z99" s="8">
        <v>62.997839285886897</v>
      </c>
      <c r="AA99" s="100">
        <f t="shared" si="14"/>
        <v>9.5000950009449525E-4</v>
      </c>
      <c r="AB99" s="8">
        <v>-2.5806470000000001E-2</v>
      </c>
      <c r="AC99" s="98">
        <f t="shared" si="15"/>
        <v>-1.5986925893965231E-2</v>
      </c>
    </row>
    <row r="100" spans="14:29" x14ac:dyDescent="0.45">
      <c r="N100" s="8">
        <v>72.886264129527305</v>
      </c>
      <c r="O100" s="105">
        <f t="shared" si="8"/>
        <v>9.6000960010655945E-4</v>
      </c>
      <c r="P100" s="82">
        <v>-2.3866754E-2</v>
      </c>
      <c r="Q100" s="82">
        <f t="shared" si="9"/>
        <v>-1.5989326525814043E-2</v>
      </c>
      <c r="R100" s="8">
        <v>24.032423351338501</v>
      </c>
      <c r="S100" s="102">
        <f t="shared" si="12"/>
        <v>9.6000960009945402E-4</v>
      </c>
      <c r="T100" s="8">
        <v>-2.9039329999999999E-2</v>
      </c>
      <c r="U100" s="101">
        <f t="shared" si="10"/>
        <v>-1.9603249667870151E-2</v>
      </c>
      <c r="V100" s="8">
        <v>51.982565545846498</v>
      </c>
      <c r="W100" s="103">
        <f t="shared" si="13"/>
        <v>9.6000960009945402E-4</v>
      </c>
      <c r="X100" s="8">
        <v>-3.3565334000000002E-2</v>
      </c>
      <c r="Y100" s="104">
        <f t="shared" si="11"/>
        <v>-2.0797652557584975E-2</v>
      </c>
      <c r="Z100" s="8">
        <v>62.997849285986902</v>
      </c>
      <c r="AA100" s="100">
        <f t="shared" si="14"/>
        <v>9.6000960009945402E-4</v>
      </c>
      <c r="AB100" s="8">
        <v>-3.2595475999999998E-2</v>
      </c>
      <c r="AC100" s="98">
        <f t="shared" si="15"/>
        <v>-2.0192667160232384E-2</v>
      </c>
    </row>
    <row r="101" spans="14:29" x14ac:dyDescent="0.45">
      <c r="N101" s="8">
        <v>72.886274129627296</v>
      </c>
      <c r="O101" s="105">
        <f t="shared" si="8"/>
        <v>9.7000970009730736E-4</v>
      </c>
      <c r="P101" s="82">
        <v>-3.1948904E-2</v>
      </c>
      <c r="Q101" s="82">
        <f t="shared" si="9"/>
        <v>-2.140389339069261E-2</v>
      </c>
      <c r="R101" s="8">
        <v>24.032433351438499</v>
      </c>
      <c r="S101" s="102">
        <f t="shared" si="12"/>
        <v>9.7000970009730736E-4</v>
      </c>
      <c r="T101" s="8">
        <v>-2.9039329999999999E-2</v>
      </c>
      <c r="U101" s="101">
        <f t="shared" si="10"/>
        <v>-1.9603249667870151E-2</v>
      </c>
      <c r="V101" s="8">
        <v>51.982575545946503</v>
      </c>
      <c r="W101" s="103">
        <f t="shared" si="13"/>
        <v>9.7000970010441279E-4</v>
      </c>
      <c r="X101" s="8">
        <v>-2.6453042E-2</v>
      </c>
      <c r="Y101" s="104">
        <f t="shared" si="11"/>
        <v>-1.6390755313419575E-2</v>
      </c>
      <c r="Z101" s="8">
        <v>62.9978592860869</v>
      </c>
      <c r="AA101" s="100">
        <f t="shared" si="14"/>
        <v>9.7000970009730736E-4</v>
      </c>
      <c r="AB101" s="8">
        <v>-2.5483183999999999E-2</v>
      </c>
      <c r="AC101" s="98">
        <f t="shared" si="15"/>
        <v>-1.578665250033346E-2</v>
      </c>
    </row>
    <row r="102" spans="14:29" x14ac:dyDescent="0.45">
      <c r="N102" s="8">
        <v>72.886284129727301</v>
      </c>
      <c r="O102" s="105">
        <f t="shared" si="8"/>
        <v>9.8000980010226613E-4</v>
      </c>
      <c r="P102" s="82">
        <v>-2.7099614000000001E-2</v>
      </c>
      <c r="Q102" s="82">
        <f t="shared" si="9"/>
        <v>-1.8155153271765472E-2</v>
      </c>
      <c r="R102" s="8">
        <v>24.0324433515385</v>
      </c>
      <c r="S102" s="102">
        <f t="shared" si="12"/>
        <v>9.8000980009871341E-4</v>
      </c>
      <c r="T102" s="8">
        <v>-3.4211906E-2</v>
      </c>
      <c r="U102" s="101">
        <f t="shared" si="10"/>
        <v>-2.3095041618787514E-2</v>
      </c>
      <c r="V102" s="8">
        <v>51.982585546046501</v>
      </c>
      <c r="W102" s="103">
        <f t="shared" si="13"/>
        <v>9.8000980010226613E-4</v>
      </c>
      <c r="X102" s="8">
        <v>-3.873791E-2</v>
      </c>
      <c r="Y102" s="104">
        <f t="shared" si="11"/>
        <v>-2.4002668735159809E-2</v>
      </c>
      <c r="Z102" s="8">
        <v>62.997869286186898</v>
      </c>
      <c r="AA102" s="100">
        <f t="shared" si="14"/>
        <v>9.800098000951607E-4</v>
      </c>
      <c r="AB102" s="8">
        <v>-3.7444765999999997E-2</v>
      </c>
      <c r="AC102" s="98">
        <f t="shared" si="15"/>
        <v>-2.3196768064708922E-2</v>
      </c>
    </row>
    <row r="103" spans="14:29" x14ac:dyDescent="0.45">
      <c r="N103" s="8">
        <v>72.886294129827306</v>
      </c>
      <c r="O103" s="105">
        <f t="shared" si="8"/>
        <v>9.9000990010722489E-4</v>
      </c>
      <c r="P103" s="82">
        <v>-2.9685902E-2</v>
      </c>
      <c r="Q103" s="82">
        <f t="shared" si="9"/>
        <v>-1.9887814668526609E-2</v>
      </c>
      <c r="R103" s="8">
        <v>24.032453351638502</v>
      </c>
      <c r="S103" s="102">
        <f t="shared" si="12"/>
        <v>9.9000990010011947E-4</v>
      </c>
      <c r="T103" s="8">
        <v>-3.1625618000000001E-2</v>
      </c>
      <c r="U103" s="101">
        <f t="shared" si="10"/>
        <v>-2.1349145643328835E-2</v>
      </c>
      <c r="V103" s="8">
        <v>51.982595546146499</v>
      </c>
      <c r="W103" s="103">
        <f t="shared" si="13"/>
        <v>9.9000990010011947E-4</v>
      </c>
      <c r="X103" s="8">
        <v>-2.9362616000000001E-2</v>
      </c>
      <c r="Y103" s="104">
        <f t="shared" si="11"/>
        <v>-1.819357691330542E-2</v>
      </c>
      <c r="Z103" s="8">
        <v>62.997879286286903</v>
      </c>
      <c r="AA103" s="100">
        <f t="shared" si="14"/>
        <v>9.9000990010011947E-4</v>
      </c>
      <c r="AB103" s="8">
        <v>-3.5181763999999997E-2</v>
      </c>
      <c r="AC103" s="98">
        <f t="shared" si="15"/>
        <v>-2.1794854309286536E-2</v>
      </c>
    </row>
    <row r="104" spans="14:29" x14ac:dyDescent="0.45">
      <c r="N104" s="8">
        <v>72.886304129927296</v>
      </c>
      <c r="O104" s="105">
        <f t="shared" si="8"/>
        <v>1.0000100000979728E-3</v>
      </c>
      <c r="P104" s="82">
        <v>-2.4836612000000001E-2</v>
      </c>
      <c r="Q104" s="82">
        <f t="shared" si="9"/>
        <v>-1.663907454959947E-2</v>
      </c>
      <c r="R104" s="8">
        <v>24.0324633517385</v>
      </c>
      <c r="S104" s="102">
        <f t="shared" si="12"/>
        <v>1.0000100000979728E-3</v>
      </c>
      <c r="T104" s="8">
        <v>-2.5483183999999999E-2</v>
      </c>
      <c r="U104" s="101">
        <f t="shared" si="10"/>
        <v>-1.7202642701614465E-2</v>
      </c>
      <c r="V104" s="8">
        <v>51.982605546246504</v>
      </c>
      <c r="W104" s="103">
        <f t="shared" si="13"/>
        <v>1.0000100001050782E-3</v>
      </c>
      <c r="X104" s="8">
        <v>-3.6474908E-2</v>
      </c>
      <c r="Y104" s="104">
        <f t="shared" si="11"/>
        <v>-2.2600474157470817E-2</v>
      </c>
      <c r="Z104" s="8">
        <v>62.997889286386901</v>
      </c>
      <c r="AA104" s="100">
        <f t="shared" si="14"/>
        <v>1.0000100000979728E-3</v>
      </c>
      <c r="AB104" s="8">
        <v>-3.4211906E-2</v>
      </c>
      <c r="AC104" s="98">
        <f t="shared" si="15"/>
        <v>-2.1194034128391229E-2</v>
      </c>
    </row>
    <row r="105" spans="14:29" x14ac:dyDescent="0.45">
      <c r="N105" s="8">
        <v>72.886314130027301</v>
      </c>
      <c r="O105" s="105">
        <f t="shared" si="8"/>
        <v>1.0100101001029316E-3</v>
      </c>
      <c r="P105" s="82">
        <v>-2.4513325999999998E-2</v>
      </c>
      <c r="Q105" s="82">
        <f t="shared" si="9"/>
        <v>-1.6422491875004327E-2</v>
      </c>
      <c r="R105" s="8">
        <v>24.032473351838501</v>
      </c>
      <c r="S105" s="102">
        <f t="shared" si="12"/>
        <v>1.0100101000993789E-3</v>
      </c>
      <c r="T105" s="8">
        <v>-1.8694177999999999E-2</v>
      </c>
      <c r="U105" s="101">
        <f t="shared" si="10"/>
        <v>-1.2619665766035425E-2</v>
      </c>
      <c r="V105" s="8">
        <v>51.982615546346501</v>
      </c>
      <c r="W105" s="103">
        <f t="shared" si="13"/>
        <v>1.0100101001029316E-3</v>
      </c>
      <c r="X105" s="8">
        <v>-2.6453042E-2</v>
      </c>
      <c r="Y105" s="104">
        <f t="shared" si="11"/>
        <v>-1.6390755313419575E-2</v>
      </c>
      <c r="Z105" s="8">
        <v>62.997899286486899</v>
      </c>
      <c r="AA105" s="100">
        <f t="shared" si="14"/>
        <v>1.0100101000958261E-3</v>
      </c>
      <c r="AB105" s="8">
        <v>-3.4211906E-2</v>
      </c>
      <c r="AC105" s="98">
        <f t="shared" si="15"/>
        <v>-2.1194034128391229E-2</v>
      </c>
    </row>
    <row r="106" spans="14:29" x14ac:dyDescent="0.45">
      <c r="N106" s="8">
        <v>72.886324130127306</v>
      </c>
      <c r="O106" s="105">
        <f t="shared" si="8"/>
        <v>1.0200102001078903E-3</v>
      </c>
      <c r="P106" s="82">
        <v>-2.5159898E-2</v>
      </c>
      <c r="Q106" s="82">
        <f t="shared" si="9"/>
        <v>-1.6855657224194614E-2</v>
      </c>
      <c r="R106" s="8">
        <v>24.032483351938499</v>
      </c>
      <c r="S106" s="102">
        <f t="shared" si="12"/>
        <v>1.0200102000972322E-3</v>
      </c>
      <c r="T106" s="8">
        <v>-2.0310608000000001E-2</v>
      </c>
      <c r="U106" s="101">
        <f t="shared" si="10"/>
        <v>-1.3710850750697102E-2</v>
      </c>
      <c r="V106" s="8">
        <v>51.982625546446499</v>
      </c>
      <c r="W106" s="103">
        <f t="shared" si="13"/>
        <v>1.0200102001007849E-3</v>
      </c>
      <c r="X106" s="8">
        <v>-3.2595475999999998E-2</v>
      </c>
      <c r="Y106" s="104">
        <f t="shared" si="11"/>
        <v>-2.019671202428969E-2</v>
      </c>
      <c r="Z106" s="8">
        <v>62.997909286586903</v>
      </c>
      <c r="AA106" s="100">
        <f t="shared" si="14"/>
        <v>1.0200102001007849E-3</v>
      </c>
      <c r="AB106" s="8">
        <v>-1.9664035999999999E-2</v>
      </c>
      <c r="AC106" s="98">
        <f t="shared" si="15"/>
        <v>-1.2181731414961615E-2</v>
      </c>
    </row>
    <row r="107" spans="14:29" x14ac:dyDescent="0.45">
      <c r="N107" s="8">
        <v>72.886334130227297</v>
      </c>
      <c r="O107" s="105">
        <f t="shared" si="8"/>
        <v>1.0300103000986383E-3</v>
      </c>
      <c r="P107" s="82">
        <v>-3.0979046E-2</v>
      </c>
      <c r="Q107" s="82">
        <f t="shared" si="9"/>
        <v>-2.075414536690718E-2</v>
      </c>
      <c r="R107" s="8">
        <v>24.0324933520385</v>
      </c>
      <c r="S107" s="102">
        <f t="shared" si="12"/>
        <v>1.0300103000986383E-3</v>
      </c>
      <c r="T107" s="8">
        <v>-2.74229E-2</v>
      </c>
      <c r="U107" s="101">
        <f t="shared" si="10"/>
        <v>-1.8512064683208478E-2</v>
      </c>
      <c r="V107" s="8">
        <v>51.982635546546497</v>
      </c>
      <c r="W107" s="103">
        <f t="shared" si="13"/>
        <v>1.0300103000986383E-3</v>
      </c>
      <c r="X107" s="8">
        <v>-2.8716044E-2</v>
      </c>
      <c r="Y107" s="104">
        <f t="shared" si="11"/>
        <v>-1.7792949891108564E-2</v>
      </c>
      <c r="Z107" s="8">
        <v>62.997919286686901</v>
      </c>
      <c r="AA107" s="100">
        <f t="shared" si="14"/>
        <v>1.0300103000986383E-3</v>
      </c>
      <c r="AB107" s="8">
        <v>-2.5806470000000001E-2</v>
      </c>
      <c r="AC107" s="98">
        <f t="shared" si="15"/>
        <v>-1.5986925893965231E-2</v>
      </c>
    </row>
    <row r="108" spans="14:29" x14ac:dyDescent="0.45">
      <c r="N108" s="8">
        <v>72.886344130327302</v>
      </c>
      <c r="O108" s="105">
        <f t="shared" si="8"/>
        <v>1.040010400103597E-3</v>
      </c>
      <c r="P108" s="82">
        <v>-2.5806470000000001E-2</v>
      </c>
      <c r="Q108" s="82">
        <f t="shared" si="9"/>
        <v>-1.7288822573384901E-2</v>
      </c>
      <c r="R108" s="8">
        <v>24.032503352138502</v>
      </c>
      <c r="S108" s="102">
        <f t="shared" si="12"/>
        <v>1.0400104001000443E-3</v>
      </c>
      <c r="T108" s="8">
        <v>-3.5181763999999997E-2</v>
      </c>
      <c r="U108" s="101">
        <f t="shared" si="10"/>
        <v>-2.3749752609584521E-2</v>
      </c>
      <c r="V108" s="8">
        <v>51.982645546646502</v>
      </c>
      <c r="W108" s="103">
        <f t="shared" si="13"/>
        <v>1.040010400103597E-3</v>
      </c>
      <c r="X108" s="8">
        <v>-2.8069472000000002E-2</v>
      </c>
      <c r="Y108" s="104">
        <f t="shared" si="11"/>
        <v>-1.7392322868911712E-2</v>
      </c>
      <c r="Z108" s="8">
        <v>62.997929286786899</v>
      </c>
      <c r="AA108" s="100">
        <f t="shared" si="14"/>
        <v>1.0400104000964916E-3</v>
      </c>
      <c r="AB108" s="8">
        <v>-2.74229E-2</v>
      </c>
      <c r="AC108" s="98">
        <f t="shared" si="15"/>
        <v>-1.6988292862124076E-2</v>
      </c>
    </row>
    <row r="109" spans="14:29" x14ac:dyDescent="0.45">
      <c r="N109" s="8">
        <v>72.886354130427307</v>
      </c>
      <c r="O109" s="105">
        <f t="shared" si="8"/>
        <v>1.0500105001085558E-3</v>
      </c>
      <c r="P109" s="82">
        <v>-2.4836612000000001E-2</v>
      </c>
      <c r="Q109" s="82">
        <f t="shared" si="9"/>
        <v>-1.663907454959947E-2</v>
      </c>
      <c r="R109" s="8">
        <v>24.032513352238499</v>
      </c>
      <c r="S109" s="102">
        <f t="shared" si="12"/>
        <v>1.0500105000978976E-3</v>
      </c>
      <c r="T109" s="8">
        <v>-3.0655760000000001E-2</v>
      </c>
      <c r="U109" s="101">
        <f t="shared" si="10"/>
        <v>-2.0694434652531828E-2</v>
      </c>
      <c r="V109" s="8">
        <v>51.9826555467465</v>
      </c>
      <c r="W109" s="103">
        <f t="shared" si="13"/>
        <v>1.0500105001014504E-3</v>
      </c>
      <c r="X109" s="8">
        <v>-2.5483183999999999E-2</v>
      </c>
      <c r="Y109" s="104">
        <f t="shared" si="11"/>
        <v>-1.5789814780124294E-2</v>
      </c>
      <c r="Z109" s="8">
        <v>62.997939286886897</v>
      </c>
      <c r="AA109" s="100">
        <f t="shared" si="14"/>
        <v>1.0500105000943449E-3</v>
      </c>
      <c r="AB109" s="8">
        <v>-2.3543468000000001E-2</v>
      </c>
      <c r="AC109" s="98">
        <f t="shared" si="15"/>
        <v>-1.4585012138542847E-2</v>
      </c>
    </row>
    <row r="110" spans="14:29" x14ac:dyDescent="0.45">
      <c r="N110" s="8">
        <v>72.886364130527298</v>
      </c>
      <c r="O110" s="105">
        <f t="shared" si="8"/>
        <v>1.0600106000993037E-3</v>
      </c>
      <c r="P110" s="82">
        <v>-2.9685902E-2</v>
      </c>
      <c r="Q110" s="82">
        <f t="shared" si="9"/>
        <v>-1.9887814668526609E-2</v>
      </c>
      <c r="R110" s="8">
        <v>24.032523352338501</v>
      </c>
      <c r="S110" s="102">
        <f t="shared" si="12"/>
        <v>1.0600106000993037E-3</v>
      </c>
      <c r="T110" s="8">
        <v>-2.7746185999999999E-2</v>
      </c>
      <c r="U110" s="101">
        <f t="shared" si="10"/>
        <v>-1.873030168014081E-2</v>
      </c>
      <c r="V110" s="8">
        <v>51.982665546846498</v>
      </c>
      <c r="W110" s="103">
        <f t="shared" si="13"/>
        <v>1.0600106000993037E-3</v>
      </c>
      <c r="X110" s="8">
        <v>-2.0310608000000001E-2</v>
      </c>
      <c r="Y110" s="104">
        <f t="shared" si="11"/>
        <v>-1.2584798602549459E-2</v>
      </c>
      <c r="Z110" s="8">
        <v>62.997949286986902</v>
      </c>
      <c r="AA110" s="100">
        <f t="shared" si="14"/>
        <v>1.0600106000993037E-3</v>
      </c>
      <c r="AB110" s="8">
        <v>-2.74229E-2</v>
      </c>
      <c r="AC110" s="98">
        <f t="shared" si="15"/>
        <v>-1.6988292862124076E-2</v>
      </c>
    </row>
    <row r="111" spans="14:29" x14ac:dyDescent="0.45">
      <c r="N111" s="8">
        <v>72.886374130627303</v>
      </c>
      <c r="O111" s="105">
        <f t="shared" si="8"/>
        <v>1.0700107001042625E-3</v>
      </c>
      <c r="P111" s="82">
        <v>-2.3866754E-2</v>
      </c>
      <c r="Q111" s="82">
        <f t="shared" si="9"/>
        <v>-1.5989326525814043E-2</v>
      </c>
      <c r="R111" s="8">
        <v>24.032533352438499</v>
      </c>
      <c r="S111" s="102">
        <f t="shared" si="12"/>
        <v>1.070010700097157E-3</v>
      </c>
      <c r="T111" s="8">
        <v>-2.2573610000000001E-2</v>
      </c>
      <c r="U111" s="101">
        <f t="shared" si="10"/>
        <v>-1.5238509729223448E-2</v>
      </c>
      <c r="V111" s="8">
        <v>51.982675546946503</v>
      </c>
      <c r="W111" s="103">
        <f t="shared" si="13"/>
        <v>1.0700107001042625E-3</v>
      </c>
      <c r="X111" s="8">
        <v>-2.1927037999999999E-2</v>
      </c>
      <c r="Y111" s="104">
        <f t="shared" si="11"/>
        <v>-1.3586366158041594E-2</v>
      </c>
      <c r="Z111" s="8">
        <v>62.9979592870869</v>
      </c>
      <c r="AA111" s="100">
        <f t="shared" si="14"/>
        <v>1.070010700097157E-3</v>
      </c>
      <c r="AB111" s="8">
        <v>-2.8392758000000001E-2</v>
      </c>
      <c r="AC111" s="98">
        <f t="shared" si="15"/>
        <v>-1.7589113043019383E-2</v>
      </c>
    </row>
    <row r="112" spans="14:29" x14ac:dyDescent="0.45">
      <c r="N112" s="8">
        <v>72.886384130727293</v>
      </c>
      <c r="O112" s="105">
        <f t="shared" si="8"/>
        <v>1.0800108000950104E-3</v>
      </c>
      <c r="P112" s="82">
        <v>-2.1603752E-2</v>
      </c>
      <c r="Q112" s="82">
        <f t="shared" si="9"/>
        <v>-1.4473247803648046E-2</v>
      </c>
      <c r="R112" s="8">
        <v>24.0325433525385</v>
      </c>
      <c r="S112" s="102">
        <f t="shared" si="12"/>
        <v>1.0800108000985631E-3</v>
      </c>
      <c r="T112" s="8">
        <v>-3.3565334000000002E-2</v>
      </c>
      <c r="U112" s="101">
        <f t="shared" si="10"/>
        <v>-2.2658567624922847E-2</v>
      </c>
      <c r="V112" s="8">
        <v>51.982685547046501</v>
      </c>
      <c r="W112" s="103">
        <f t="shared" si="13"/>
        <v>1.0800108001021158E-3</v>
      </c>
      <c r="X112" s="8">
        <v>-2.1603752E-2</v>
      </c>
      <c r="Y112" s="104">
        <f t="shared" si="11"/>
        <v>-1.3386052646943166E-2</v>
      </c>
      <c r="Z112" s="8">
        <v>62.997969287186898</v>
      </c>
      <c r="AA112" s="100">
        <f t="shared" si="14"/>
        <v>1.0800108000950104E-3</v>
      </c>
      <c r="AB112" s="8">
        <v>-2.74229E-2</v>
      </c>
      <c r="AC112" s="98">
        <f t="shared" si="15"/>
        <v>-1.6988292862124076E-2</v>
      </c>
    </row>
    <row r="113" spans="14:29" x14ac:dyDescent="0.45">
      <c r="N113" s="8">
        <v>72.886394130827298</v>
      </c>
      <c r="O113" s="105">
        <f t="shared" si="8"/>
        <v>1.0900109000999691E-3</v>
      </c>
      <c r="P113" s="82">
        <v>-2.1603752E-2</v>
      </c>
      <c r="Q113" s="82">
        <f t="shared" si="9"/>
        <v>-1.4473247803648046E-2</v>
      </c>
      <c r="R113" s="8">
        <v>24.032553352638502</v>
      </c>
      <c r="S113" s="102">
        <f t="shared" si="12"/>
        <v>1.0900109000999691E-3</v>
      </c>
      <c r="T113" s="8">
        <v>-2.8392758000000001E-2</v>
      </c>
      <c r="U113" s="101">
        <f t="shared" si="10"/>
        <v>-1.916677567400548E-2</v>
      </c>
      <c r="V113" s="8">
        <v>51.982695547146498</v>
      </c>
      <c r="W113" s="103">
        <f t="shared" si="13"/>
        <v>1.0900109000999691E-3</v>
      </c>
      <c r="X113" s="8">
        <v>-2.1280466000000001E-2</v>
      </c>
      <c r="Y113" s="104">
        <f t="shared" si="11"/>
        <v>-1.318573913584474E-2</v>
      </c>
      <c r="Z113" s="8">
        <v>62.997979287286903</v>
      </c>
      <c r="AA113" s="100">
        <f t="shared" si="14"/>
        <v>1.0900109000999691E-3</v>
      </c>
      <c r="AB113" s="8">
        <v>-3.1948904E-2</v>
      </c>
      <c r="AC113" s="98">
        <f t="shared" si="15"/>
        <v>-1.9792120372968847E-2</v>
      </c>
    </row>
    <row r="114" spans="14:29" x14ac:dyDescent="0.45">
      <c r="N114" s="8">
        <v>72.886404130927303</v>
      </c>
      <c r="O114" s="105">
        <f t="shared" si="8"/>
        <v>1.1000110001049279E-3</v>
      </c>
      <c r="P114" s="82">
        <v>-2.9685902E-2</v>
      </c>
      <c r="Q114" s="82">
        <f t="shared" si="9"/>
        <v>-1.9887814668526609E-2</v>
      </c>
      <c r="R114" s="8">
        <v>24.032563352738499</v>
      </c>
      <c r="S114" s="102">
        <f t="shared" si="12"/>
        <v>1.1000110000978225E-3</v>
      </c>
      <c r="T114" s="8">
        <v>-3.4858477999999998E-2</v>
      </c>
      <c r="U114" s="101">
        <f t="shared" si="10"/>
        <v>-2.3531515612652185E-2</v>
      </c>
      <c r="V114" s="8">
        <v>51.982705547246503</v>
      </c>
      <c r="W114" s="103">
        <f t="shared" si="13"/>
        <v>1.1000110001049279E-3</v>
      </c>
      <c r="X114" s="8">
        <v>-2.7746185999999999E-2</v>
      </c>
      <c r="Y114" s="104">
        <f t="shared" si="11"/>
        <v>-1.7192009357813284E-2</v>
      </c>
      <c r="Z114" s="8">
        <v>62.997989287386901</v>
      </c>
      <c r="AA114" s="100">
        <f t="shared" si="14"/>
        <v>1.1000110000978225E-3</v>
      </c>
      <c r="AB114" s="8">
        <v>-2.5806470000000001E-2</v>
      </c>
      <c r="AC114" s="98">
        <f t="shared" si="15"/>
        <v>-1.5986925893965231E-2</v>
      </c>
    </row>
    <row r="115" spans="14:29" x14ac:dyDescent="0.45">
      <c r="N115" s="8">
        <v>72.886414131027294</v>
      </c>
      <c r="O115" s="105">
        <f t="shared" si="8"/>
        <v>1.1100111000956758E-3</v>
      </c>
      <c r="P115" s="82">
        <v>-2.4836612000000001E-2</v>
      </c>
      <c r="Q115" s="82">
        <f t="shared" si="9"/>
        <v>-1.663907454959947E-2</v>
      </c>
      <c r="R115" s="8">
        <v>24.032573352838501</v>
      </c>
      <c r="S115" s="102">
        <f t="shared" si="12"/>
        <v>1.1100111000992285E-3</v>
      </c>
      <c r="T115" s="8">
        <v>-3.6798193999999999E-2</v>
      </c>
      <c r="U115" s="101">
        <f t="shared" si="10"/>
        <v>-2.4840937594246198E-2</v>
      </c>
      <c r="V115" s="8">
        <v>51.982715547346501</v>
      </c>
      <c r="W115" s="103">
        <f t="shared" si="13"/>
        <v>1.1100111001027813E-3</v>
      </c>
      <c r="X115" s="8">
        <v>-3.1948904E-2</v>
      </c>
      <c r="Y115" s="104">
        <f t="shared" si="11"/>
        <v>-1.9796085002092838E-2</v>
      </c>
      <c r="Z115" s="8">
        <v>62.997999287486898</v>
      </c>
      <c r="AA115" s="100">
        <f t="shared" si="14"/>
        <v>1.1100111000956758E-3</v>
      </c>
      <c r="AB115" s="8">
        <v>-2.4836612000000001E-2</v>
      </c>
      <c r="AC115" s="98">
        <f t="shared" si="15"/>
        <v>-1.5386105713069923E-2</v>
      </c>
    </row>
    <row r="116" spans="14:29" x14ac:dyDescent="0.45">
      <c r="N116" s="8">
        <v>72.886424131127299</v>
      </c>
      <c r="O116" s="105">
        <f t="shared" si="8"/>
        <v>1.1200112001006346E-3</v>
      </c>
      <c r="P116" s="82">
        <v>-3.0655760000000001E-2</v>
      </c>
      <c r="Q116" s="82">
        <f t="shared" si="9"/>
        <v>-2.053756269231204E-2</v>
      </c>
      <c r="R116" s="8">
        <v>24.032583352938499</v>
      </c>
      <c r="S116" s="102">
        <f t="shared" si="12"/>
        <v>1.1200112000970819E-3</v>
      </c>
      <c r="T116" s="8">
        <v>-2.9685902E-2</v>
      </c>
      <c r="U116" s="101">
        <f t="shared" si="10"/>
        <v>-2.0039723661734822E-2</v>
      </c>
      <c r="V116" s="8">
        <v>51.982725547446499</v>
      </c>
      <c r="W116" s="103">
        <f t="shared" si="13"/>
        <v>1.1200112001006346E-3</v>
      </c>
      <c r="X116" s="8">
        <v>-2.7746185999999999E-2</v>
      </c>
      <c r="Y116" s="104">
        <f t="shared" si="11"/>
        <v>-1.7192009357813284E-2</v>
      </c>
      <c r="Z116" s="8">
        <v>62.998009287586903</v>
      </c>
      <c r="AA116" s="100">
        <f t="shared" si="14"/>
        <v>1.1200112001006346E-3</v>
      </c>
      <c r="AB116" s="8">
        <v>-2.7099614000000001E-2</v>
      </c>
      <c r="AC116" s="98">
        <f t="shared" si="15"/>
        <v>-1.6788019468492309E-2</v>
      </c>
    </row>
    <row r="117" spans="14:29" x14ac:dyDescent="0.45">
      <c r="N117" s="8">
        <v>72.886434131227304</v>
      </c>
      <c r="O117" s="105">
        <f t="shared" si="8"/>
        <v>1.1300113001055934E-3</v>
      </c>
      <c r="P117" s="82">
        <v>-2.8392758000000001E-2</v>
      </c>
      <c r="Q117" s="82">
        <f t="shared" si="9"/>
        <v>-1.9021483970146039E-2</v>
      </c>
      <c r="R117" s="8">
        <v>24.0325933530385</v>
      </c>
      <c r="S117" s="102">
        <f t="shared" si="12"/>
        <v>1.1300113000984879E-3</v>
      </c>
      <c r="T117" s="8">
        <v>-2.8069472000000002E-2</v>
      </c>
      <c r="U117" s="101">
        <f t="shared" si="10"/>
        <v>-1.8948538677073148E-2</v>
      </c>
      <c r="V117" s="8">
        <v>51.982735547546497</v>
      </c>
      <c r="W117" s="103">
        <f t="shared" si="13"/>
        <v>1.1300113000984879E-3</v>
      </c>
      <c r="X117" s="8">
        <v>-2.3866754E-2</v>
      </c>
      <c r="Y117" s="104">
        <f t="shared" si="11"/>
        <v>-1.4788247224632158E-2</v>
      </c>
      <c r="Z117" s="8">
        <v>62.998019287686901</v>
      </c>
      <c r="AA117" s="100">
        <f t="shared" si="14"/>
        <v>1.1300113000984879E-3</v>
      </c>
      <c r="AB117" s="8">
        <v>-1.4814746E-2</v>
      </c>
      <c r="AC117" s="98">
        <f t="shared" si="15"/>
        <v>-9.1776305104850769E-3</v>
      </c>
    </row>
    <row r="118" spans="14:29" x14ac:dyDescent="0.45">
      <c r="N118" s="8">
        <v>72.886444131327295</v>
      </c>
      <c r="O118" s="105">
        <f t="shared" si="8"/>
        <v>1.1400114000963413E-3</v>
      </c>
      <c r="P118" s="82">
        <v>-2.9039329999999999E-2</v>
      </c>
      <c r="Q118" s="82">
        <f t="shared" si="9"/>
        <v>-1.9454649319336326E-2</v>
      </c>
      <c r="R118" s="8">
        <v>24.032603353138501</v>
      </c>
      <c r="S118" s="102">
        <f t="shared" si="12"/>
        <v>1.140011400099894E-3</v>
      </c>
      <c r="T118" s="8">
        <v>-2.8069472000000002E-2</v>
      </c>
      <c r="U118" s="101">
        <f t="shared" si="10"/>
        <v>-1.8948538677073148E-2</v>
      </c>
      <c r="V118" s="8">
        <v>51.982745547646502</v>
      </c>
      <c r="W118" s="103">
        <f t="shared" si="13"/>
        <v>1.1400114001034467E-3</v>
      </c>
      <c r="X118" s="8">
        <v>-2.2250323999999998E-2</v>
      </c>
      <c r="Y118" s="104">
        <f t="shared" si="11"/>
        <v>-1.3786679669140021E-2</v>
      </c>
      <c r="Z118" s="8">
        <v>62.998029287786899</v>
      </c>
      <c r="AA118" s="100">
        <f t="shared" si="14"/>
        <v>1.1400114000963413E-3</v>
      </c>
      <c r="AB118" s="8">
        <v>-1.2875030000000001E-2</v>
      </c>
      <c r="AC118" s="98">
        <f t="shared" si="15"/>
        <v>-7.9759901486944618E-3</v>
      </c>
    </row>
    <row r="119" spans="14:29" x14ac:dyDescent="0.45">
      <c r="N119" s="8">
        <v>72.8864541314273</v>
      </c>
      <c r="O119" s="105">
        <f t="shared" si="8"/>
        <v>1.1500115001013E-3</v>
      </c>
      <c r="P119" s="82">
        <v>-2.6453042E-2</v>
      </c>
      <c r="Q119" s="82">
        <f t="shared" si="9"/>
        <v>-1.7721987922575184E-2</v>
      </c>
      <c r="R119" s="8">
        <v>24.032613353238499</v>
      </c>
      <c r="S119" s="102">
        <f t="shared" si="12"/>
        <v>1.1500115000977473E-3</v>
      </c>
      <c r="T119" s="8">
        <v>-2.8069472000000002E-2</v>
      </c>
      <c r="U119" s="101">
        <f t="shared" si="10"/>
        <v>-1.8948538677073148E-2</v>
      </c>
      <c r="V119" s="8">
        <v>51.9827555477465</v>
      </c>
      <c r="W119" s="103">
        <f t="shared" si="13"/>
        <v>1.1500115001013E-3</v>
      </c>
      <c r="X119" s="8">
        <v>-3.1302332000000002E-2</v>
      </c>
      <c r="Y119" s="104">
        <f t="shared" si="11"/>
        <v>-1.9395457979895985E-2</v>
      </c>
      <c r="Z119" s="8">
        <v>62.998039287886897</v>
      </c>
      <c r="AA119" s="100">
        <f t="shared" si="14"/>
        <v>1.1500115000941946E-3</v>
      </c>
      <c r="AB119" s="8">
        <v>-8.6723119999999997E-3</v>
      </c>
      <c r="AC119" s="98">
        <f t="shared" si="15"/>
        <v>-5.3724360314814611E-3</v>
      </c>
    </row>
    <row r="120" spans="14:29" x14ac:dyDescent="0.45">
      <c r="N120" s="8">
        <v>72.886464131527305</v>
      </c>
      <c r="O120" s="105">
        <f t="shared" si="8"/>
        <v>1.1600116001062588E-3</v>
      </c>
      <c r="P120" s="82">
        <v>-2.5483183999999999E-2</v>
      </c>
      <c r="Q120" s="82">
        <f t="shared" si="9"/>
        <v>-1.7072239898789754E-2</v>
      </c>
      <c r="R120" s="8">
        <v>24.032623353338501</v>
      </c>
      <c r="S120" s="102">
        <f t="shared" si="12"/>
        <v>1.1600116000991534E-3</v>
      </c>
      <c r="T120" s="8">
        <v>-2.8069472000000002E-2</v>
      </c>
      <c r="U120" s="101">
        <f t="shared" si="10"/>
        <v>-1.8948538677073148E-2</v>
      </c>
      <c r="V120" s="8">
        <v>51.982765547846498</v>
      </c>
      <c r="W120" s="103">
        <f t="shared" si="13"/>
        <v>1.1600116000991534E-3</v>
      </c>
      <c r="X120" s="8">
        <v>-2.8069472000000002E-2</v>
      </c>
      <c r="Y120" s="104">
        <f t="shared" si="11"/>
        <v>-1.7392322868911712E-2</v>
      </c>
      <c r="Z120" s="8">
        <v>62.998049287986902</v>
      </c>
      <c r="AA120" s="100">
        <f t="shared" si="14"/>
        <v>1.1600116000991534E-3</v>
      </c>
      <c r="AB120" s="8">
        <v>-4.4695940000000003E-3</v>
      </c>
      <c r="AC120" s="98">
        <f t="shared" si="15"/>
        <v>-2.7688819142684621E-3</v>
      </c>
    </row>
    <row r="121" spans="14:29" x14ac:dyDescent="0.45">
      <c r="N121" s="8">
        <v>72.886474131627295</v>
      </c>
      <c r="O121" s="105">
        <f t="shared" si="8"/>
        <v>1.1700117000970067E-3</v>
      </c>
      <c r="P121" s="82">
        <v>-1.4814746E-2</v>
      </c>
      <c r="Q121" s="82">
        <f t="shared" si="9"/>
        <v>-9.9250116371500489E-3</v>
      </c>
      <c r="R121" s="8">
        <v>24.032633353438499</v>
      </c>
      <c r="S121" s="102">
        <f t="shared" si="12"/>
        <v>1.1700117000970067E-3</v>
      </c>
      <c r="T121" s="8">
        <v>-2.7746185999999999E-2</v>
      </c>
      <c r="U121" s="101">
        <f t="shared" si="10"/>
        <v>-1.873030168014081E-2</v>
      </c>
      <c r="V121" s="8">
        <v>51.982775547946503</v>
      </c>
      <c r="W121" s="103">
        <f t="shared" si="13"/>
        <v>1.1700117001041122E-3</v>
      </c>
      <c r="X121" s="8">
        <v>-3.4211906E-2</v>
      </c>
      <c r="Y121" s="104">
        <f t="shared" si="11"/>
        <v>-2.1198279579781827E-2</v>
      </c>
      <c r="Z121" s="8">
        <v>62.9980592880869</v>
      </c>
      <c r="AA121" s="100">
        <f t="shared" si="14"/>
        <v>1.1700117000970067E-3</v>
      </c>
      <c r="AB121" s="8">
        <v>1.6728400000000001E-3</v>
      </c>
      <c r="AC121" s="98">
        <f t="shared" si="15"/>
        <v>1.0363125647351536E-3</v>
      </c>
    </row>
    <row r="122" spans="14:29" x14ac:dyDescent="0.45">
      <c r="N122" s="8">
        <v>72.8864841317273</v>
      </c>
      <c r="O122" s="105">
        <f t="shared" si="8"/>
        <v>1.1800118001019655E-3</v>
      </c>
      <c r="P122" s="82">
        <v>-9.6421700000000003E-3</v>
      </c>
      <c r="Q122" s="82">
        <f t="shared" si="9"/>
        <v>-6.4596888436277674E-3</v>
      </c>
      <c r="R122" s="8">
        <v>24.0326433535385</v>
      </c>
      <c r="S122" s="102">
        <f t="shared" si="12"/>
        <v>1.1800118000984128E-3</v>
      </c>
      <c r="T122" s="8">
        <v>-1.8370892E-2</v>
      </c>
      <c r="U122" s="101">
        <f t="shared" si="10"/>
        <v>-1.2401428769103089E-2</v>
      </c>
      <c r="V122" s="8">
        <v>51.9827855480465</v>
      </c>
      <c r="W122" s="103">
        <f t="shared" si="13"/>
        <v>1.1800118001019655E-3</v>
      </c>
      <c r="X122" s="8">
        <v>-2.6776327999999999E-2</v>
      </c>
      <c r="Y122" s="104">
        <f t="shared" si="11"/>
        <v>-1.6591068824517999E-2</v>
      </c>
      <c r="Z122" s="8">
        <v>62.998069288186898</v>
      </c>
      <c r="AA122" s="100">
        <f t="shared" si="14"/>
        <v>1.1800118000948601E-3</v>
      </c>
      <c r="AB122" s="8">
        <v>-1.236734E-3</v>
      </c>
      <c r="AC122" s="98">
        <f t="shared" si="15"/>
        <v>-7.6614797795076953E-4</v>
      </c>
    </row>
    <row r="123" spans="14:29" x14ac:dyDescent="0.45">
      <c r="N123" s="8">
        <v>72.886494131827305</v>
      </c>
      <c r="O123" s="105">
        <f t="shared" si="8"/>
        <v>1.1900119001069243E-3</v>
      </c>
      <c r="P123" s="82">
        <v>4.9056999999999998E-3</v>
      </c>
      <c r="Q123" s="82">
        <f t="shared" si="9"/>
        <v>3.2865315131536507E-3</v>
      </c>
      <c r="R123" s="8">
        <v>24.032653353638501</v>
      </c>
      <c r="S123" s="102">
        <f t="shared" si="12"/>
        <v>1.1900119000998188E-3</v>
      </c>
      <c r="T123" s="8">
        <v>-1.5784604000000001E-2</v>
      </c>
      <c r="U123" s="101">
        <f t="shared" si="10"/>
        <v>-1.0655532793644409E-2</v>
      </c>
      <c r="V123" s="8">
        <v>51.982795548146498</v>
      </c>
      <c r="W123" s="103">
        <f t="shared" si="13"/>
        <v>1.1900119000998188E-3</v>
      </c>
      <c r="X123" s="8">
        <v>-3.0009187999999999E-2</v>
      </c>
      <c r="Y123" s="104">
        <f t="shared" si="11"/>
        <v>-1.8594203935502273E-2</v>
      </c>
      <c r="Z123" s="8">
        <v>62.998079288286903</v>
      </c>
      <c r="AA123" s="100">
        <f t="shared" si="14"/>
        <v>1.1900119000998188E-3</v>
      </c>
      <c r="AB123" s="8">
        <v>1.6728400000000001E-3</v>
      </c>
      <c r="AC123" s="98">
        <f t="shared" si="15"/>
        <v>1.0363125647351536E-3</v>
      </c>
    </row>
    <row r="124" spans="14:29" x14ac:dyDescent="0.45">
      <c r="N124" s="8">
        <v>72.886504131927296</v>
      </c>
      <c r="O124" s="105">
        <f t="shared" si="8"/>
        <v>1.2000120000976722E-3</v>
      </c>
      <c r="P124" s="82">
        <v>1.996126E-3</v>
      </c>
      <c r="Q124" s="82">
        <f t="shared" si="9"/>
        <v>1.3372874417973673E-3</v>
      </c>
      <c r="R124" s="8">
        <v>24.032663353738499</v>
      </c>
      <c r="S124" s="102">
        <f t="shared" si="12"/>
        <v>1.2000120000976722E-3</v>
      </c>
      <c r="T124" s="8">
        <v>-8.3490260000000007E-3</v>
      </c>
      <c r="U124" s="101">
        <f t="shared" si="10"/>
        <v>-5.6360818642006991E-3</v>
      </c>
      <c r="V124" s="8">
        <v>51.982805548246503</v>
      </c>
      <c r="W124" s="103">
        <f t="shared" si="13"/>
        <v>1.2000120001047776E-3</v>
      </c>
      <c r="X124" s="8">
        <v>-1.6754462000000001E-2</v>
      </c>
      <c r="Y124" s="104">
        <f t="shared" si="11"/>
        <v>-1.038134998046676E-2</v>
      </c>
      <c r="Z124" s="8">
        <v>62.9980892883869</v>
      </c>
      <c r="AA124" s="100">
        <f t="shared" si="14"/>
        <v>1.2000120000976722E-3</v>
      </c>
      <c r="AB124" s="8">
        <v>-2.853164E-3</v>
      </c>
      <c r="AC124" s="98">
        <f t="shared" si="15"/>
        <v>-1.7675149461096155E-3</v>
      </c>
    </row>
    <row r="125" spans="14:29" x14ac:dyDescent="0.45">
      <c r="N125" s="8">
        <v>72.886514132027301</v>
      </c>
      <c r="O125" s="105">
        <f t="shared" si="8"/>
        <v>1.2100121001026309E-3</v>
      </c>
      <c r="P125" s="82">
        <v>2.6426980000000002E-3</v>
      </c>
      <c r="Q125" s="82">
        <f t="shared" si="9"/>
        <v>1.7704527909876526E-3</v>
      </c>
      <c r="R125" s="8">
        <v>24.032673353838501</v>
      </c>
      <c r="S125" s="102">
        <f t="shared" si="12"/>
        <v>1.2100121000990782E-3</v>
      </c>
      <c r="T125" s="8">
        <v>-1.2228457999999999E-2</v>
      </c>
      <c r="U125" s="101">
        <f t="shared" si="10"/>
        <v>-8.2549258273887198E-3</v>
      </c>
      <c r="V125" s="8">
        <v>51.982815548346501</v>
      </c>
      <c r="W125" s="103">
        <f t="shared" si="13"/>
        <v>1.2100121001026309E-3</v>
      </c>
      <c r="X125" s="8">
        <v>-1.7401033999999999E-2</v>
      </c>
      <c r="Y125" s="104">
        <f t="shared" si="11"/>
        <v>-1.0781977002663612E-2</v>
      </c>
      <c r="Z125" s="8">
        <v>62.998099288486898</v>
      </c>
      <c r="AA125" s="100">
        <f t="shared" si="14"/>
        <v>1.2100121000955255E-3</v>
      </c>
      <c r="AB125" s="8">
        <v>-1.5600200000000001E-3</v>
      </c>
      <c r="AC125" s="98">
        <f t="shared" si="15"/>
        <v>-9.664213715825388E-4</v>
      </c>
    </row>
    <row r="126" spans="14:29" x14ac:dyDescent="0.45">
      <c r="N126" s="8">
        <v>72.886524132127306</v>
      </c>
      <c r="O126" s="105">
        <f t="shared" si="8"/>
        <v>1.2200122001075897E-3</v>
      </c>
      <c r="P126" s="82">
        <v>-2.853164E-3</v>
      </c>
      <c r="Q126" s="82">
        <f t="shared" si="9"/>
        <v>-1.9114526771297723E-3</v>
      </c>
      <c r="R126" s="8">
        <v>24.032683353938499</v>
      </c>
      <c r="S126" s="102">
        <f t="shared" si="12"/>
        <v>1.2200122000969316E-3</v>
      </c>
      <c r="T126" s="8">
        <v>-1.5600200000000001E-3</v>
      </c>
      <c r="U126" s="101">
        <f t="shared" si="10"/>
        <v>-1.0531049286216588E-3</v>
      </c>
      <c r="V126" s="8">
        <v>51.982825548446499</v>
      </c>
      <c r="W126" s="103">
        <f t="shared" si="13"/>
        <v>1.2200122001004843E-3</v>
      </c>
      <c r="X126" s="8">
        <v>-4.7928800000000002E-3</v>
      </c>
      <c r="Y126" s="104">
        <f t="shared" si="11"/>
        <v>-2.9697500698249528E-3</v>
      </c>
      <c r="Z126" s="8">
        <v>62.998109288586903</v>
      </c>
      <c r="AA126" s="100">
        <f t="shared" si="14"/>
        <v>1.2200122001004843E-3</v>
      </c>
      <c r="AB126" s="8">
        <v>-1.6431175999999999E-2</v>
      </c>
      <c r="AC126" s="98">
        <f t="shared" si="15"/>
        <v>-1.0178997478643922E-2</v>
      </c>
    </row>
    <row r="127" spans="14:29" x14ac:dyDescent="0.45">
      <c r="N127" s="8">
        <v>72.886534132227297</v>
      </c>
      <c r="O127" s="105">
        <f t="shared" si="8"/>
        <v>1.2300123000983376E-3</v>
      </c>
      <c r="P127" s="82">
        <v>-4.7928800000000002E-3</v>
      </c>
      <c r="Q127" s="82">
        <f t="shared" si="9"/>
        <v>-3.210948724700628E-3</v>
      </c>
      <c r="R127" s="8">
        <v>24.0326933540385</v>
      </c>
      <c r="S127" s="102">
        <f t="shared" si="12"/>
        <v>1.2300123000983376E-3</v>
      </c>
      <c r="T127" s="8">
        <v>-9.13447999999999E-4</v>
      </c>
      <c r="U127" s="101">
        <f t="shared" si="10"/>
        <v>-6.166309347569877E-4</v>
      </c>
      <c r="V127" s="8">
        <v>51.982835548546497</v>
      </c>
      <c r="W127" s="103">
        <f t="shared" si="13"/>
        <v>1.2300123000983376E-3</v>
      </c>
      <c r="X127" s="8">
        <v>-8.9955980000000005E-3</v>
      </c>
      <c r="Y127" s="104">
        <f t="shared" si="11"/>
        <v>-5.5738257141045066E-3</v>
      </c>
      <c r="Z127" s="8">
        <v>62.998119288686901</v>
      </c>
      <c r="AA127" s="100">
        <f t="shared" si="14"/>
        <v>1.2300123000983376E-3</v>
      </c>
      <c r="AB127" s="8">
        <v>-1.934075E-2</v>
      </c>
      <c r="AC127" s="98">
        <f t="shared" si="15"/>
        <v>-1.1981458021329846E-2</v>
      </c>
    </row>
    <row r="128" spans="14:29" x14ac:dyDescent="0.45">
      <c r="N128" s="8">
        <v>72.886544132327302</v>
      </c>
      <c r="O128" s="105">
        <f t="shared" si="8"/>
        <v>1.2400124001032964E-3</v>
      </c>
      <c r="P128" s="82">
        <v>-1.7724319999999998E-2</v>
      </c>
      <c r="Q128" s="82">
        <f t="shared" si="9"/>
        <v>-1.1874255708506332E-2</v>
      </c>
      <c r="R128" s="8">
        <v>24.032703354138501</v>
      </c>
      <c r="S128" s="102">
        <f t="shared" si="12"/>
        <v>1.2400124000997437E-3</v>
      </c>
      <c r="T128" s="8">
        <v>3.7969600000000098E-4</v>
      </c>
      <c r="U128" s="101">
        <f t="shared" si="10"/>
        <v>2.5631705297235317E-4</v>
      </c>
      <c r="V128" s="8">
        <v>51.982845548646502</v>
      </c>
      <c r="W128" s="103">
        <f t="shared" si="13"/>
        <v>1.2400124001032964E-3</v>
      </c>
      <c r="X128" s="8">
        <v>1.996126E-3</v>
      </c>
      <c r="Y128" s="104">
        <f t="shared" si="11"/>
        <v>1.2368336632420181E-3</v>
      </c>
      <c r="Z128" s="8">
        <v>62.998129288786899</v>
      </c>
      <c r="AA128" s="100">
        <f t="shared" si="14"/>
        <v>1.240012400096191E-3</v>
      </c>
      <c r="AB128" s="8">
        <v>-2.2250323999999998E-2</v>
      </c>
      <c r="AC128" s="98">
        <f t="shared" si="15"/>
        <v>-1.3783918564015767E-2</v>
      </c>
    </row>
    <row r="129" spans="14:29" x14ac:dyDescent="0.45">
      <c r="N129" s="8">
        <v>72.886554132427307</v>
      </c>
      <c r="O129" s="105">
        <f t="shared" si="8"/>
        <v>1.2500125001082552E-3</v>
      </c>
      <c r="P129" s="82">
        <v>-1.2551744E-2</v>
      </c>
      <c r="Q129" s="82">
        <f t="shared" si="9"/>
        <v>-8.4089329149840512E-3</v>
      </c>
      <c r="R129" s="8">
        <v>24.032713354238499</v>
      </c>
      <c r="S129" s="102">
        <f t="shared" si="12"/>
        <v>1.250012500097597E-3</v>
      </c>
      <c r="T129" s="8">
        <v>-6.7325960000000004E-3</v>
      </c>
      <c r="U129" s="101">
        <f t="shared" si="10"/>
        <v>-4.5448968795390229E-3</v>
      </c>
      <c r="V129" s="8">
        <v>51.9828555487465</v>
      </c>
      <c r="W129" s="103">
        <f t="shared" si="13"/>
        <v>1.2500125001011497E-3</v>
      </c>
      <c r="X129" s="8">
        <v>4.9056999999999998E-3</v>
      </c>
      <c r="Y129" s="104">
        <f t="shared" si="11"/>
        <v>3.0396552631278629E-3</v>
      </c>
      <c r="Z129" s="8">
        <v>62.998139288886897</v>
      </c>
      <c r="AA129" s="100">
        <f t="shared" si="14"/>
        <v>1.2500125000940443E-3</v>
      </c>
      <c r="AB129" s="8">
        <v>-2.4513325999999998E-2</v>
      </c>
      <c r="AC129" s="98">
        <f t="shared" si="15"/>
        <v>-1.5185832319438153E-2</v>
      </c>
    </row>
    <row r="130" spans="14:29" x14ac:dyDescent="0.45">
      <c r="N130" s="8">
        <v>72.886564132527297</v>
      </c>
      <c r="O130" s="105">
        <f t="shared" si="8"/>
        <v>1.2600126000990031E-3</v>
      </c>
      <c r="P130" s="82">
        <v>-2.6776327999999999E-2</v>
      </c>
      <c r="Q130" s="82">
        <f t="shared" si="9"/>
        <v>-1.7938570597170325E-2</v>
      </c>
      <c r="R130" s="8">
        <v>24.032723354338501</v>
      </c>
      <c r="S130" s="102">
        <f t="shared" si="12"/>
        <v>1.2600126000990031E-3</v>
      </c>
      <c r="T130" s="8">
        <v>-1.7077748E-2</v>
      </c>
      <c r="U130" s="101">
        <f t="shared" si="10"/>
        <v>-1.1528480781373749E-2</v>
      </c>
      <c r="V130" s="8">
        <v>51.982865548846497</v>
      </c>
      <c r="W130" s="103">
        <f t="shared" si="13"/>
        <v>1.2600126000990031E-3</v>
      </c>
      <c r="X130" s="8">
        <v>2.3194119999999999E-3</v>
      </c>
      <c r="Y130" s="104">
        <f t="shared" si="11"/>
        <v>1.4371471743404452E-3</v>
      </c>
      <c r="Z130" s="8">
        <v>62.998149288986902</v>
      </c>
      <c r="AA130" s="100">
        <f t="shared" si="14"/>
        <v>1.2600126000990031E-3</v>
      </c>
      <c r="AB130" s="8">
        <v>-3.0009187999999999E-2</v>
      </c>
      <c r="AC130" s="98">
        <f t="shared" si="15"/>
        <v>-1.8590480011178228E-2</v>
      </c>
    </row>
    <row r="131" spans="14:29" x14ac:dyDescent="0.45">
      <c r="N131" s="8">
        <v>72.886574132627302</v>
      </c>
      <c r="O131" s="105">
        <f t="shared" si="8"/>
        <v>1.2700127001039618E-3</v>
      </c>
      <c r="P131" s="82">
        <v>-2.6453042E-2</v>
      </c>
      <c r="Q131" s="82">
        <f t="shared" si="9"/>
        <v>-1.7721987922575184E-2</v>
      </c>
      <c r="R131" s="8">
        <v>24.032733354438498</v>
      </c>
      <c r="S131" s="102">
        <f t="shared" si="12"/>
        <v>1.2700127000968564E-3</v>
      </c>
      <c r="T131" s="8">
        <v>-1.4491459999999999E-2</v>
      </c>
      <c r="U131" s="101">
        <f t="shared" si="10"/>
        <v>-9.7825848059150677E-3</v>
      </c>
      <c r="V131" s="8">
        <v>51.982875548946502</v>
      </c>
      <c r="W131" s="103">
        <f t="shared" si="13"/>
        <v>1.2700127001039618E-3</v>
      </c>
      <c r="X131" s="8">
        <v>-1.1905172E-2</v>
      </c>
      <c r="Y131" s="104">
        <f t="shared" si="11"/>
        <v>-7.3766473139903511E-3</v>
      </c>
      <c r="Z131" s="8">
        <v>62.9981592890869</v>
      </c>
      <c r="AA131" s="100">
        <f t="shared" si="14"/>
        <v>1.2700127000968564E-3</v>
      </c>
      <c r="AB131" s="8">
        <v>-3.4211906E-2</v>
      </c>
      <c r="AC131" s="98">
        <f t="shared" si="15"/>
        <v>-2.1194034128391229E-2</v>
      </c>
    </row>
    <row r="132" spans="14:29" x14ac:dyDescent="0.45">
      <c r="N132" s="8">
        <v>72.886584132727293</v>
      </c>
      <c r="O132" s="105">
        <f t="shared" ref="O132:O195" si="16">N132-$N$4</f>
        <v>1.2800128000947097E-3</v>
      </c>
      <c r="P132" s="82">
        <v>-2.8716044E-2</v>
      </c>
      <c r="Q132" s="82">
        <f t="shared" ref="Q132:Q195" si="17">P132/$Q$2</f>
        <v>-1.9238066644741182E-2</v>
      </c>
      <c r="R132" s="8">
        <v>24.0327433545385</v>
      </c>
      <c r="S132" s="102">
        <f t="shared" si="12"/>
        <v>1.2800128000982625E-3</v>
      </c>
      <c r="T132" s="8">
        <v>-1.9017464000000001E-2</v>
      </c>
      <c r="U132" s="101">
        <f t="shared" ref="U132:U195" si="18">T132/$U$2</f>
        <v>-1.2837902762967762E-2</v>
      </c>
      <c r="V132" s="8">
        <v>51.9828855490465</v>
      </c>
      <c r="W132" s="103">
        <f t="shared" si="13"/>
        <v>1.2800128001018152E-3</v>
      </c>
      <c r="X132" s="8">
        <v>-1.1581886E-2</v>
      </c>
      <c r="Y132" s="104">
        <f t="shared" ref="Y132:Y195" si="19">X132/$Y$2</f>
        <v>-7.176333802891924E-3</v>
      </c>
      <c r="Z132" s="8">
        <v>62.998169289186897</v>
      </c>
      <c r="AA132" s="100">
        <f t="shared" si="14"/>
        <v>1.2800128000947097E-3</v>
      </c>
      <c r="AB132" s="8">
        <v>-3.6798193999999999E-2</v>
      </c>
      <c r="AC132" s="98">
        <f t="shared" si="15"/>
        <v>-2.2796221277445385E-2</v>
      </c>
    </row>
    <row r="133" spans="14:29" x14ac:dyDescent="0.45">
      <c r="N133" s="8">
        <v>72.886594132827298</v>
      </c>
      <c r="O133" s="105">
        <f t="shared" si="16"/>
        <v>1.2900129000996685E-3</v>
      </c>
      <c r="P133" s="82">
        <v>-2.5159898E-2</v>
      </c>
      <c r="Q133" s="82">
        <f t="shared" si="17"/>
        <v>-1.6855657224194614E-2</v>
      </c>
      <c r="R133" s="8">
        <v>24.032753354638501</v>
      </c>
      <c r="S133" s="102">
        <f t="shared" ref="S133:S196" si="20">R133-$R$4</f>
        <v>1.2900129000996685E-3</v>
      </c>
      <c r="T133" s="8">
        <v>-2.3866754E-2</v>
      </c>
      <c r="U133" s="101">
        <f t="shared" si="18"/>
        <v>-1.6111457716952788E-2</v>
      </c>
      <c r="V133" s="8">
        <v>51.982895549146498</v>
      </c>
      <c r="W133" s="103">
        <f t="shared" ref="W133:W196" si="21">V133-$V$4</f>
        <v>1.2900129000996685E-3</v>
      </c>
      <c r="X133" s="8">
        <v>-1.3521602000000001E-2</v>
      </c>
      <c r="Y133" s="104">
        <f t="shared" si="19"/>
        <v>-8.3782148694824879E-3</v>
      </c>
      <c r="Z133" s="8">
        <v>62.998179289286902</v>
      </c>
      <c r="AA133" s="100">
        <f t="shared" ref="AA133:AA196" si="22">Z133-$Z$4</f>
        <v>1.2900129000996685E-3</v>
      </c>
      <c r="AB133" s="8">
        <v>-2.9039329999999999E-2</v>
      </c>
      <c r="AC133" s="98">
        <f t="shared" ref="AC133:AC196" si="23">AB133/$AD$2</f>
        <v>-1.798965983028292E-2</v>
      </c>
    </row>
    <row r="134" spans="14:29" x14ac:dyDescent="0.45">
      <c r="N134" s="8">
        <v>72.886604132927303</v>
      </c>
      <c r="O134" s="105">
        <f t="shared" si="16"/>
        <v>1.3000130001046273E-3</v>
      </c>
      <c r="P134" s="82">
        <v>-2.8069472000000002E-2</v>
      </c>
      <c r="Q134" s="82">
        <f t="shared" si="17"/>
        <v>-1.8804901295550899E-2</v>
      </c>
      <c r="R134" s="8">
        <v>24.032763354738499</v>
      </c>
      <c r="S134" s="102">
        <f t="shared" si="20"/>
        <v>1.3000130000975219E-3</v>
      </c>
      <c r="T134" s="8">
        <v>-2.4190039999999999E-2</v>
      </c>
      <c r="U134" s="101">
        <f t="shared" si="18"/>
        <v>-1.6329694713885123E-2</v>
      </c>
      <c r="V134" s="8">
        <v>51.982905549246503</v>
      </c>
      <c r="W134" s="103">
        <f t="shared" si="21"/>
        <v>1.3000130001046273E-3</v>
      </c>
      <c r="X134" s="8">
        <v>-1.9664035999999999E-2</v>
      </c>
      <c r="Y134" s="104">
        <f t="shared" si="19"/>
        <v>-1.2184171580352603E-2</v>
      </c>
      <c r="Z134" s="8">
        <v>62.9981892893869</v>
      </c>
      <c r="AA134" s="100">
        <f t="shared" si="22"/>
        <v>1.3000130000975219E-3</v>
      </c>
      <c r="AB134" s="8">
        <v>-2.2250323999999998E-2</v>
      </c>
      <c r="AC134" s="98">
        <f t="shared" si="23"/>
        <v>-1.3783918564015767E-2</v>
      </c>
    </row>
    <row r="135" spans="14:29" x14ac:dyDescent="0.45">
      <c r="N135" s="8">
        <v>72.886614133027294</v>
      </c>
      <c r="O135" s="105">
        <f t="shared" si="16"/>
        <v>1.3100131000953752E-3</v>
      </c>
      <c r="P135" s="82">
        <v>-2.2250323999999998E-2</v>
      </c>
      <c r="Q135" s="82">
        <f t="shared" si="17"/>
        <v>-1.4906413152838329E-2</v>
      </c>
      <c r="R135" s="8">
        <v>24.032773354838501</v>
      </c>
      <c r="S135" s="102">
        <f t="shared" si="20"/>
        <v>1.3100131000989279E-3</v>
      </c>
      <c r="T135" s="8">
        <v>-1.9017464000000001E-2</v>
      </c>
      <c r="U135" s="101">
        <f t="shared" si="18"/>
        <v>-1.2837902762967762E-2</v>
      </c>
      <c r="V135" s="8">
        <v>51.982915549346501</v>
      </c>
      <c r="W135" s="103">
        <f t="shared" si="21"/>
        <v>1.3100131001024806E-3</v>
      </c>
      <c r="X135" s="8">
        <v>-1.6754462000000001E-2</v>
      </c>
      <c r="Y135" s="104">
        <f t="shared" si="19"/>
        <v>-1.038134998046676E-2</v>
      </c>
      <c r="Z135" s="8">
        <v>62.998199289486898</v>
      </c>
      <c r="AA135" s="100">
        <f t="shared" si="22"/>
        <v>1.3100131000953752E-3</v>
      </c>
      <c r="AB135" s="8">
        <v>-1.4168174E-2</v>
      </c>
      <c r="AC135" s="98">
        <f t="shared" si="23"/>
        <v>-8.777083723221538E-3</v>
      </c>
    </row>
    <row r="136" spans="14:29" x14ac:dyDescent="0.45">
      <c r="N136" s="8">
        <v>72.886624133127299</v>
      </c>
      <c r="O136" s="105">
        <f t="shared" si="16"/>
        <v>1.320013200100334E-3</v>
      </c>
      <c r="P136" s="82">
        <v>-2.6129756000000001E-2</v>
      </c>
      <c r="Q136" s="82">
        <f t="shared" si="17"/>
        <v>-1.7505405247980041E-2</v>
      </c>
      <c r="R136" s="8">
        <v>24.032783354938498</v>
      </c>
      <c r="S136" s="102">
        <f t="shared" si="20"/>
        <v>1.3200132000967812E-3</v>
      </c>
      <c r="T136" s="8">
        <v>-2.1603752E-2</v>
      </c>
      <c r="U136" s="101">
        <f t="shared" si="18"/>
        <v>-1.4583798738426442E-2</v>
      </c>
      <c r="V136" s="8">
        <v>51.982925549446499</v>
      </c>
      <c r="W136" s="103">
        <f t="shared" si="21"/>
        <v>1.320013200100334E-3</v>
      </c>
      <c r="X136" s="8">
        <v>-1.5784604000000001E-2</v>
      </c>
      <c r="Y136" s="104">
        <f t="shared" si="19"/>
        <v>-9.7804094471714773E-3</v>
      </c>
      <c r="Z136" s="8">
        <v>62.998209289586903</v>
      </c>
      <c r="AA136" s="100">
        <f t="shared" si="22"/>
        <v>1.320013200100334E-3</v>
      </c>
      <c r="AB136" s="8">
        <v>-2.6776327999999999E-2</v>
      </c>
      <c r="AC136" s="98">
        <f t="shared" si="23"/>
        <v>-1.6587746074860538E-2</v>
      </c>
    </row>
    <row r="137" spans="14:29" x14ac:dyDescent="0.45">
      <c r="N137" s="8">
        <v>72.886634133227304</v>
      </c>
      <c r="O137" s="105">
        <f t="shared" si="16"/>
        <v>1.3300133001052927E-3</v>
      </c>
      <c r="P137" s="82">
        <v>-1.6431175999999999E-2</v>
      </c>
      <c r="Q137" s="82">
        <f t="shared" si="17"/>
        <v>-1.1007925010125761E-2</v>
      </c>
      <c r="R137" s="8">
        <v>24.032793355038599</v>
      </c>
      <c r="S137" s="102">
        <f t="shared" si="20"/>
        <v>1.3300133001976633E-3</v>
      </c>
      <c r="T137" s="8">
        <v>-2.5806470000000001E-2</v>
      </c>
      <c r="U137" s="101">
        <f t="shared" si="18"/>
        <v>-1.74208796985468E-2</v>
      </c>
      <c r="V137" s="8">
        <v>51.982935549546497</v>
      </c>
      <c r="W137" s="103">
        <f t="shared" si="21"/>
        <v>1.3300133000981873E-3</v>
      </c>
      <c r="X137" s="8">
        <v>-2.1927037999999999E-2</v>
      </c>
      <c r="Y137" s="104">
        <f t="shared" si="19"/>
        <v>-1.3586366158041594E-2</v>
      </c>
      <c r="Z137" s="8">
        <v>62.998219289686901</v>
      </c>
      <c r="AA137" s="100">
        <f t="shared" si="22"/>
        <v>1.3300133000981873E-3</v>
      </c>
      <c r="AB137" s="8">
        <v>-2.4836612000000001E-2</v>
      </c>
      <c r="AC137" s="98">
        <f t="shared" si="23"/>
        <v>-1.5386105713069923E-2</v>
      </c>
    </row>
    <row r="138" spans="14:29" x14ac:dyDescent="0.45">
      <c r="N138" s="8">
        <v>72.886644133327295</v>
      </c>
      <c r="O138" s="105">
        <f t="shared" si="16"/>
        <v>1.3400134000960406E-3</v>
      </c>
      <c r="P138" s="82">
        <v>-1.8694177999999999E-2</v>
      </c>
      <c r="Q138" s="82">
        <f t="shared" si="17"/>
        <v>-1.2524003732291761E-2</v>
      </c>
      <c r="R138" s="8">
        <v>24.032803355138601</v>
      </c>
      <c r="S138" s="102">
        <f t="shared" si="20"/>
        <v>1.3400134001990693E-3</v>
      </c>
      <c r="T138" s="8">
        <v>-1.5138031999999999E-2</v>
      </c>
      <c r="U138" s="101">
        <f t="shared" si="18"/>
        <v>-1.0219058799779737E-2</v>
      </c>
      <c r="V138" s="8">
        <v>51.982945549646502</v>
      </c>
      <c r="W138" s="103">
        <f t="shared" si="21"/>
        <v>1.3400134001031461E-3</v>
      </c>
      <c r="X138" s="8">
        <v>-2.1603752E-2</v>
      </c>
      <c r="Y138" s="104">
        <f t="shared" si="19"/>
        <v>-1.3386052646943166E-2</v>
      </c>
      <c r="Z138" s="8">
        <v>62.998229289786899</v>
      </c>
      <c r="AA138" s="100">
        <f t="shared" si="22"/>
        <v>1.3400134000960406E-3</v>
      </c>
      <c r="AB138" s="8">
        <v>-2.2896896E-2</v>
      </c>
      <c r="AC138" s="98">
        <f t="shared" si="23"/>
        <v>-1.4184465351279308E-2</v>
      </c>
    </row>
    <row r="139" spans="14:29" x14ac:dyDescent="0.45">
      <c r="N139" s="8">
        <v>72.886654133427299</v>
      </c>
      <c r="O139" s="105">
        <f t="shared" si="16"/>
        <v>1.3500135001009994E-3</v>
      </c>
      <c r="P139" s="82">
        <v>-2.4513325999999998E-2</v>
      </c>
      <c r="Q139" s="82">
        <f t="shared" si="17"/>
        <v>-1.6422491875004327E-2</v>
      </c>
      <c r="R139" s="8">
        <v>24.032813355238599</v>
      </c>
      <c r="S139" s="102">
        <f t="shared" si="20"/>
        <v>1.3500135001969227E-3</v>
      </c>
      <c r="T139" s="8">
        <v>-1.7724319999999998E-2</v>
      </c>
      <c r="U139" s="101">
        <f t="shared" si="18"/>
        <v>-1.1964954775238418E-2</v>
      </c>
      <c r="V139" s="8">
        <v>51.982955549746499</v>
      </c>
      <c r="W139" s="103">
        <f t="shared" si="21"/>
        <v>1.3500135001009994E-3</v>
      </c>
      <c r="X139" s="8">
        <v>-2.74229E-2</v>
      </c>
      <c r="Y139" s="104">
        <f t="shared" si="19"/>
        <v>-1.6991695846714856E-2</v>
      </c>
      <c r="Z139" s="8">
        <v>62.998239289886897</v>
      </c>
      <c r="AA139" s="100">
        <f t="shared" si="22"/>
        <v>1.350013500093894E-3</v>
      </c>
      <c r="AB139" s="8">
        <v>-2.0633894E-2</v>
      </c>
      <c r="AC139" s="98">
        <f t="shared" si="23"/>
        <v>-1.2782551595856922E-2</v>
      </c>
    </row>
    <row r="140" spans="14:29" x14ac:dyDescent="0.45">
      <c r="N140" s="8">
        <v>72.886664133527304</v>
      </c>
      <c r="O140" s="105">
        <f t="shared" si="16"/>
        <v>1.3600136001059582E-3</v>
      </c>
      <c r="P140" s="82">
        <v>-1.4814746E-2</v>
      </c>
      <c r="Q140" s="82">
        <f t="shared" si="17"/>
        <v>-9.9250116371500489E-3</v>
      </c>
      <c r="R140" s="8">
        <v>24.0328233553386</v>
      </c>
      <c r="S140" s="102">
        <f t="shared" si="20"/>
        <v>1.3600136001983287E-3</v>
      </c>
      <c r="T140" s="8">
        <v>-1.8694177999999999E-2</v>
      </c>
      <c r="U140" s="101">
        <f t="shared" si="18"/>
        <v>-1.2619665766035425E-2</v>
      </c>
      <c r="V140" s="8">
        <v>51.982965549846497</v>
      </c>
      <c r="W140" s="103">
        <f t="shared" si="21"/>
        <v>1.3600136000988527E-3</v>
      </c>
      <c r="X140" s="8">
        <v>-2.4190039999999999E-2</v>
      </c>
      <c r="Y140" s="104">
        <f t="shared" si="19"/>
        <v>-1.4988560735730584E-2</v>
      </c>
      <c r="Z140" s="8">
        <v>62.998249289986902</v>
      </c>
      <c r="AA140" s="100">
        <f t="shared" si="22"/>
        <v>1.3600136000988527E-3</v>
      </c>
      <c r="AB140" s="8">
        <v>-2.9685902E-2</v>
      </c>
      <c r="AC140" s="98">
        <f t="shared" si="23"/>
        <v>-1.8390206617546461E-2</v>
      </c>
    </row>
    <row r="141" spans="14:29" x14ac:dyDescent="0.45">
      <c r="N141" s="8">
        <v>72.886674133627295</v>
      </c>
      <c r="O141" s="105">
        <f t="shared" si="16"/>
        <v>1.3700137000967061E-3</v>
      </c>
      <c r="P141" s="82">
        <v>-2.1280466000000001E-2</v>
      </c>
      <c r="Q141" s="82">
        <f t="shared" si="17"/>
        <v>-1.4256665129052904E-2</v>
      </c>
      <c r="R141" s="8">
        <v>24.032833355438601</v>
      </c>
      <c r="S141" s="102">
        <f t="shared" si="20"/>
        <v>1.3700137001997348E-3</v>
      </c>
      <c r="T141" s="8">
        <v>-1.5784604000000001E-2</v>
      </c>
      <c r="U141" s="101">
        <f t="shared" si="18"/>
        <v>-1.0655532793644409E-2</v>
      </c>
      <c r="V141" s="8">
        <v>51.982975549946502</v>
      </c>
      <c r="W141" s="103">
        <f t="shared" si="21"/>
        <v>1.3700137001038115E-3</v>
      </c>
      <c r="X141" s="8">
        <v>-2.3220181999999999E-2</v>
      </c>
      <c r="Y141" s="104">
        <f t="shared" si="19"/>
        <v>-1.4387620202435301E-2</v>
      </c>
      <c r="Z141" s="8">
        <v>62.998259290086899</v>
      </c>
      <c r="AA141" s="100">
        <f t="shared" si="22"/>
        <v>1.3700137000967061E-3</v>
      </c>
      <c r="AB141" s="8">
        <v>-2.8069472000000002E-2</v>
      </c>
      <c r="AC141" s="98">
        <f t="shared" si="23"/>
        <v>-1.7388839649387616E-2</v>
      </c>
    </row>
    <row r="142" spans="14:29" x14ac:dyDescent="0.45">
      <c r="N142" s="8">
        <v>72.8866841337273</v>
      </c>
      <c r="O142" s="105">
        <f t="shared" si="16"/>
        <v>1.3800138001016649E-3</v>
      </c>
      <c r="P142" s="82">
        <v>-2.0310608000000001E-2</v>
      </c>
      <c r="Q142" s="82">
        <f t="shared" si="17"/>
        <v>-1.3606917105267475E-2</v>
      </c>
      <c r="R142" s="8">
        <v>24.032843355538599</v>
      </c>
      <c r="S142" s="102">
        <f t="shared" si="20"/>
        <v>1.3800138001975881E-3</v>
      </c>
      <c r="T142" s="8">
        <v>-1.9987321999999998E-2</v>
      </c>
      <c r="U142" s="101">
        <f t="shared" si="18"/>
        <v>-1.3492613753764765E-2</v>
      </c>
      <c r="V142" s="8">
        <v>51.9829855500465</v>
      </c>
      <c r="W142" s="103">
        <f t="shared" si="21"/>
        <v>1.3800138001016649E-3</v>
      </c>
      <c r="X142" s="8">
        <v>-2.3220181999999999E-2</v>
      </c>
      <c r="Y142" s="104">
        <f t="shared" si="19"/>
        <v>-1.4387620202435301E-2</v>
      </c>
      <c r="Z142" s="8">
        <v>62.998269290186897</v>
      </c>
      <c r="AA142" s="100">
        <f t="shared" si="22"/>
        <v>1.3800138000945594E-3</v>
      </c>
      <c r="AB142" s="8">
        <v>-2.1927037999999999E-2</v>
      </c>
      <c r="AC142" s="98">
        <f t="shared" si="23"/>
        <v>-1.3583645170383999E-2</v>
      </c>
    </row>
    <row r="143" spans="14:29" x14ac:dyDescent="0.45">
      <c r="N143" s="8">
        <v>72.886694133827305</v>
      </c>
      <c r="O143" s="105">
        <f t="shared" si="16"/>
        <v>1.3900139001066236E-3</v>
      </c>
      <c r="P143" s="82">
        <v>-2.3543468000000001E-2</v>
      </c>
      <c r="Q143" s="82">
        <f t="shared" si="17"/>
        <v>-1.57727438512189E-2</v>
      </c>
      <c r="R143" s="8">
        <v>24.032853355638601</v>
      </c>
      <c r="S143" s="102">
        <f t="shared" si="20"/>
        <v>1.3900139001989942E-3</v>
      </c>
      <c r="T143" s="8">
        <v>-2.3866754E-2</v>
      </c>
      <c r="U143" s="101">
        <f t="shared" si="18"/>
        <v>-1.6111457716952788E-2</v>
      </c>
      <c r="V143" s="8">
        <v>51.982995550146498</v>
      </c>
      <c r="W143" s="103">
        <f t="shared" si="21"/>
        <v>1.3900139000995182E-3</v>
      </c>
      <c r="X143" s="8">
        <v>-2.3866754E-2</v>
      </c>
      <c r="Y143" s="104">
        <f t="shared" si="19"/>
        <v>-1.4788247224632158E-2</v>
      </c>
      <c r="Z143" s="8">
        <v>62.998279290286902</v>
      </c>
      <c r="AA143" s="100">
        <f t="shared" si="22"/>
        <v>1.3900139000995182E-3</v>
      </c>
      <c r="AB143" s="8">
        <v>-2.1603752E-2</v>
      </c>
      <c r="AC143" s="98">
        <f t="shared" si="23"/>
        <v>-1.338337177675223E-2</v>
      </c>
    </row>
    <row r="144" spans="14:29" x14ac:dyDescent="0.45">
      <c r="N144" s="8">
        <v>72.886704133927296</v>
      </c>
      <c r="O144" s="105">
        <f t="shared" si="16"/>
        <v>1.4000140000973715E-3</v>
      </c>
      <c r="P144" s="82">
        <v>-2.6453042E-2</v>
      </c>
      <c r="Q144" s="82">
        <f t="shared" si="17"/>
        <v>-1.7721987922575184E-2</v>
      </c>
      <c r="R144" s="8">
        <v>24.032863355738598</v>
      </c>
      <c r="S144" s="102">
        <f t="shared" si="20"/>
        <v>1.4000140001968475E-3</v>
      </c>
      <c r="T144" s="8">
        <v>-2.5806470000000001E-2</v>
      </c>
      <c r="U144" s="101">
        <f t="shared" si="18"/>
        <v>-1.74208796985468E-2</v>
      </c>
      <c r="V144" s="8">
        <v>51.983005550246503</v>
      </c>
      <c r="W144" s="103">
        <f t="shared" si="21"/>
        <v>1.400014000104477E-3</v>
      </c>
      <c r="X144" s="8">
        <v>-2.74229E-2</v>
      </c>
      <c r="Y144" s="104">
        <f t="shared" si="19"/>
        <v>-1.6991695846714856E-2</v>
      </c>
      <c r="Z144" s="8">
        <v>62.9982892903869</v>
      </c>
      <c r="AA144" s="100">
        <f t="shared" si="22"/>
        <v>1.4000140000973715E-3</v>
      </c>
      <c r="AB144" s="8">
        <v>-2.6776327999999999E-2</v>
      </c>
      <c r="AC144" s="98">
        <f t="shared" si="23"/>
        <v>-1.6587746074860538E-2</v>
      </c>
    </row>
    <row r="145" spans="14:29" x14ac:dyDescent="0.45">
      <c r="N145" s="8">
        <v>72.886714134027301</v>
      </c>
      <c r="O145" s="105">
        <f t="shared" si="16"/>
        <v>1.4100141001023303E-3</v>
      </c>
      <c r="P145" s="82">
        <v>-2.6129756000000001E-2</v>
      </c>
      <c r="Q145" s="82">
        <f t="shared" si="17"/>
        <v>-1.7505405247980041E-2</v>
      </c>
      <c r="R145" s="8">
        <v>24.0328733558386</v>
      </c>
      <c r="S145" s="102">
        <f t="shared" si="20"/>
        <v>1.4100141001982536E-3</v>
      </c>
      <c r="T145" s="8">
        <v>-2.6129756000000001E-2</v>
      </c>
      <c r="U145" s="101">
        <f t="shared" si="18"/>
        <v>-1.7639116695479136E-2</v>
      </c>
      <c r="V145" s="8">
        <v>51.983015550346501</v>
      </c>
      <c r="W145" s="103">
        <f t="shared" si="21"/>
        <v>1.4100141001023303E-3</v>
      </c>
      <c r="X145" s="8">
        <v>-2.6776327999999999E-2</v>
      </c>
      <c r="Y145" s="104">
        <f t="shared" si="19"/>
        <v>-1.6591068824517999E-2</v>
      </c>
      <c r="Z145" s="8">
        <v>62.998299290486898</v>
      </c>
      <c r="AA145" s="100">
        <f t="shared" si="22"/>
        <v>1.4100141000952249E-3</v>
      </c>
      <c r="AB145" s="8">
        <v>-2.9685902E-2</v>
      </c>
      <c r="AC145" s="98">
        <f t="shared" si="23"/>
        <v>-1.8390206617546461E-2</v>
      </c>
    </row>
    <row r="146" spans="14:29" x14ac:dyDescent="0.45">
      <c r="N146" s="8">
        <v>72.886724134127405</v>
      </c>
      <c r="O146" s="105">
        <f t="shared" si="16"/>
        <v>1.4200142002067651E-3</v>
      </c>
      <c r="P146" s="82">
        <v>-2.5806470000000001E-2</v>
      </c>
      <c r="Q146" s="82">
        <f t="shared" si="17"/>
        <v>-1.7288822573384901E-2</v>
      </c>
      <c r="R146" s="8">
        <v>24.032883355938601</v>
      </c>
      <c r="S146" s="102">
        <f t="shared" si="20"/>
        <v>1.4200142001996596E-3</v>
      </c>
      <c r="T146" s="8">
        <v>-2.2896896E-2</v>
      </c>
      <c r="U146" s="101">
        <f t="shared" si="18"/>
        <v>-1.5456746726155783E-2</v>
      </c>
      <c r="V146" s="8">
        <v>51.983025550446499</v>
      </c>
      <c r="W146" s="103">
        <f t="shared" si="21"/>
        <v>1.4200142001001836E-3</v>
      </c>
      <c r="X146" s="8">
        <v>-3.1948904E-2</v>
      </c>
      <c r="Y146" s="104">
        <f t="shared" si="19"/>
        <v>-1.9796085002092838E-2</v>
      </c>
      <c r="Z146" s="8">
        <v>62.998309290586903</v>
      </c>
      <c r="AA146" s="100">
        <f t="shared" si="22"/>
        <v>1.4200142001001836E-3</v>
      </c>
      <c r="AB146" s="8">
        <v>-2.7746185999999999E-2</v>
      </c>
      <c r="AC146" s="98">
        <f t="shared" si="23"/>
        <v>-1.7188566255755846E-2</v>
      </c>
    </row>
    <row r="147" spans="14:29" x14ac:dyDescent="0.45">
      <c r="N147" s="8">
        <v>72.886734134227297</v>
      </c>
      <c r="O147" s="105">
        <f t="shared" si="16"/>
        <v>1.430014300098037E-3</v>
      </c>
      <c r="P147" s="82">
        <v>-3.0332474000000002E-2</v>
      </c>
      <c r="Q147" s="82">
        <f t="shared" si="17"/>
        <v>-2.0320980017716896E-2</v>
      </c>
      <c r="R147" s="8">
        <v>24.032893356038599</v>
      </c>
      <c r="S147" s="102">
        <f t="shared" si="20"/>
        <v>1.430014300197513E-3</v>
      </c>
      <c r="T147" s="8">
        <v>-2.8716044E-2</v>
      </c>
      <c r="U147" s="101">
        <f t="shared" si="18"/>
        <v>-1.9385012670937816E-2</v>
      </c>
      <c r="V147" s="8">
        <v>51.983035550546496</v>
      </c>
      <c r="W147" s="103">
        <f t="shared" si="21"/>
        <v>1.430014300098037E-3</v>
      </c>
      <c r="X147" s="8">
        <v>-2.7099614000000001E-2</v>
      </c>
      <c r="Y147" s="104">
        <f t="shared" si="19"/>
        <v>-1.6791382335616431E-2</v>
      </c>
      <c r="Z147" s="8">
        <v>62.998319290686901</v>
      </c>
      <c r="AA147" s="100">
        <f t="shared" si="22"/>
        <v>1.430014300098037E-3</v>
      </c>
      <c r="AB147" s="8">
        <v>-2.8069472000000002E-2</v>
      </c>
      <c r="AC147" s="98">
        <f t="shared" si="23"/>
        <v>-1.7388839649387616E-2</v>
      </c>
    </row>
    <row r="148" spans="14:29" x14ac:dyDescent="0.45">
      <c r="N148" s="8">
        <v>72.886744134327301</v>
      </c>
      <c r="O148" s="105">
        <f t="shared" si="16"/>
        <v>1.4400144001029958E-3</v>
      </c>
      <c r="P148" s="82">
        <v>-2.7746185999999999E-2</v>
      </c>
      <c r="Q148" s="82">
        <f t="shared" si="17"/>
        <v>-1.8588318620955755E-2</v>
      </c>
      <c r="R148" s="8">
        <v>24.032903356138601</v>
      </c>
      <c r="S148" s="102">
        <f t="shared" si="20"/>
        <v>1.440014400198919E-3</v>
      </c>
      <c r="T148" s="8">
        <v>-3.1948904E-2</v>
      </c>
      <c r="U148" s="101">
        <f t="shared" si="18"/>
        <v>-2.156738264026117E-2</v>
      </c>
      <c r="V148" s="8">
        <v>51.983045550646501</v>
      </c>
      <c r="W148" s="103">
        <f t="shared" si="21"/>
        <v>1.4400144001029958E-3</v>
      </c>
      <c r="X148" s="8">
        <v>-2.8392758000000001E-2</v>
      </c>
      <c r="Y148" s="104">
        <f t="shared" si="19"/>
        <v>-1.759263638001014E-2</v>
      </c>
      <c r="Z148" s="8">
        <v>62.998329290786899</v>
      </c>
      <c r="AA148" s="100">
        <f t="shared" si="22"/>
        <v>1.4400144000958903E-3</v>
      </c>
      <c r="AB148" s="8">
        <v>-3.0009187999999999E-2</v>
      </c>
      <c r="AC148" s="98">
        <f t="shared" si="23"/>
        <v>-1.8590480011178228E-2</v>
      </c>
    </row>
    <row r="149" spans="14:29" x14ac:dyDescent="0.45">
      <c r="N149" s="8">
        <v>72.886754134427406</v>
      </c>
      <c r="O149" s="105">
        <f t="shared" si="16"/>
        <v>1.4500145002074305E-3</v>
      </c>
      <c r="P149" s="82">
        <v>-2.4190039999999999E-2</v>
      </c>
      <c r="Q149" s="82">
        <f t="shared" si="17"/>
        <v>-1.6205909200409187E-2</v>
      </c>
      <c r="R149" s="8">
        <v>24.032913356238598</v>
      </c>
      <c r="S149" s="102">
        <f t="shared" si="20"/>
        <v>1.4500145001967724E-3</v>
      </c>
      <c r="T149" s="8">
        <v>-3.0332474000000002E-2</v>
      </c>
      <c r="U149" s="101">
        <f t="shared" si="18"/>
        <v>-2.0476197655599493E-2</v>
      </c>
      <c r="V149" s="8">
        <v>51.983055550746499</v>
      </c>
      <c r="W149" s="103">
        <f t="shared" si="21"/>
        <v>1.4500145001008491E-3</v>
      </c>
      <c r="X149" s="8">
        <v>-2.3543468000000001E-2</v>
      </c>
      <c r="Y149" s="104">
        <f t="shared" si="19"/>
        <v>-1.4587933713533731E-2</v>
      </c>
      <c r="Z149" s="8">
        <v>62.998339290886904</v>
      </c>
      <c r="AA149" s="100">
        <f t="shared" si="22"/>
        <v>1.4500145001008491E-3</v>
      </c>
      <c r="AB149" s="8">
        <v>-2.6776327999999999E-2</v>
      </c>
      <c r="AC149" s="98">
        <f t="shared" si="23"/>
        <v>-1.6587746074860538E-2</v>
      </c>
    </row>
    <row r="150" spans="14:29" x14ac:dyDescent="0.45">
      <c r="N150" s="8">
        <v>72.886764134527297</v>
      </c>
      <c r="O150" s="105">
        <f t="shared" si="16"/>
        <v>1.4600146000987024E-3</v>
      </c>
      <c r="P150" s="82">
        <v>-2.8392758000000001E-2</v>
      </c>
      <c r="Q150" s="82">
        <f t="shared" si="17"/>
        <v>-1.9021483970146039E-2</v>
      </c>
      <c r="R150" s="8">
        <v>24.0329233563386</v>
      </c>
      <c r="S150" s="102">
        <f t="shared" si="20"/>
        <v>1.4600146001981784E-3</v>
      </c>
      <c r="T150" s="8">
        <v>-2.9039329999999999E-2</v>
      </c>
      <c r="U150" s="101">
        <f t="shared" si="18"/>
        <v>-1.9603249667870151E-2</v>
      </c>
      <c r="V150" s="8">
        <v>51.983065550846497</v>
      </c>
      <c r="W150" s="103">
        <f t="shared" si="21"/>
        <v>1.4600146000987024E-3</v>
      </c>
      <c r="X150" s="8">
        <v>-2.8716044E-2</v>
      </c>
      <c r="Y150" s="104">
        <f t="shared" si="19"/>
        <v>-1.7792949891108564E-2</v>
      </c>
      <c r="Z150" s="8">
        <v>62.998349290986901</v>
      </c>
      <c r="AA150" s="100">
        <f t="shared" si="22"/>
        <v>1.4600146000987024E-3</v>
      </c>
      <c r="AB150" s="8">
        <v>-2.8716044E-2</v>
      </c>
      <c r="AC150" s="98">
        <f t="shared" si="23"/>
        <v>-1.7789386436651154E-2</v>
      </c>
    </row>
    <row r="151" spans="14:29" x14ac:dyDescent="0.45">
      <c r="N151" s="8">
        <v>72.886774134627302</v>
      </c>
      <c r="O151" s="105">
        <f t="shared" si="16"/>
        <v>1.4700147001036612E-3</v>
      </c>
      <c r="P151" s="82">
        <v>-3.0332474000000002E-2</v>
      </c>
      <c r="Q151" s="82">
        <f t="shared" si="17"/>
        <v>-2.0320980017716896E-2</v>
      </c>
      <c r="R151" s="8">
        <v>24.032933356438601</v>
      </c>
      <c r="S151" s="102">
        <f t="shared" si="20"/>
        <v>1.4700147001995845E-3</v>
      </c>
      <c r="T151" s="8">
        <v>-3.2595475999999998E-2</v>
      </c>
      <c r="U151" s="101">
        <f t="shared" si="18"/>
        <v>-2.2003856634125837E-2</v>
      </c>
      <c r="V151" s="8">
        <v>51.983075550946502</v>
      </c>
      <c r="W151" s="103">
        <f t="shared" si="21"/>
        <v>1.4700147001036612E-3</v>
      </c>
      <c r="X151" s="8">
        <v>-2.5483183999999999E-2</v>
      </c>
      <c r="Y151" s="104">
        <f t="shared" si="19"/>
        <v>-1.5789814780124294E-2</v>
      </c>
      <c r="Z151" s="8">
        <v>62.998359291086899</v>
      </c>
      <c r="AA151" s="100">
        <f t="shared" si="22"/>
        <v>1.4700147000965558E-3</v>
      </c>
      <c r="AB151" s="8">
        <v>-2.3543468000000001E-2</v>
      </c>
      <c r="AC151" s="98">
        <f t="shared" si="23"/>
        <v>-1.4585012138542847E-2</v>
      </c>
    </row>
    <row r="152" spans="14:29" x14ac:dyDescent="0.45">
      <c r="N152" s="8">
        <v>72.886784134727407</v>
      </c>
      <c r="O152" s="105">
        <f t="shared" si="16"/>
        <v>1.4800148002080959E-3</v>
      </c>
      <c r="P152" s="82">
        <v>-2.9039329999999999E-2</v>
      </c>
      <c r="Q152" s="82">
        <f t="shared" si="17"/>
        <v>-1.9454649319336326E-2</v>
      </c>
      <c r="R152" s="8">
        <v>24.032943356538599</v>
      </c>
      <c r="S152" s="102">
        <f t="shared" si="20"/>
        <v>1.4800148001974378E-3</v>
      </c>
      <c r="T152" s="8">
        <v>-2.9362616000000001E-2</v>
      </c>
      <c r="U152" s="101">
        <f t="shared" si="18"/>
        <v>-1.9821486664802487E-2</v>
      </c>
      <c r="V152" s="8">
        <v>51.9830855510465</v>
      </c>
      <c r="W152" s="103">
        <f t="shared" si="21"/>
        <v>1.4800148001015145E-3</v>
      </c>
      <c r="X152" s="8">
        <v>-2.8392758000000001E-2</v>
      </c>
      <c r="Y152" s="104">
        <f t="shared" si="19"/>
        <v>-1.759263638001014E-2</v>
      </c>
      <c r="Z152" s="8">
        <v>62.998369291186897</v>
      </c>
      <c r="AA152" s="100">
        <f t="shared" si="22"/>
        <v>1.4800148000944091E-3</v>
      </c>
      <c r="AB152" s="8">
        <v>-2.6129756000000001E-2</v>
      </c>
      <c r="AC152" s="98">
        <f t="shared" si="23"/>
        <v>-1.6187199287597001E-2</v>
      </c>
    </row>
    <row r="153" spans="14:29" x14ac:dyDescent="0.45">
      <c r="N153" s="8">
        <v>72.886794134827397</v>
      </c>
      <c r="O153" s="105">
        <f t="shared" si="16"/>
        <v>1.4900149001988439E-3</v>
      </c>
      <c r="P153" s="82">
        <v>-3.0009187999999999E-2</v>
      </c>
      <c r="Q153" s="82">
        <f t="shared" si="17"/>
        <v>-2.0104397343121753E-2</v>
      </c>
      <c r="R153" s="8">
        <v>24.0329533566386</v>
      </c>
      <c r="S153" s="102">
        <f t="shared" si="20"/>
        <v>1.4900149001988439E-3</v>
      </c>
      <c r="T153" s="8">
        <v>-2.9039329999999999E-2</v>
      </c>
      <c r="U153" s="101">
        <f t="shared" si="18"/>
        <v>-1.9603249667870151E-2</v>
      </c>
      <c r="V153" s="8">
        <v>51.983095551146498</v>
      </c>
      <c r="W153" s="103">
        <f t="shared" si="21"/>
        <v>1.4900149000993679E-3</v>
      </c>
      <c r="X153" s="8">
        <v>-2.8069472000000002E-2</v>
      </c>
      <c r="Y153" s="104">
        <f t="shared" si="19"/>
        <v>-1.7392322868911712E-2</v>
      </c>
      <c r="Z153" s="8">
        <v>62.998379291286902</v>
      </c>
      <c r="AA153" s="100">
        <f t="shared" si="22"/>
        <v>1.4900149000993679E-3</v>
      </c>
      <c r="AB153" s="8">
        <v>-2.7746185999999999E-2</v>
      </c>
      <c r="AC153" s="98">
        <f t="shared" si="23"/>
        <v>-1.7188566255755846E-2</v>
      </c>
    </row>
    <row r="154" spans="14:29" x14ac:dyDescent="0.45">
      <c r="N154" s="8">
        <v>72.886804134927402</v>
      </c>
      <c r="O154" s="105">
        <f t="shared" si="16"/>
        <v>1.5000150002038026E-3</v>
      </c>
      <c r="P154" s="82">
        <v>-2.6453042E-2</v>
      </c>
      <c r="Q154" s="82">
        <f t="shared" si="17"/>
        <v>-1.7721987922575184E-2</v>
      </c>
      <c r="R154" s="8">
        <v>24.032963356738598</v>
      </c>
      <c r="S154" s="102">
        <f t="shared" si="20"/>
        <v>1.5000150001966972E-3</v>
      </c>
      <c r="T154" s="8">
        <v>-2.4836612000000001E-2</v>
      </c>
      <c r="U154" s="101">
        <f t="shared" si="18"/>
        <v>-1.6766168707749794E-2</v>
      </c>
      <c r="V154" s="8">
        <v>51.983105551246503</v>
      </c>
      <c r="W154" s="103">
        <f t="shared" si="21"/>
        <v>1.5000150001043266E-3</v>
      </c>
      <c r="X154" s="8">
        <v>-3.2272189999999999E-2</v>
      </c>
      <c r="Y154" s="104">
        <f t="shared" si="19"/>
        <v>-1.9996398513191262E-2</v>
      </c>
      <c r="Z154" s="8">
        <v>62.9983892913869</v>
      </c>
      <c r="AA154" s="100">
        <f t="shared" si="22"/>
        <v>1.5000150000972212E-3</v>
      </c>
      <c r="AB154" s="8">
        <v>-3.2918761999999997E-2</v>
      </c>
      <c r="AC154" s="98">
        <f t="shared" si="23"/>
        <v>-2.0392940553864151E-2</v>
      </c>
    </row>
    <row r="155" spans="14:29" x14ac:dyDescent="0.45">
      <c r="N155" s="8">
        <v>72.886814135027393</v>
      </c>
      <c r="O155" s="105">
        <f t="shared" si="16"/>
        <v>1.5100151001945505E-3</v>
      </c>
      <c r="P155" s="99">
        <v>-2.0310608000000001E-2</v>
      </c>
      <c r="Q155" s="82">
        <f t="shared" si="17"/>
        <v>-1.3606917105267475E-2</v>
      </c>
      <c r="R155" s="8">
        <v>24.0329733568386</v>
      </c>
      <c r="S155" s="102">
        <f t="shared" si="20"/>
        <v>1.5100151001981033E-3</v>
      </c>
      <c r="T155" s="64">
        <v>-3.7121479999999998E-2</v>
      </c>
      <c r="U155" s="101">
        <f t="shared" si="18"/>
        <v>-2.505917459117853E-2</v>
      </c>
      <c r="V155" s="8">
        <v>51.983115551346501</v>
      </c>
      <c r="W155" s="103">
        <f t="shared" si="21"/>
        <v>1.51001510010218E-3</v>
      </c>
      <c r="X155" s="64">
        <v>-2.9039329999999999E-2</v>
      </c>
      <c r="Y155" s="104">
        <f t="shared" si="19"/>
        <v>-1.7993263402206992E-2</v>
      </c>
      <c r="Z155" s="8">
        <v>62.998399291486898</v>
      </c>
      <c r="AA155" s="100">
        <f t="shared" si="22"/>
        <v>1.5100151000950746E-3</v>
      </c>
      <c r="AB155" s="64">
        <v>-3.2595475999999998E-2</v>
      </c>
      <c r="AC155" s="98">
        <f t="shared" si="23"/>
        <v>-2.0192667160232384E-2</v>
      </c>
    </row>
    <row r="156" spans="14:29" x14ac:dyDescent="0.45">
      <c r="N156" s="8">
        <v>72.886824135127398</v>
      </c>
      <c r="O156" s="105">
        <f t="shared" si="16"/>
        <v>1.5200152001995093E-3</v>
      </c>
      <c r="P156" s="99">
        <v>-3.1625618000000001E-2</v>
      </c>
      <c r="Q156" s="82">
        <f t="shared" si="17"/>
        <v>-2.1187310716097467E-2</v>
      </c>
      <c r="R156" s="8">
        <v>24.032983356938601</v>
      </c>
      <c r="S156" s="102">
        <f t="shared" si="20"/>
        <v>1.5200152001995093E-3</v>
      </c>
      <c r="T156" s="64">
        <v>-2.8716044E-2</v>
      </c>
      <c r="U156" s="101">
        <f t="shared" si="18"/>
        <v>-1.9385012670937816E-2</v>
      </c>
      <c r="V156" s="8">
        <v>51.983125551446498</v>
      </c>
      <c r="W156" s="103">
        <f t="shared" si="21"/>
        <v>1.5200152001000333E-3</v>
      </c>
      <c r="X156" s="64">
        <v>-3.6474908E-2</v>
      </c>
      <c r="Y156" s="104">
        <f t="shared" si="19"/>
        <v>-2.2600474157470817E-2</v>
      </c>
      <c r="Z156" s="8">
        <v>62.998409291586903</v>
      </c>
      <c r="AA156" s="100">
        <f t="shared" si="22"/>
        <v>1.5200152001000333E-3</v>
      </c>
      <c r="AB156" s="64">
        <v>-2.2250323999999998E-2</v>
      </c>
      <c r="AC156" s="98">
        <f t="shared" si="23"/>
        <v>-1.3783918564015767E-2</v>
      </c>
    </row>
    <row r="157" spans="14:29" x14ac:dyDescent="0.45">
      <c r="N157" s="8">
        <v>72.886834135227403</v>
      </c>
      <c r="O157" s="105">
        <f t="shared" si="16"/>
        <v>1.5300153002044681E-3</v>
      </c>
      <c r="P157" s="99">
        <v>-3.1302332000000002E-2</v>
      </c>
      <c r="Q157" s="82">
        <f t="shared" si="17"/>
        <v>-2.0970728041502323E-2</v>
      </c>
      <c r="R157" s="8">
        <v>24.032993357038599</v>
      </c>
      <c r="S157" s="102">
        <f t="shared" si="20"/>
        <v>1.5300153001973626E-3</v>
      </c>
      <c r="T157" s="64">
        <v>-2.9039329999999999E-2</v>
      </c>
      <c r="U157" s="101">
        <f t="shared" si="18"/>
        <v>-1.9603249667870151E-2</v>
      </c>
      <c r="V157" s="8">
        <v>51.983135551546503</v>
      </c>
      <c r="W157" s="103">
        <f t="shared" si="21"/>
        <v>1.5300153001049921E-3</v>
      </c>
      <c r="X157" s="64">
        <v>-3.8091338000000002E-2</v>
      </c>
      <c r="Y157" s="104">
        <f t="shared" si="19"/>
        <v>-2.3602041712962957E-2</v>
      </c>
      <c r="Z157" s="8">
        <v>62.998419291686901</v>
      </c>
      <c r="AA157" s="100">
        <f t="shared" si="22"/>
        <v>1.5300153000978867E-3</v>
      </c>
      <c r="AB157" s="64">
        <v>-3.1948904E-2</v>
      </c>
      <c r="AC157" s="98">
        <f t="shared" si="23"/>
        <v>-1.9792120372968847E-2</v>
      </c>
    </row>
    <row r="158" spans="14:29" x14ac:dyDescent="0.45">
      <c r="N158" s="8">
        <v>72.886844135327394</v>
      </c>
      <c r="O158" s="105">
        <f t="shared" si="16"/>
        <v>1.540015400195216E-3</v>
      </c>
      <c r="P158" s="99">
        <v>-2.74229E-2</v>
      </c>
      <c r="Q158" s="82">
        <f t="shared" si="17"/>
        <v>-1.8371735946360612E-2</v>
      </c>
      <c r="R158" s="8">
        <v>24.0330033571386</v>
      </c>
      <c r="S158" s="102">
        <f t="shared" si="20"/>
        <v>1.5400154001987687E-3</v>
      </c>
      <c r="T158" s="64">
        <v>-2.7099614000000001E-2</v>
      </c>
      <c r="U158" s="101">
        <f t="shared" si="18"/>
        <v>-1.8293827686276142E-2</v>
      </c>
      <c r="V158" s="8">
        <v>51.983145551646501</v>
      </c>
      <c r="W158" s="103">
        <f t="shared" si="21"/>
        <v>1.5400154001028454E-3</v>
      </c>
      <c r="X158" s="64">
        <v>-2.9362616000000001E-2</v>
      </c>
      <c r="Y158" s="104">
        <f t="shared" si="19"/>
        <v>-1.819357691330542E-2</v>
      </c>
      <c r="Z158" s="8">
        <v>62.998429291786898</v>
      </c>
      <c r="AA158" s="100">
        <f t="shared" si="22"/>
        <v>1.54001540009574E-3</v>
      </c>
      <c r="AB158" s="64">
        <v>-3.1302332000000002E-2</v>
      </c>
      <c r="AC158" s="98">
        <f t="shared" si="23"/>
        <v>-1.9391573585705309E-2</v>
      </c>
    </row>
    <row r="159" spans="14:29" x14ac:dyDescent="0.45">
      <c r="N159" s="8">
        <v>72.886854135427399</v>
      </c>
      <c r="O159" s="105">
        <f t="shared" si="16"/>
        <v>1.5500155002001748E-3</v>
      </c>
      <c r="P159" s="99">
        <v>-2.5806470000000001E-2</v>
      </c>
      <c r="Q159" s="82">
        <f t="shared" si="17"/>
        <v>-1.7288822573384901E-2</v>
      </c>
      <c r="R159" s="8">
        <v>24.033013357238602</v>
      </c>
      <c r="S159" s="102">
        <f t="shared" si="20"/>
        <v>1.5500155002001748E-3</v>
      </c>
      <c r="T159" s="64">
        <v>-1.3844888E-2</v>
      </c>
      <c r="U159" s="101">
        <f t="shared" si="18"/>
        <v>-9.3461108120503969E-3</v>
      </c>
      <c r="V159" s="8">
        <v>51.983155551746499</v>
      </c>
      <c r="W159" s="103">
        <f t="shared" si="21"/>
        <v>1.5500155001006988E-3</v>
      </c>
      <c r="X159" s="64">
        <v>-2.8392758000000001E-2</v>
      </c>
      <c r="Y159" s="104">
        <f t="shared" si="19"/>
        <v>-1.759263638001014E-2</v>
      </c>
      <c r="Z159" s="8">
        <v>62.998439291886903</v>
      </c>
      <c r="AA159" s="100">
        <f t="shared" si="22"/>
        <v>1.5500155001006988E-3</v>
      </c>
      <c r="AB159" s="64">
        <v>-3.1302332000000002E-2</v>
      </c>
      <c r="AC159" s="98">
        <f t="shared" si="23"/>
        <v>-1.9391573585705309E-2</v>
      </c>
    </row>
    <row r="160" spans="14:29" x14ac:dyDescent="0.45">
      <c r="N160" s="8">
        <v>72.886864135527404</v>
      </c>
      <c r="O160" s="105">
        <f t="shared" si="16"/>
        <v>1.5600156002051335E-3</v>
      </c>
      <c r="P160" s="99">
        <v>-2.8392758000000001E-2</v>
      </c>
      <c r="Q160" s="82">
        <f t="shared" si="17"/>
        <v>-1.9021483970146039E-2</v>
      </c>
      <c r="R160" s="8">
        <v>24.0330233573386</v>
      </c>
      <c r="S160" s="102">
        <f t="shared" si="20"/>
        <v>1.5600156001980281E-3</v>
      </c>
      <c r="T160" s="64">
        <v>-2.8069472000000002E-2</v>
      </c>
      <c r="U160" s="101">
        <f t="shared" si="18"/>
        <v>-1.8948538677073148E-2</v>
      </c>
      <c r="V160" s="8">
        <v>51.983165551846497</v>
      </c>
      <c r="W160" s="103">
        <f t="shared" si="21"/>
        <v>1.5600156000985521E-3</v>
      </c>
      <c r="X160" s="64">
        <v>-2.6453042E-2</v>
      </c>
      <c r="Y160" s="104">
        <f t="shared" si="19"/>
        <v>-1.6390755313419575E-2</v>
      </c>
      <c r="Z160" s="8">
        <v>62.998449291986901</v>
      </c>
      <c r="AA160" s="100">
        <f t="shared" si="22"/>
        <v>1.5600156000985521E-3</v>
      </c>
      <c r="AB160" s="64">
        <v>-3.5505050000000003E-2</v>
      </c>
      <c r="AC160" s="98">
        <f t="shared" si="23"/>
        <v>-2.199512770291831E-2</v>
      </c>
    </row>
    <row r="161" spans="14:29" x14ac:dyDescent="0.45">
      <c r="N161" s="8">
        <v>72.886874135627394</v>
      </c>
      <c r="O161" s="105">
        <f t="shared" si="16"/>
        <v>1.5700157001958814E-3</v>
      </c>
      <c r="P161" s="99">
        <v>-4.5203630000000002E-2</v>
      </c>
      <c r="Q161" s="82">
        <f t="shared" si="17"/>
        <v>-3.0283783049093457E-2</v>
      </c>
      <c r="R161" s="8">
        <v>24.033033357438601</v>
      </c>
      <c r="S161" s="102">
        <f t="shared" si="20"/>
        <v>1.5700157001994341E-3</v>
      </c>
      <c r="T161" s="64">
        <v>-3.1302332000000002E-2</v>
      </c>
      <c r="U161" s="101">
        <f t="shared" si="18"/>
        <v>-2.1130908646396499E-2</v>
      </c>
      <c r="V161" s="8">
        <v>51.983175551946502</v>
      </c>
      <c r="W161" s="103">
        <f t="shared" si="21"/>
        <v>1.5700157001035109E-3</v>
      </c>
      <c r="X161" s="64">
        <v>-2.4513325999999998E-2</v>
      </c>
      <c r="Y161" s="104">
        <f t="shared" si="19"/>
        <v>-1.518887424682901E-2</v>
      </c>
      <c r="Z161" s="8">
        <v>62.998459292086899</v>
      </c>
      <c r="AA161" s="100">
        <f t="shared" si="22"/>
        <v>1.5700157000964055E-3</v>
      </c>
      <c r="AB161" s="64">
        <v>-3.7121479999999998E-2</v>
      </c>
      <c r="AC161" s="98">
        <f t="shared" si="23"/>
        <v>-2.2996494671077151E-2</v>
      </c>
    </row>
    <row r="162" spans="14:29" x14ac:dyDescent="0.45">
      <c r="N162" s="8">
        <v>72.886884135727399</v>
      </c>
      <c r="O162" s="105">
        <f t="shared" si="16"/>
        <v>1.5800158002008402E-3</v>
      </c>
      <c r="P162" s="82">
        <v>-3.6798193999999999E-2</v>
      </c>
      <c r="Q162" s="82">
        <f t="shared" si="17"/>
        <v>-2.4652633509619749E-2</v>
      </c>
      <c r="R162" s="8">
        <v>24.033043357538599</v>
      </c>
      <c r="S162" s="102">
        <f t="shared" si="20"/>
        <v>1.5800158001972875E-3</v>
      </c>
      <c r="T162" s="8">
        <v>-2.9039329999999999E-2</v>
      </c>
      <c r="U162" s="101">
        <f t="shared" si="18"/>
        <v>-1.9603249667870151E-2</v>
      </c>
      <c r="V162" s="8">
        <v>51.9831855520465</v>
      </c>
      <c r="W162" s="103">
        <f t="shared" si="21"/>
        <v>1.5800158001013642E-3</v>
      </c>
      <c r="X162" s="8">
        <v>-2.6776327999999999E-2</v>
      </c>
      <c r="Y162" s="104">
        <f t="shared" si="19"/>
        <v>-1.6591068824517999E-2</v>
      </c>
      <c r="Z162" s="8">
        <v>62.998469292186897</v>
      </c>
      <c r="AA162" s="100">
        <f t="shared" si="22"/>
        <v>1.5800158000942588E-3</v>
      </c>
      <c r="AB162" s="8">
        <v>-2.6129756000000001E-2</v>
      </c>
      <c r="AC162" s="98">
        <f t="shared" si="23"/>
        <v>-1.6187199287597001E-2</v>
      </c>
    </row>
    <row r="163" spans="14:29" x14ac:dyDescent="0.45">
      <c r="N163" s="8">
        <v>72.886894135827404</v>
      </c>
      <c r="O163" s="105">
        <f t="shared" si="16"/>
        <v>1.590015900205799E-3</v>
      </c>
      <c r="P163" s="82">
        <v>-2.7746185999999999E-2</v>
      </c>
      <c r="Q163" s="82">
        <f t="shared" si="17"/>
        <v>-1.8588318620955755E-2</v>
      </c>
      <c r="R163" s="8">
        <v>24.0330533576386</v>
      </c>
      <c r="S163" s="102">
        <f t="shared" si="20"/>
        <v>1.5900159001986935E-3</v>
      </c>
      <c r="T163" s="8">
        <v>-3.0979046E-2</v>
      </c>
      <c r="U163" s="101">
        <f t="shared" si="18"/>
        <v>-2.0912671649464164E-2</v>
      </c>
      <c r="V163" s="8">
        <v>51.983195552146498</v>
      </c>
      <c r="W163" s="103">
        <f t="shared" si="21"/>
        <v>1.5900159000992176E-3</v>
      </c>
      <c r="X163" s="8">
        <v>-2.6453042E-2</v>
      </c>
      <c r="Y163" s="104">
        <f t="shared" si="19"/>
        <v>-1.6390755313419575E-2</v>
      </c>
      <c r="Z163" s="8">
        <v>62.998479292286902</v>
      </c>
      <c r="AA163" s="100">
        <f t="shared" si="22"/>
        <v>1.5900159000992176E-3</v>
      </c>
      <c r="AB163" s="8">
        <v>-1.9987321999999998E-2</v>
      </c>
      <c r="AC163" s="98">
        <f t="shared" si="23"/>
        <v>-1.2382004808593383E-2</v>
      </c>
    </row>
    <row r="164" spans="14:29" x14ac:dyDescent="0.45">
      <c r="N164" s="8">
        <v>72.886904135927395</v>
      </c>
      <c r="O164" s="105">
        <f t="shared" si="16"/>
        <v>1.6000160001965469E-3</v>
      </c>
      <c r="P164" s="82">
        <v>-2.4836612000000001E-2</v>
      </c>
      <c r="Q164" s="82">
        <f t="shared" si="17"/>
        <v>-1.663907454959947E-2</v>
      </c>
      <c r="R164" s="8">
        <v>24.033063357738602</v>
      </c>
      <c r="S164" s="102">
        <f t="shared" si="20"/>
        <v>1.6000160002000996E-3</v>
      </c>
      <c r="T164" s="8">
        <v>-3.0655760000000001E-2</v>
      </c>
      <c r="U164" s="101">
        <f t="shared" si="18"/>
        <v>-2.0694434652531828E-2</v>
      </c>
      <c r="V164" s="8">
        <v>51.983205552246503</v>
      </c>
      <c r="W164" s="103">
        <f t="shared" si="21"/>
        <v>1.6000160001041763E-3</v>
      </c>
      <c r="X164" s="8">
        <v>-2.5483183999999999E-2</v>
      </c>
      <c r="Y164" s="104">
        <f t="shared" si="19"/>
        <v>-1.5789814780124294E-2</v>
      </c>
      <c r="Z164" s="8">
        <v>62.9984892923869</v>
      </c>
      <c r="AA164" s="100">
        <f t="shared" si="22"/>
        <v>1.6000160000970709E-3</v>
      </c>
      <c r="AB164" s="8">
        <v>-1.8370892E-2</v>
      </c>
      <c r="AC164" s="98">
        <f t="shared" si="23"/>
        <v>-1.1380637840434539E-2</v>
      </c>
    </row>
    <row r="165" spans="14:29" x14ac:dyDescent="0.45">
      <c r="N165" s="8">
        <v>72.8869141360274</v>
      </c>
      <c r="O165" s="105">
        <f t="shared" si="16"/>
        <v>1.6100161002015057E-3</v>
      </c>
      <c r="P165" s="82">
        <v>-3.1302332000000002E-2</v>
      </c>
      <c r="Q165" s="82">
        <f t="shared" si="17"/>
        <v>-2.0970728041502323E-2</v>
      </c>
      <c r="R165" s="8">
        <v>24.0330733578386</v>
      </c>
      <c r="S165" s="102">
        <f t="shared" si="20"/>
        <v>1.6100161001979529E-3</v>
      </c>
      <c r="T165" s="8">
        <v>-2.4513325999999998E-2</v>
      </c>
      <c r="U165" s="101">
        <f t="shared" si="18"/>
        <v>-1.6547931710817459E-2</v>
      </c>
      <c r="V165" s="8">
        <v>51.9832155523465</v>
      </c>
      <c r="W165" s="103">
        <f t="shared" si="21"/>
        <v>1.6100161001020297E-3</v>
      </c>
      <c r="X165" s="8">
        <v>-3.1625618000000001E-2</v>
      </c>
      <c r="Y165" s="104">
        <f t="shared" si="19"/>
        <v>-1.959577149099441E-2</v>
      </c>
      <c r="Z165" s="8">
        <v>62.998499292486898</v>
      </c>
      <c r="AA165" s="100">
        <f t="shared" si="22"/>
        <v>1.6100161000949242E-3</v>
      </c>
      <c r="AB165" s="8">
        <v>-3.6151622000000001E-2</v>
      </c>
      <c r="AC165" s="98">
        <f t="shared" si="23"/>
        <v>-2.2395674490181847E-2</v>
      </c>
    </row>
    <row r="166" spans="14:29" x14ac:dyDescent="0.45">
      <c r="N166" s="8">
        <v>72.886924136127405</v>
      </c>
      <c r="O166" s="105">
        <f t="shared" si="16"/>
        <v>1.6200162002064644E-3</v>
      </c>
      <c r="P166" s="82">
        <v>-2.9685902E-2</v>
      </c>
      <c r="Q166" s="82">
        <f t="shared" si="17"/>
        <v>-1.9887814668526609E-2</v>
      </c>
      <c r="R166" s="8">
        <v>24.033083357938601</v>
      </c>
      <c r="S166" s="102">
        <f t="shared" si="20"/>
        <v>1.620016200199359E-3</v>
      </c>
      <c r="T166" s="8">
        <v>-3.4858477999999998E-2</v>
      </c>
      <c r="U166" s="101">
        <f t="shared" si="18"/>
        <v>-2.3531515612652185E-2</v>
      </c>
      <c r="V166" s="8">
        <v>51.983225552446498</v>
      </c>
      <c r="W166" s="103">
        <f t="shared" si="21"/>
        <v>1.620016200099883E-3</v>
      </c>
      <c r="X166" s="8">
        <v>-3.3242048000000003E-2</v>
      </c>
      <c r="Y166" s="104">
        <f t="shared" si="19"/>
        <v>-2.0597339046486546E-2</v>
      </c>
      <c r="Z166" s="8">
        <v>62.998509292586903</v>
      </c>
      <c r="AA166" s="100">
        <f t="shared" si="22"/>
        <v>1.620016200099883E-3</v>
      </c>
      <c r="AB166" s="8">
        <v>-3.5828336000000002E-2</v>
      </c>
      <c r="AC166" s="98">
        <f t="shared" si="23"/>
        <v>-2.2195401096550077E-2</v>
      </c>
    </row>
    <row r="167" spans="14:29" x14ac:dyDescent="0.45">
      <c r="N167" s="8">
        <v>72.886934136227396</v>
      </c>
      <c r="O167" s="105">
        <f t="shared" si="16"/>
        <v>1.6300163001972123E-3</v>
      </c>
      <c r="P167" s="82">
        <v>-2.8392758000000001E-2</v>
      </c>
      <c r="Q167" s="82">
        <f t="shared" si="17"/>
        <v>-1.9021483970146039E-2</v>
      </c>
      <c r="R167" s="8">
        <v>24.033093358038599</v>
      </c>
      <c r="S167" s="102">
        <f t="shared" si="20"/>
        <v>1.6300163001972123E-3</v>
      </c>
      <c r="T167" s="8">
        <v>-2.7099614000000001E-2</v>
      </c>
      <c r="U167" s="101">
        <f t="shared" si="18"/>
        <v>-1.8293827686276142E-2</v>
      </c>
      <c r="V167" s="8">
        <v>51.983235552546503</v>
      </c>
      <c r="W167" s="103">
        <f t="shared" si="21"/>
        <v>1.6300163001048418E-3</v>
      </c>
      <c r="X167" s="8">
        <v>-4.1647483999999999E-2</v>
      </c>
      <c r="Y167" s="104">
        <f t="shared" si="19"/>
        <v>-2.5805490335045651E-2</v>
      </c>
      <c r="Z167" s="8">
        <v>62.9985192926869</v>
      </c>
      <c r="AA167" s="100">
        <f t="shared" si="22"/>
        <v>1.6300163000977363E-3</v>
      </c>
      <c r="AB167" s="8">
        <v>-2.6453042E-2</v>
      </c>
      <c r="AC167" s="98">
        <f t="shared" si="23"/>
        <v>-1.6387472681228768E-2</v>
      </c>
    </row>
    <row r="168" spans="14:29" x14ac:dyDescent="0.45">
      <c r="N168" s="8">
        <v>72.886944136327401</v>
      </c>
      <c r="O168" s="105">
        <f t="shared" si="16"/>
        <v>1.6400164002021711E-3</v>
      </c>
      <c r="P168" s="82">
        <v>-2.6129756000000001E-2</v>
      </c>
      <c r="Q168" s="82">
        <f t="shared" si="17"/>
        <v>-1.7505405247980041E-2</v>
      </c>
      <c r="R168" s="8">
        <v>24.0331033581386</v>
      </c>
      <c r="S168" s="102">
        <f t="shared" si="20"/>
        <v>1.6400164001986184E-3</v>
      </c>
      <c r="T168" s="8">
        <v>-2.74229E-2</v>
      </c>
      <c r="U168" s="101">
        <f t="shared" si="18"/>
        <v>-1.8512064683208478E-2</v>
      </c>
      <c r="V168" s="8">
        <v>51.983245552646501</v>
      </c>
      <c r="W168" s="103">
        <f t="shared" si="21"/>
        <v>1.6400164001026951E-3</v>
      </c>
      <c r="X168" s="8">
        <v>-3.6798193999999999E-2</v>
      </c>
      <c r="Y168" s="104">
        <f t="shared" si="19"/>
        <v>-2.2800787668569245E-2</v>
      </c>
      <c r="Z168" s="8">
        <v>62.998529292786898</v>
      </c>
      <c r="AA168" s="100">
        <f t="shared" si="22"/>
        <v>1.6400164000955897E-3</v>
      </c>
      <c r="AB168" s="8">
        <v>-2.5806470000000001E-2</v>
      </c>
      <c r="AC168" s="98">
        <f t="shared" si="23"/>
        <v>-1.5986925893965231E-2</v>
      </c>
    </row>
    <row r="169" spans="14:29" x14ac:dyDescent="0.45">
      <c r="N169" s="8">
        <v>72.886954136427406</v>
      </c>
      <c r="O169" s="105">
        <f t="shared" si="16"/>
        <v>1.6500165002071299E-3</v>
      </c>
      <c r="P169" s="82">
        <v>-2.8716044E-2</v>
      </c>
      <c r="Q169" s="82">
        <f t="shared" si="17"/>
        <v>-1.9238066644741182E-2</v>
      </c>
      <c r="R169" s="8">
        <v>24.033113358238602</v>
      </c>
      <c r="S169" s="102">
        <f t="shared" si="20"/>
        <v>1.6500165002000244E-3</v>
      </c>
      <c r="T169" s="8">
        <v>-3.0655760000000001E-2</v>
      </c>
      <c r="U169" s="101">
        <f t="shared" si="18"/>
        <v>-2.0694434652531828E-2</v>
      </c>
      <c r="V169" s="8">
        <v>51.983255552746499</v>
      </c>
      <c r="W169" s="103">
        <f t="shared" si="21"/>
        <v>1.6500165001005485E-3</v>
      </c>
      <c r="X169" s="8">
        <v>-2.9039329999999999E-2</v>
      </c>
      <c r="Y169" s="104">
        <f t="shared" si="19"/>
        <v>-1.7993263402206992E-2</v>
      </c>
      <c r="Z169" s="8">
        <v>62.998539292886903</v>
      </c>
      <c r="AA169" s="100">
        <f t="shared" si="22"/>
        <v>1.6500165001005485E-3</v>
      </c>
      <c r="AB169" s="8">
        <v>-2.9362616000000001E-2</v>
      </c>
      <c r="AC169" s="98">
        <f t="shared" si="23"/>
        <v>-1.8189933223914691E-2</v>
      </c>
    </row>
    <row r="170" spans="14:29" x14ac:dyDescent="0.45">
      <c r="N170" s="8">
        <v>72.886964136527396</v>
      </c>
      <c r="O170" s="105">
        <f t="shared" si="16"/>
        <v>1.6600166001978778E-3</v>
      </c>
      <c r="P170" s="82">
        <v>-2.8392758000000001E-2</v>
      </c>
      <c r="Q170" s="82">
        <f t="shared" si="17"/>
        <v>-1.9021483970146039E-2</v>
      </c>
      <c r="R170" s="8">
        <v>24.033123358338599</v>
      </c>
      <c r="S170" s="102">
        <f t="shared" si="20"/>
        <v>1.6600166001978778E-3</v>
      </c>
      <c r="T170" s="8">
        <v>-2.7099614000000001E-2</v>
      </c>
      <c r="U170" s="101">
        <f t="shared" si="18"/>
        <v>-1.8293827686276142E-2</v>
      </c>
      <c r="V170" s="8">
        <v>51.983265552846497</v>
      </c>
      <c r="W170" s="103">
        <f t="shared" si="21"/>
        <v>1.6600166000984018E-3</v>
      </c>
      <c r="X170" s="8">
        <v>-2.6453042E-2</v>
      </c>
      <c r="Y170" s="104">
        <f t="shared" si="19"/>
        <v>-1.6390755313419575E-2</v>
      </c>
      <c r="Z170" s="8">
        <v>62.998549292986901</v>
      </c>
      <c r="AA170" s="100">
        <f t="shared" si="22"/>
        <v>1.6600166000984018E-3</v>
      </c>
      <c r="AB170" s="8">
        <v>-3.0009187999999999E-2</v>
      </c>
      <c r="AC170" s="98">
        <f t="shared" si="23"/>
        <v>-1.8590480011178228E-2</v>
      </c>
    </row>
    <row r="171" spans="14:29" x14ac:dyDescent="0.45">
      <c r="N171" s="8">
        <v>72.886974136627401</v>
      </c>
      <c r="O171" s="105">
        <f t="shared" si="16"/>
        <v>1.6700167002028365E-3</v>
      </c>
      <c r="P171" s="82">
        <v>-2.8392758000000001E-2</v>
      </c>
      <c r="Q171" s="82">
        <f t="shared" si="17"/>
        <v>-1.9021483970146039E-2</v>
      </c>
      <c r="R171" s="8">
        <v>24.033133358438601</v>
      </c>
      <c r="S171" s="102">
        <f t="shared" si="20"/>
        <v>1.6700167001992838E-3</v>
      </c>
      <c r="T171" s="8">
        <v>-2.6129756000000001E-2</v>
      </c>
      <c r="U171" s="101">
        <f t="shared" si="18"/>
        <v>-1.7639116695479136E-2</v>
      </c>
      <c r="V171" s="8">
        <v>51.983275552946502</v>
      </c>
      <c r="W171" s="103">
        <f t="shared" si="21"/>
        <v>1.6700167001033606E-3</v>
      </c>
      <c r="X171" s="8">
        <v>-2.7099614000000001E-2</v>
      </c>
      <c r="Y171" s="104">
        <f t="shared" si="19"/>
        <v>-1.6791382335616431E-2</v>
      </c>
      <c r="Z171" s="8">
        <v>62.998559293086899</v>
      </c>
      <c r="AA171" s="100">
        <f t="shared" si="22"/>
        <v>1.6700167000962551E-3</v>
      </c>
      <c r="AB171" s="8">
        <v>-2.7099614000000001E-2</v>
      </c>
      <c r="AC171" s="98">
        <f t="shared" si="23"/>
        <v>-1.6788019468492309E-2</v>
      </c>
    </row>
    <row r="172" spans="14:29" x14ac:dyDescent="0.45">
      <c r="N172" s="8">
        <v>72.886984136727406</v>
      </c>
      <c r="O172" s="105">
        <f t="shared" si="16"/>
        <v>1.6800168002077953E-3</v>
      </c>
      <c r="P172" s="82">
        <v>-2.5806470000000001E-2</v>
      </c>
      <c r="Q172" s="82">
        <f t="shared" si="17"/>
        <v>-1.7288822573384901E-2</v>
      </c>
      <c r="R172" s="8">
        <v>24.033143358538599</v>
      </c>
      <c r="S172" s="102">
        <f t="shared" si="20"/>
        <v>1.6800168001971372E-3</v>
      </c>
      <c r="T172" s="8">
        <v>-2.6129756000000001E-2</v>
      </c>
      <c r="U172" s="101">
        <f t="shared" si="18"/>
        <v>-1.7639116695479136E-2</v>
      </c>
      <c r="V172" s="8">
        <v>51.9832855530465</v>
      </c>
      <c r="W172" s="103">
        <f t="shared" si="21"/>
        <v>1.6800168001012139E-3</v>
      </c>
      <c r="X172" s="8">
        <v>-2.4836612000000001E-2</v>
      </c>
      <c r="Y172" s="104">
        <f t="shared" si="19"/>
        <v>-1.538918775792744E-2</v>
      </c>
      <c r="Z172" s="8">
        <v>62.998569293186897</v>
      </c>
      <c r="AA172" s="100">
        <f t="shared" si="22"/>
        <v>1.6800168000941085E-3</v>
      </c>
      <c r="AB172" s="8">
        <v>-2.9039329999999999E-2</v>
      </c>
      <c r="AC172" s="98">
        <f t="shared" si="23"/>
        <v>-1.798965983028292E-2</v>
      </c>
    </row>
    <row r="173" spans="14:29" x14ac:dyDescent="0.45">
      <c r="N173" s="8">
        <v>72.886994136827397</v>
      </c>
      <c r="O173" s="105">
        <f t="shared" si="16"/>
        <v>1.6900169001985432E-3</v>
      </c>
      <c r="P173" s="82">
        <v>-3.1625618000000001E-2</v>
      </c>
      <c r="Q173" s="82">
        <f t="shared" si="17"/>
        <v>-2.1187310716097467E-2</v>
      </c>
      <c r="R173" s="8">
        <v>24.0331533586386</v>
      </c>
      <c r="S173" s="102">
        <f t="shared" si="20"/>
        <v>1.6900169001985432E-3</v>
      </c>
      <c r="T173" s="8">
        <v>-2.9362616000000001E-2</v>
      </c>
      <c r="U173" s="101">
        <f t="shared" si="18"/>
        <v>-1.9821486664802487E-2</v>
      </c>
      <c r="V173" s="8">
        <v>51.983295553146498</v>
      </c>
      <c r="W173" s="103">
        <f t="shared" si="21"/>
        <v>1.6900169000990672E-3</v>
      </c>
      <c r="X173" s="8">
        <v>-3.0655760000000001E-2</v>
      </c>
      <c r="Y173" s="104">
        <f t="shared" si="19"/>
        <v>-1.8994830957699129E-2</v>
      </c>
      <c r="Z173" s="8">
        <v>62.998579293286902</v>
      </c>
      <c r="AA173" s="100">
        <f t="shared" si="22"/>
        <v>1.6900169000990672E-3</v>
      </c>
      <c r="AB173" s="8">
        <v>-3.2595475999999998E-2</v>
      </c>
      <c r="AC173" s="98">
        <f t="shared" si="23"/>
        <v>-2.0192667160232384E-2</v>
      </c>
    </row>
    <row r="174" spans="14:29" x14ac:dyDescent="0.45">
      <c r="N174" s="8">
        <v>72.887004136927402</v>
      </c>
      <c r="O174" s="105">
        <f t="shared" si="16"/>
        <v>1.700017000203502E-3</v>
      </c>
      <c r="P174" s="82">
        <v>-2.5159898E-2</v>
      </c>
      <c r="Q174" s="82">
        <f t="shared" si="17"/>
        <v>-1.6855657224194614E-2</v>
      </c>
      <c r="R174" s="8">
        <v>24.033163358738602</v>
      </c>
      <c r="S174" s="102">
        <f t="shared" si="20"/>
        <v>1.7000170001999493E-3</v>
      </c>
      <c r="T174" s="8">
        <v>-3.3242048000000003E-2</v>
      </c>
      <c r="U174" s="101">
        <f t="shared" si="18"/>
        <v>-2.2440330627990512E-2</v>
      </c>
      <c r="V174" s="8">
        <v>51.983305553246502</v>
      </c>
      <c r="W174" s="103">
        <f t="shared" si="21"/>
        <v>1.700017000104026E-3</v>
      </c>
      <c r="X174" s="8">
        <v>-2.5483183999999999E-2</v>
      </c>
      <c r="Y174" s="104">
        <f t="shared" si="19"/>
        <v>-1.5789814780124294E-2</v>
      </c>
      <c r="Z174" s="8">
        <v>62.9985892933869</v>
      </c>
      <c r="AA174" s="100">
        <f t="shared" si="22"/>
        <v>1.7000170000969206E-3</v>
      </c>
      <c r="AB174" s="8">
        <v>-3.3888620000000001E-2</v>
      </c>
      <c r="AC174" s="98">
        <f t="shared" si="23"/>
        <v>-2.0993760734759462E-2</v>
      </c>
    </row>
    <row r="175" spans="14:29" x14ac:dyDescent="0.45">
      <c r="N175" s="8">
        <v>72.887014137027407</v>
      </c>
      <c r="O175" s="105">
        <f t="shared" si="16"/>
        <v>1.7100171002084608E-3</v>
      </c>
      <c r="P175" s="82">
        <v>-2.9039329999999999E-2</v>
      </c>
      <c r="Q175" s="82">
        <f t="shared" si="17"/>
        <v>-1.9454649319336326E-2</v>
      </c>
      <c r="R175" s="8">
        <v>24.033173358838599</v>
      </c>
      <c r="S175" s="102">
        <f t="shared" si="20"/>
        <v>1.7100171001978026E-3</v>
      </c>
      <c r="T175" s="8">
        <v>-2.8716044E-2</v>
      </c>
      <c r="U175" s="101">
        <f t="shared" si="18"/>
        <v>-1.9385012670937816E-2</v>
      </c>
      <c r="V175" s="8">
        <v>51.9833155533465</v>
      </c>
      <c r="W175" s="103">
        <f t="shared" si="21"/>
        <v>1.7100171001018794E-3</v>
      </c>
      <c r="X175" s="8">
        <v>-3.0655760000000001E-2</v>
      </c>
      <c r="Y175" s="104">
        <f t="shared" si="19"/>
        <v>-1.8994830957699129E-2</v>
      </c>
      <c r="Z175" s="8">
        <v>62.998599293486897</v>
      </c>
      <c r="AA175" s="100">
        <f t="shared" si="22"/>
        <v>1.7100171000947739E-3</v>
      </c>
      <c r="AB175" s="8">
        <v>-2.8392758000000001E-2</v>
      </c>
      <c r="AC175" s="98">
        <f t="shared" si="23"/>
        <v>-1.7589113043019383E-2</v>
      </c>
    </row>
    <row r="176" spans="14:29" x14ac:dyDescent="0.45">
      <c r="N176" s="8">
        <v>72.887024137127398</v>
      </c>
      <c r="O176" s="105">
        <f t="shared" si="16"/>
        <v>1.7200172001992087E-3</v>
      </c>
      <c r="P176" s="82">
        <v>-2.6776327999999999E-2</v>
      </c>
      <c r="Q176" s="82">
        <f t="shared" si="17"/>
        <v>-1.7938570597170325E-2</v>
      </c>
      <c r="R176" s="8">
        <v>24.033183358938601</v>
      </c>
      <c r="S176" s="102">
        <f t="shared" si="20"/>
        <v>1.7200172001992087E-3</v>
      </c>
      <c r="T176" s="8">
        <v>-2.8069472000000002E-2</v>
      </c>
      <c r="U176" s="101">
        <f t="shared" si="18"/>
        <v>-1.8948538677073148E-2</v>
      </c>
      <c r="V176" s="8">
        <v>51.983325553446498</v>
      </c>
      <c r="W176" s="103">
        <f t="shared" si="21"/>
        <v>1.7200172000997327E-3</v>
      </c>
      <c r="X176" s="8">
        <v>-2.7099614000000001E-2</v>
      </c>
      <c r="Y176" s="104">
        <f t="shared" si="19"/>
        <v>-1.6791382335616431E-2</v>
      </c>
      <c r="Z176" s="8">
        <v>62.998609293586902</v>
      </c>
      <c r="AA176" s="100">
        <f t="shared" si="22"/>
        <v>1.7200172000997327E-3</v>
      </c>
      <c r="AB176" s="8">
        <v>-2.6776327999999999E-2</v>
      </c>
      <c r="AC176" s="98">
        <f t="shared" si="23"/>
        <v>-1.6587746074860538E-2</v>
      </c>
    </row>
    <row r="177" spans="14:29" x14ac:dyDescent="0.45">
      <c r="N177" s="8">
        <v>72.887034137227403</v>
      </c>
      <c r="O177" s="105">
        <f t="shared" si="16"/>
        <v>1.7300173002041674E-3</v>
      </c>
      <c r="P177" s="82">
        <v>-2.7746185999999999E-2</v>
      </c>
      <c r="Q177" s="82">
        <f t="shared" si="17"/>
        <v>-1.8588318620955755E-2</v>
      </c>
      <c r="R177" s="8">
        <v>24.033193359038599</v>
      </c>
      <c r="S177" s="102">
        <f t="shared" si="20"/>
        <v>1.730017300197062E-3</v>
      </c>
      <c r="T177" s="8">
        <v>-2.7746185999999999E-2</v>
      </c>
      <c r="U177" s="101">
        <f t="shared" si="18"/>
        <v>-1.873030168014081E-2</v>
      </c>
      <c r="V177" s="8">
        <v>51.983335553546503</v>
      </c>
      <c r="W177" s="103">
        <f t="shared" si="21"/>
        <v>1.7300173001046915E-3</v>
      </c>
      <c r="X177" s="8">
        <v>-3.0009187999999999E-2</v>
      </c>
      <c r="Y177" s="104">
        <f t="shared" si="19"/>
        <v>-1.8594203935502273E-2</v>
      </c>
      <c r="Z177" s="8">
        <v>62.9986192936869</v>
      </c>
      <c r="AA177" s="100">
        <f t="shared" si="22"/>
        <v>1.730017300097586E-3</v>
      </c>
      <c r="AB177" s="8">
        <v>-3.0655760000000001E-2</v>
      </c>
      <c r="AC177" s="98">
        <f t="shared" si="23"/>
        <v>-1.8991026798441769E-2</v>
      </c>
    </row>
    <row r="178" spans="14:29" x14ac:dyDescent="0.45">
      <c r="N178" s="8">
        <v>72.887044137327393</v>
      </c>
      <c r="O178" s="105">
        <f t="shared" si="16"/>
        <v>1.7400174001949154E-3</v>
      </c>
      <c r="P178" s="82">
        <v>-2.8392758000000001E-2</v>
      </c>
      <c r="Q178" s="82">
        <f t="shared" si="17"/>
        <v>-1.9021483970146039E-2</v>
      </c>
      <c r="R178" s="8">
        <v>24.0332033591386</v>
      </c>
      <c r="S178" s="102">
        <f t="shared" si="20"/>
        <v>1.7400174001984681E-3</v>
      </c>
      <c r="T178" s="8">
        <v>-2.9362616000000001E-2</v>
      </c>
      <c r="U178" s="101">
        <f t="shared" si="18"/>
        <v>-1.9821486664802487E-2</v>
      </c>
      <c r="V178" s="8">
        <v>51.983345553646501</v>
      </c>
      <c r="W178" s="103">
        <f t="shared" si="21"/>
        <v>1.7400174001025448E-3</v>
      </c>
      <c r="X178" s="8">
        <v>-2.9685902E-2</v>
      </c>
      <c r="Y178" s="104">
        <f t="shared" si="19"/>
        <v>-1.8393890424403848E-2</v>
      </c>
      <c r="Z178" s="8">
        <v>62.998629293786898</v>
      </c>
      <c r="AA178" s="100">
        <f t="shared" si="22"/>
        <v>1.7400174000954394E-3</v>
      </c>
      <c r="AB178" s="8">
        <v>-2.74229E-2</v>
      </c>
      <c r="AC178" s="98">
        <f t="shared" si="23"/>
        <v>-1.6988292862124076E-2</v>
      </c>
    </row>
    <row r="179" spans="14:29" x14ac:dyDescent="0.45">
      <c r="N179" s="8">
        <v>72.887054137427398</v>
      </c>
      <c r="O179" s="105">
        <f t="shared" si="16"/>
        <v>1.7500175001998741E-3</v>
      </c>
      <c r="P179" s="82">
        <v>-3.0979046E-2</v>
      </c>
      <c r="Q179" s="82">
        <f t="shared" si="17"/>
        <v>-2.075414536690718E-2</v>
      </c>
      <c r="R179" s="8">
        <v>24.033213359238601</v>
      </c>
      <c r="S179" s="102">
        <f t="shared" si="20"/>
        <v>1.7500175001998741E-3</v>
      </c>
      <c r="T179" s="8">
        <v>-3.1302332000000002E-2</v>
      </c>
      <c r="U179" s="101">
        <f t="shared" si="18"/>
        <v>-2.1130908646396499E-2</v>
      </c>
      <c r="V179" s="8">
        <v>51.983355553746499</v>
      </c>
      <c r="W179" s="103">
        <f t="shared" si="21"/>
        <v>1.7500175001003981E-3</v>
      </c>
      <c r="X179" s="8">
        <v>-2.6453042E-2</v>
      </c>
      <c r="Y179" s="104">
        <f t="shared" si="19"/>
        <v>-1.6390755313419575E-2</v>
      </c>
      <c r="Z179" s="8">
        <v>62.998639293886903</v>
      </c>
      <c r="AA179" s="100">
        <f t="shared" si="22"/>
        <v>1.7500175001003981E-3</v>
      </c>
      <c r="AB179" s="8">
        <v>-2.6129756000000001E-2</v>
      </c>
      <c r="AC179" s="98">
        <f t="shared" si="23"/>
        <v>-1.6187199287597001E-2</v>
      </c>
    </row>
    <row r="180" spans="14:29" x14ac:dyDescent="0.45">
      <c r="N180" s="8">
        <v>72.887064137527403</v>
      </c>
      <c r="O180" s="105">
        <f t="shared" si="16"/>
        <v>1.7600176002048329E-3</v>
      </c>
      <c r="P180" s="82">
        <v>-2.9039329999999999E-2</v>
      </c>
      <c r="Q180" s="82">
        <f t="shared" si="17"/>
        <v>-1.9454649319336326E-2</v>
      </c>
      <c r="R180" s="8">
        <v>24.033223359338599</v>
      </c>
      <c r="S180" s="102">
        <f t="shared" si="20"/>
        <v>1.7600176001977275E-3</v>
      </c>
      <c r="T180" s="8">
        <v>-2.6776327999999999E-2</v>
      </c>
      <c r="U180" s="101">
        <f t="shared" si="18"/>
        <v>-1.8075590689343803E-2</v>
      </c>
      <c r="V180" s="8">
        <v>51.983365553846497</v>
      </c>
      <c r="W180" s="103">
        <f t="shared" si="21"/>
        <v>1.7600176000982515E-3</v>
      </c>
      <c r="X180" s="8">
        <v>-3.1625618000000001E-2</v>
      </c>
      <c r="Y180" s="104">
        <f t="shared" si="19"/>
        <v>-1.959577149099441E-2</v>
      </c>
      <c r="Z180" s="8">
        <v>62.998649293986901</v>
      </c>
      <c r="AA180" s="100">
        <f t="shared" si="22"/>
        <v>1.7600176000982515E-3</v>
      </c>
      <c r="AB180" s="8">
        <v>-3.3888620000000001E-2</v>
      </c>
      <c r="AC180" s="98">
        <f t="shared" si="23"/>
        <v>-2.0993760734759462E-2</v>
      </c>
    </row>
    <row r="181" spans="14:29" x14ac:dyDescent="0.45">
      <c r="N181" s="8">
        <v>72.887074137627394</v>
      </c>
      <c r="O181" s="105">
        <f t="shared" si="16"/>
        <v>1.7700177001955808E-3</v>
      </c>
      <c r="P181" s="82">
        <v>-3.2918761999999997E-2</v>
      </c>
      <c r="Q181" s="82">
        <f t="shared" si="17"/>
        <v>-2.2053641414478034E-2</v>
      </c>
      <c r="R181" s="8">
        <v>24.033233359438601</v>
      </c>
      <c r="S181" s="102">
        <f t="shared" si="20"/>
        <v>1.7700177001991335E-3</v>
      </c>
      <c r="T181" s="8">
        <v>-1.6431175999999999E-2</v>
      </c>
      <c r="U181" s="101">
        <f t="shared" si="18"/>
        <v>-1.1092006787509079E-2</v>
      </c>
      <c r="V181" s="8">
        <v>51.983375553946502</v>
      </c>
      <c r="W181" s="103">
        <f t="shared" si="21"/>
        <v>1.7700177001032102E-3</v>
      </c>
      <c r="X181" s="8">
        <v>-2.5483183999999999E-2</v>
      </c>
      <c r="Y181" s="104">
        <f t="shared" si="19"/>
        <v>-1.5789814780124294E-2</v>
      </c>
      <c r="Z181" s="8">
        <v>62.998659294086899</v>
      </c>
      <c r="AA181" s="100">
        <f t="shared" si="22"/>
        <v>1.7700177000961048E-3</v>
      </c>
      <c r="AB181" s="8">
        <v>-3.0979046E-2</v>
      </c>
      <c r="AC181" s="98">
        <f t="shared" si="23"/>
        <v>-1.9191300192073539E-2</v>
      </c>
    </row>
    <row r="182" spans="14:29" x14ac:dyDescent="0.45">
      <c r="N182" s="8">
        <v>72.887084137727399</v>
      </c>
      <c r="O182" s="105">
        <f t="shared" si="16"/>
        <v>1.7800178002005396E-3</v>
      </c>
      <c r="P182" s="99">
        <v>-2.0957179999999999E-2</v>
      </c>
      <c r="Q182" s="82">
        <f t="shared" si="17"/>
        <v>-1.4040082454457758E-2</v>
      </c>
      <c r="R182" s="8">
        <v>24.033243359538599</v>
      </c>
      <c r="S182" s="102">
        <f t="shared" si="20"/>
        <v>1.7800178001969869E-3</v>
      </c>
      <c r="T182" s="64">
        <v>-2.9685902E-2</v>
      </c>
      <c r="U182" s="101">
        <f t="shared" si="18"/>
        <v>-2.0039723661734822E-2</v>
      </c>
      <c r="V182" s="8">
        <v>51.9833855540465</v>
      </c>
      <c r="W182" s="103">
        <f t="shared" si="21"/>
        <v>1.7800178001010636E-3</v>
      </c>
      <c r="X182" s="64">
        <v>-2.7746185999999999E-2</v>
      </c>
      <c r="Y182" s="104">
        <f t="shared" si="19"/>
        <v>-1.7192009357813284E-2</v>
      </c>
      <c r="Z182" s="8">
        <v>62.998669294186897</v>
      </c>
      <c r="AA182" s="100">
        <f t="shared" si="22"/>
        <v>1.7800178000939582E-3</v>
      </c>
      <c r="AB182" s="64">
        <v>-2.7099614000000001E-2</v>
      </c>
      <c r="AC182" s="98">
        <f t="shared" si="23"/>
        <v>-1.6788019468492309E-2</v>
      </c>
    </row>
    <row r="183" spans="14:29" x14ac:dyDescent="0.45">
      <c r="N183" s="8">
        <v>72.887094137827404</v>
      </c>
      <c r="O183" s="105">
        <f t="shared" si="16"/>
        <v>1.7900179002054983E-3</v>
      </c>
      <c r="P183" s="82">
        <v>-3.2272189999999999E-2</v>
      </c>
      <c r="Q183" s="82">
        <f t="shared" si="17"/>
        <v>-2.162047606528775E-2</v>
      </c>
      <c r="R183" s="8">
        <v>24.0332533596386</v>
      </c>
      <c r="S183" s="102">
        <f t="shared" si="20"/>
        <v>1.7900179001983929E-3</v>
      </c>
      <c r="T183" s="8">
        <v>-2.7746185999999999E-2</v>
      </c>
      <c r="U183" s="101">
        <f t="shared" si="18"/>
        <v>-1.873030168014081E-2</v>
      </c>
      <c r="V183" s="8">
        <v>51.983395554146497</v>
      </c>
      <c r="W183" s="103">
        <f t="shared" si="21"/>
        <v>1.7900179000989169E-3</v>
      </c>
      <c r="X183" s="8">
        <v>-3.1625618000000001E-2</v>
      </c>
      <c r="Y183" s="104">
        <f t="shared" si="19"/>
        <v>-1.959577149099441E-2</v>
      </c>
      <c r="Z183" s="8">
        <v>62.998679294286902</v>
      </c>
      <c r="AA183" s="100">
        <f t="shared" si="22"/>
        <v>1.7900179000989169E-3</v>
      </c>
      <c r="AB183" s="8">
        <v>-1.8370892E-2</v>
      </c>
      <c r="AC183" s="98">
        <f t="shared" si="23"/>
        <v>-1.1380637840434539E-2</v>
      </c>
    </row>
    <row r="184" spans="14:29" x14ac:dyDescent="0.45">
      <c r="N184" s="8">
        <v>72.887104137927395</v>
      </c>
      <c r="O184" s="105">
        <f t="shared" si="16"/>
        <v>1.8000180001962462E-3</v>
      </c>
      <c r="P184" s="82">
        <v>-2.5483183999999999E-2</v>
      </c>
      <c r="Q184" s="82">
        <f t="shared" si="17"/>
        <v>-1.7072239898789754E-2</v>
      </c>
      <c r="R184" s="8">
        <v>24.033263359738601</v>
      </c>
      <c r="S184" s="102">
        <f t="shared" si="20"/>
        <v>1.800018000199799E-3</v>
      </c>
      <c r="T184" s="8">
        <v>-2.3220181999999999E-2</v>
      </c>
      <c r="U184" s="101">
        <f t="shared" si="18"/>
        <v>-1.5674983723088117E-2</v>
      </c>
      <c r="V184" s="8">
        <v>51.983405554246502</v>
      </c>
      <c r="W184" s="103">
        <f t="shared" si="21"/>
        <v>1.8000180001038757E-3</v>
      </c>
      <c r="X184" s="8">
        <v>-3.0655760000000001E-2</v>
      </c>
      <c r="Y184" s="104">
        <f t="shared" si="19"/>
        <v>-1.8994830957699129E-2</v>
      </c>
      <c r="Z184" s="8">
        <v>62.998689294386899</v>
      </c>
      <c r="AA184" s="100">
        <f t="shared" si="22"/>
        <v>1.8000180000967703E-3</v>
      </c>
      <c r="AB184" s="8">
        <v>-2.4513325999999998E-2</v>
      </c>
      <c r="AC184" s="98">
        <f t="shared" si="23"/>
        <v>-1.5185832319438153E-2</v>
      </c>
    </row>
    <row r="185" spans="14:29" x14ac:dyDescent="0.45">
      <c r="N185" s="8">
        <v>72.8871141380274</v>
      </c>
      <c r="O185" s="105">
        <f t="shared" si="16"/>
        <v>1.810018100201205E-3</v>
      </c>
      <c r="P185" s="82">
        <v>-1.610789E-2</v>
      </c>
      <c r="Q185" s="82">
        <f t="shared" si="17"/>
        <v>-1.079134233553062E-2</v>
      </c>
      <c r="R185" s="8">
        <v>24.033273359838599</v>
      </c>
      <c r="S185" s="102">
        <f t="shared" si="20"/>
        <v>1.8100181001976523E-3</v>
      </c>
      <c r="T185" s="8">
        <v>-2.3543468000000001E-2</v>
      </c>
      <c r="U185" s="101">
        <f t="shared" si="18"/>
        <v>-1.5893220720020456E-2</v>
      </c>
      <c r="V185" s="8">
        <v>51.9834155543465</v>
      </c>
      <c r="W185" s="103">
        <f t="shared" si="21"/>
        <v>1.810018100101729E-3</v>
      </c>
      <c r="X185" s="8">
        <v>-2.3866754E-2</v>
      </c>
      <c r="Y185" s="104">
        <f t="shared" si="19"/>
        <v>-1.4788247224632158E-2</v>
      </c>
      <c r="Z185" s="8">
        <v>62.998699294486997</v>
      </c>
      <c r="AA185" s="100">
        <f t="shared" si="22"/>
        <v>1.8100181001940996E-3</v>
      </c>
      <c r="AB185" s="8">
        <v>-2.7746185999999999E-2</v>
      </c>
      <c r="AC185" s="98">
        <f t="shared" si="23"/>
        <v>-1.7188566255755846E-2</v>
      </c>
    </row>
    <row r="186" spans="14:29" x14ac:dyDescent="0.45">
      <c r="N186" s="8">
        <v>72.887124138127405</v>
      </c>
      <c r="O186" s="105">
        <f t="shared" si="16"/>
        <v>1.8200182002061638E-3</v>
      </c>
      <c r="P186" s="82">
        <v>1.2017992E-2</v>
      </c>
      <c r="Q186" s="82">
        <f t="shared" si="17"/>
        <v>8.0513503542467887E-3</v>
      </c>
      <c r="R186" s="8">
        <v>24.033283359938601</v>
      </c>
      <c r="S186" s="102">
        <f t="shared" si="20"/>
        <v>1.8200182001990584E-3</v>
      </c>
      <c r="T186" s="8">
        <v>-2.1603752E-2</v>
      </c>
      <c r="U186" s="101">
        <f t="shared" si="18"/>
        <v>-1.4583798738426442E-2</v>
      </c>
      <c r="V186" s="8">
        <v>51.983425554446498</v>
      </c>
      <c r="W186" s="103">
        <f t="shared" si="21"/>
        <v>1.8200182000995824E-3</v>
      </c>
      <c r="X186" s="8">
        <v>-3.5505050000000003E-2</v>
      </c>
      <c r="Y186" s="104">
        <f t="shared" si="19"/>
        <v>-2.1999533624175539E-2</v>
      </c>
      <c r="Z186" s="8">
        <v>62.998709294586902</v>
      </c>
      <c r="AA186" s="100">
        <f t="shared" si="22"/>
        <v>1.8200182000995824E-3</v>
      </c>
      <c r="AB186" s="8">
        <v>1.349554E-3</v>
      </c>
      <c r="AC186" s="98">
        <f t="shared" si="23"/>
        <v>8.3603917110338418E-4</v>
      </c>
    </row>
    <row r="187" spans="14:29" x14ac:dyDescent="0.45">
      <c r="N187" s="8">
        <v>72.887134138227395</v>
      </c>
      <c r="O187" s="105">
        <f t="shared" si="16"/>
        <v>1.8300183001969117E-3</v>
      </c>
      <c r="P187" s="82">
        <v>8.8313487999999996E-2</v>
      </c>
      <c r="Q187" s="82">
        <f t="shared" si="17"/>
        <v>5.9164861558700446E-2</v>
      </c>
      <c r="R187" s="8">
        <v>24.033293360038599</v>
      </c>
      <c r="S187" s="102">
        <f t="shared" si="20"/>
        <v>1.8300183001969117E-3</v>
      </c>
      <c r="T187" s="8">
        <v>-1.7077748E-2</v>
      </c>
      <c r="U187" s="101">
        <f t="shared" si="18"/>
        <v>-1.1528480781373749E-2</v>
      </c>
      <c r="V187" s="8">
        <v>51.983435554546503</v>
      </c>
      <c r="W187" s="103">
        <f t="shared" si="21"/>
        <v>1.8300183001045411E-3</v>
      </c>
      <c r="X187" s="8">
        <v>-3.3888620000000001E-2</v>
      </c>
      <c r="Y187" s="104">
        <f t="shared" si="19"/>
        <v>-2.0997966068683403E-2</v>
      </c>
      <c r="Z187" s="8">
        <v>62.9987192946869</v>
      </c>
      <c r="AA187" s="100">
        <f t="shared" si="22"/>
        <v>1.8300183000974357E-3</v>
      </c>
      <c r="AB187" s="8">
        <v>4.0467160000000002E-2</v>
      </c>
      <c r="AC187" s="98">
        <f t="shared" si="23"/>
        <v>2.5069119800547462E-2</v>
      </c>
    </row>
    <row r="188" spans="14:29" x14ac:dyDescent="0.45">
      <c r="N188" s="8">
        <v>72.8871441383274</v>
      </c>
      <c r="O188" s="105">
        <f t="shared" si="16"/>
        <v>1.8400184002018705E-3</v>
      </c>
      <c r="P188" s="82">
        <v>0.192734866</v>
      </c>
      <c r="Q188" s="82">
        <f t="shared" si="17"/>
        <v>0.12912106545293153</v>
      </c>
      <c r="R188" s="8">
        <v>24.0333033601386</v>
      </c>
      <c r="S188" s="102">
        <f t="shared" si="20"/>
        <v>1.8400184001983177E-3</v>
      </c>
      <c r="T188" s="8">
        <v>1.349554E-3</v>
      </c>
      <c r="U188" s="101">
        <f t="shared" si="18"/>
        <v>9.1102804376935818E-4</v>
      </c>
      <c r="V188" s="8">
        <v>51.983445554646501</v>
      </c>
      <c r="W188" s="103">
        <f t="shared" si="21"/>
        <v>1.8400184001023945E-3</v>
      </c>
      <c r="X188" s="8">
        <v>-3.1302332000000002E-2</v>
      </c>
      <c r="Y188" s="104">
        <f t="shared" si="19"/>
        <v>-1.9395457979895985E-2</v>
      </c>
      <c r="Z188" s="8">
        <v>62.998729294786997</v>
      </c>
      <c r="AA188" s="100">
        <f t="shared" si="22"/>
        <v>1.840018400194765E-3</v>
      </c>
      <c r="AB188" s="8">
        <v>0.136806388</v>
      </c>
      <c r="AC188" s="98">
        <f t="shared" si="23"/>
        <v>8.4750591102814687E-2</v>
      </c>
    </row>
    <row r="189" spans="14:29" x14ac:dyDescent="0.45">
      <c r="N189" s="8">
        <v>72.887154138427405</v>
      </c>
      <c r="O189" s="105">
        <f t="shared" si="16"/>
        <v>1.8500185002068292E-3</v>
      </c>
      <c r="P189" s="82">
        <v>0.24898662999999999</v>
      </c>
      <c r="Q189" s="82">
        <f t="shared" si="17"/>
        <v>0.16680645083248632</v>
      </c>
      <c r="R189" s="8">
        <v>24.033313360238601</v>
      </c>
      <c r="S189" s="102">
        <f t="shared" si="20"/>
        <v>1.8500185001997238E-3</v>
      </c>
      <c r="T189" s="8">
        <v>4.7256166000000002E-2</v>
      </c>
      <c r="U189" s="101">
        <f t="shared" si="18"/>
        <v>3.1900681608160959E-2</v>
      </c>
      <c r="V189" s="8">
        <v>51.983455554746598</v>
      </c>
      <c r="W189" s="103">
        <f t="shared" si="21"/>
        <v>1.8500185001997238E-3</v>
      </c>
      <c r="X189" s="8">
        <v>1.137142E-2</v>
      </c>
      <c r="Y189" s="104">
        <f t="shared" si="19"/>
        <v>7.0459254850964072E-3</v>
      </c>
      <c r="Z189" s="8">
        <v>62.998739294886903</v>
      </c>
      <c r="AA189" s="100">
        <f t="shared" si="22"/>
        <v>1.8500185001002478E-3</v>
      </c>
      <c r="AB189" s="8">
        <v>0.19176500799999999</v>
      </c>
      <c r="AC189" s="98">
        <f t="shared" si="23"/>
        <v>0.11879706802021545</v>
      </c>
    </row>
    <row r="190" spans="14:29" x14ac:dyDescent="0.45">
      <c r="N190" s="8">
        <v>72.887164138527396</v>
      </c>
      <c r="O190" s="105">
        <f t="shared" si="16"/>
        <v>1.8600186001975771E-3</v>
      </c>
      <c r="P190" s="99">
        <v>0.335303992</v>
      </c>
      <c r="Q190" s="82">
        <f t="shared" si="17"/>
        <v>0.22463402494938942</v>
      </c>
      <c r="R190" s="8">
        <v>24.033323360338599</v>
      </c>
      <c r="S190" s="102">
        <f t="shared" si="20"/>
        <v>1.8600186001975771E-3</v>
      </c>
      <c r="T190" s="64">
        <v>0.121611946</v>
      </c>
      <c r="U190" s="101">
        <f t="shared" si="18"/>
        <v>8.209519090259805E-2</v>
      </c>
      <c r="V190" s="8">
        <v>51.983465554846497</v>
      </c>
      <c r="W190" s="103">
        <f t="shared" si="21"/>
        <v>1.8600186000981012E-3</v>
      </c>
      <c r="X190" s="64">
        <v>0.17075141799999999</v>
      </c>
      <c r="Y190" s="104">
        <f t="shared" si="19"/>
        <v>0.105800486456621</v>
      </c>
      <c r="Z190" s="8">
        <v>62.998749294987</v>
      </c>
      <c r="AA190" s="100">
        <f t="shared" si="22"/>
        <v>1.8600186001975771E-3</v>
      </c>
      <c r="AB190" s="64">
        <v>0.26385778599999998</v>
      </c>
      <c r="AC190" s="98">
        <f t="shared" si="23"/>
        <v>0.16345803480009999</v>
      </c>
    </row>
    <row r="191" spans="14:29" x14ac:dyDescent="0.45">
      <c r="N191" s="8">
        <v>72.887174138627401</v>
      </c>
      <c r="O191" s="105">
        <f t="shared" si="16"/>
        <v>1.8700187002025359E-3</v>
      </c>
      <c r="P191" s="82">
        <v>0.45653624199999998</v>
      </c>
      <c r="Q191" s="82">
        <f t="shared" si="17"/>
        <v>0.3058525279225679</v>
      </c>
      <c r="R191" s="8">
        <v>24.033333360438601</v>
      </c>
      <c r="S191" s="102">
        <f t="shared" si="20"/>
        <v>1.8700187001989832E-3</v>
      </c>
      <c r="T191" s="8">
        <v>0.17624728000000001</v>
      </c>
      <c r="U191" s="101">
        <f t="shared" si="18"/>
        <v>0.11897724338416271</v>
      </c>
      <c r="V191" s="8">
        <v>51.983475554946502</v>
      </c>
      <c r="W191" s="103">
        <f t="shared" si="21"/>
        <v>1.8700187001030599E-3</v>
      </c>
      <c r="X191" s="8">
        <v>0.273556366</v>
      </c>
      <c r="Y191" s="104">
        <f t="shared" si="19"/>
        <v>0.16950018298592084</v>
      </c>
      <c r="Z191" s="8">
        <v>62.998759295086998</v>
      </c>
      <c r="AA191" s="100">
        <f t="shared" si="22"/>
        <v>1.8700187001954305E-3</v>
      </c>
      <c r="AB191" s="8">
        <v>0.32463555399999999</v>
      </c>
      <c r="AC191" s="98">
        <f t="shared" si="23"/>
        <v>0.20110943280287261</v>
      </c>
    </row>
    <row r="192" spans="14:29" x14ac:dyDescent="0.45">
      <c r="N192" s="8">
        <v>72.887184138727406</v>
      </c>
      <c r="O192" s="105">
        <f t="shared" si="16"/>
        <v>1.8800188002074947E-3</v>
      </c>
      <c r="P192" s="82">
        <v>0.57615206200000002</v>
      </c>
      <c r="Q192" s="82">
        <f t="shared" si="17"/>
        <v>0.38598811752277068</v>
      </c>
      <c r="R192" s="8">
        <v>24.033343360538598</v>
      </c>
      <c r="S192" s="102">
        <f t="shared" si="20"/>
        <v>1.8800188001968365E-3</v>
      </c>
      <c r="T192" s="8">
        <v>0.249956488</v>
      </c>
      <c r="U192" s="101">
        <f t="shared" si="18"/>
        <v>0.16873527868473515</v>
      </c>
      <c r="V192" s="8">
        <v>51.983485555046599</v>
      </c>
      <c r="W192" s="103">
        <f t="shared" si="21"/>
        <v>1.8800188002003893E-3</v>
      </c>
      <c r="X192" s="8">
        <v>0.273556366</v>
      </c>
      <c r="Y192" s="104">
        <f t="shared" si="19"/>
        <v>0.16950018298592084</v>
      </c>
      <c r="Z192" s="8">
        <v>62.998769295187003</v>
      </c>
      <c r="AA192" s="100">
        <f t="shared" si="22"/>
        <v>1.8800188002003893E-3</v>
      </c>
      <c r="AB192" s="8">
        <v>0.407720056</v>
      </c>
      <c r="AC192" s="98">
        <f t="shared" si="23"/>
        <v>0.25257969496623728</v>
      </c>
    </row>
    <row r="193" spans="14:29" x14ac:dyDescent="0.45">
      <c r="N193" s="8">
        <v>72.887194138827397</v>
      </c>
      <c r="O193" s="105">
        <f t="shared" si="16"/>
        <v>1.8900189001982426E-3</v>
      </c>
      <c r="P193" s="82">
        <v>0.61494638199999996</v>
      </c>
      <c r="Q193" s="82">
        <f t="shared" si="17"/>
        <v>0.41197803847418779</v>
      </c>
      <c r="R193" s="8">
        <v>24.0333533606386</v>
      </c>
      <c r="S193" s="102">
        <f t="shared" si="20"/>
        <v>1.8900189001982426E-3</v>
      </c>
      <c r="T193" s="8">
        <v>0.34079985400000001</v>
      </c>
      <c r="U193" s="101">
        <f t="shared" si="18"/>
        <v>0.23005987482272133</v>
      </c>
      <c r="V193" s="8">
        <v>51.983495555146597</v>
      </c>
      <c r="W193" s="103">
        <f t="shared" si="21"/>
        <v>1.8900189001982426E-3</v>
      </c>
      <c r="X193" s="8">
        <v>0.32237255199999998</v>
      </c>
      <c r="Y193" s="104">
        <f t="shared" si="19"/>
        <v>0.19974752316178335</v>
      </c>
      <c r="Z193" s="8">
        <v>62.998779295287001</v>
      </c>
      <c r="AA193" s="100">
        <f t="shared" si="22"/>
        <v>1.8900189001982426E-3</v>
      </c>
      <c r="AB193" s="8">
        <v>0.56031104799999998</v>
      </c>
      <c r="AC193" s="98">
        <f t="shared" si="23"/>
        <v>0.34710873676043236</v>
      </c>
    </row>
    <row r="194" spans="14:29" x14ac:dyDescent="0.45">
      <c r="N194" s="8">
        <v>72.887204138927402</v>
      </c>
      <c r="O194" s="105">
        <f t="shared" si="16"/>
        <v>1.9000190002032014E-3</v>
      </c>
      <c r="P194" s="82">
        <v>0.62626139199999997</v>
      </c>
      <c r="Q194" s="82">
        <f t="shared" si="17"/>
        <v>0.41955843208501775</v>
      </c>
      <c r="R194" s="8">
        <v>24.033363360738601</v>
      </c>
      <c r="S194" s="102">
        <f t="shared" si="20"/>
        <v>1.9000190001996486E-3</v>
      </c>
      <c r="T194" s="8">
        <v>0.44360480200000002</v>
      </c>
      <c r="U194" s="101">
        <f t="shared" si="18"/>
        <v>0.29945923984720396</v>
      </c>
      <c r="V194" s="8">
        <v>51.983505555246602</v>
      </c>
      <c r="W194" s="103">
        <f t="shared" si="21"/>
        <v>1.9000190002032014E-3</v>
      </c>
      <c r="X194" s="8">
        <v>0.35049843400000003</v>
      </c>
      <c r="Y194" s="104">
        <f t="shared" si="19"/>
        <v>0.21717479862734654</v>
      </c>
      <c r="Z194" s="8">
        <v>62.998789295386999</v>
      </c>
      <c r="AA194" s="100">
        <f t="shared" si="22"/>
        <v>1.9000190001960959E-3</v>
      </c>
      <c r="AB194" s="8">
        <v>0.68315972800000002</v>
      </c>
      <c r="AC194" s="98">
        <f t="shared" si="23"/>
        <v>0.42321262634050466</v>
      </c>
    </row>
    <row r="195" spans="14:29" x14ac:dyDescent="0.45">
      <c r="N195" s="8">
        <v>72.887214139027407</v>
      </c>
      <c r="O195" s="105">
        <f t="shared" si="16"/>
        <v>1.9100191002081601E-3</v>
      </c>
      <c r="P195" s="82">
        <v>0.55449190000000004</v>
      </c>
      <c r="Q195" s="82">
        <f t="shared" si="17"/>
        <v>0.37147707832489613</v>
      </c>
      <c r="R195" s="8">
        <v>24.033373360838599</v>
      </c>
      <c r="S195" s="102">
        <f t="shared" si="20"/>
        <v>1.910019100197502E-3</v>
      </c>
      <c r="T195" s="8">
        <v>0.52151672800000004</v>
      </c>
      <c r="U195" s="101">
        <f t="shared" si="18"/>
        <v>0.35205435610789676</v>
      </c>
      <c r="V195" s="8">
        <v>51.9835155553466</v>
      </c>
      <c r="W195" s="103">
        <f t="shared" si="21"/>
        <v>1.9100191002010547E-3</v>
      </c>
      <c r="X195" s="8">
        <v>0.53962074400000004</v>
      </c>
      <c r="Y195" s="104">
        <f t="shared" si="19"/>
        <v>0.33435820261992649</v>
      </c>
      <c r="Z195" s="8">
        <v>62.998799295486997</v>
      </c>
      <c r="AA195" s="100">
        <f t="shared" si="22"/>
        <v>1.9100191001939493E-3</v>
      </c>
      <c r="AB195" s="8">
        <v>0.63434354199999998</v>
      </c>
      <c r="AC195" s="98">
        <f t="shared" si="23"/>
        <v>0.39297134390210753</v>
      </c>
    </row>
    <row r="196" spans="14:29" x14ac:dyDescent="0.45">
      <c r="N196" s="8">
        <v>72.887224139127397</v>
      </c>
      <c r="O196" s="105">
        <f t="shared" ref="O196:O234" si="24">N196-$N$4</f>
        <v>1.920019200198908E-3</v>
      </c>
      <c r="P196" s="82">
        <v>0.3928489</v>
      </c>
      <c r="Q196" s="82">
        <f t="shared" ref="Q196:Q259" si="25">P196/$Q$2</f>
        <v>0.26318574102732478</v>
      </c>
      <c r="R196" s="8">
        <v>24.033383360938601</v>
      </c>
      <c r="S196" s="102">
        <f t="shared" si="20"/>
        <v>1.920019200198908E-3</v>
      </c>
      <c r="T196" s="8">
        <v>0.55416861399999995</v>
      </c>
      <c r="U196" s="101">
        <f t="shared" ref="U196:U259" si="26">T196/$U$2</f>
        <v>0.37409629279806256</v>
      </c>
      <c r="V196" s="8">
        <v>51.983525555446597</v>
      </c>
      <c r="W196" s="103">
        <f t="shared" si="21"/>
        <v>1.920019200198908E-3</v>
      </c>
      <c r="X196" s="8">
        <v>0.70417331800000005</v>
      </c>
      <c r="Y196" s="104">
        <f t="shared" ref="Y196:Y259" si="27">X196/$Y$2</f>
        <v>0.43631777976902592</v>
      </c>
      <c r="Z196" s="8">
        <v>62.998809295587002</v>
      </c>
      <c r="AA196" s="100">
        <f t="shared" si="22"/>
        <v>1.920019200198908E-3</v>
      </c>
      <c r="AB196" s="8">
        <v>0.57065619999999995</v>
      </c>
      <c r="AC196" s="98">
        <f t="shared" si="23"/>
        <v>0.35351748535664895</v>
      </c>
    </row>
    <row r="197" spans="14:29" x14ac:dyDescent="0.45">
      <c r="N197" s="8">
        <v>72.887234139227402</v>
      </c>
      <c r="O197" s="105">
        <f t="shared" si="24"/>
        <v>1.9300193002038668E-3</v>
      </c>
      <c r="P197" s="82">
        <v>0.26385778599999998</v>
      </c>
      <c r="Q197" s="82">
        <f t="shared" si="25"/>
        <v>0.17676925386386289</v>
      </c>
      <c r="R197" s="8">
        <v>24.033393361038598</v>
      </c>
      <c r="S197" s="102">
        <f t="shared" ref="S197:S234" si="28">R197-$R$4</f>
        <v>1.9300193001967614E-3</v>
      </c>
      <c r="T197" s="8">
        <v>0.55643161600000002</v>
      </c>
      <c r="U197" s="101">
        <f t="shared" si="26"/>
        <v>0.37562395177658892</v>
      </c>
      <c r="V197" s="8">
        <v>51.983535555546602</v>
      </c>
      <c r="W197" s="103">
        <f t="shared" ref="W197:W234" si="29">V197-$V$4</f>
        <v>1.9300193002038668E-3</v>
      </c>
      <c r="X197" s="8">
        <v>0.63757640199999999</v>
      </c>
      <c r="Y197" s="104">
        <f t="shared" si="27"/>
        <v>0.39505319648274989</v>
      </c>
      <c r="Z197" s="8">
        <v>62.998819295686999</v>
      </c>
      <c r="AA197" s="100">
        <f t="shared" ref="AA197:AA234" si="30">Z197-$Z$4</f>
        <v>1.9300193001967614E-3</v>
      </c>
      <c r="AB197" s="8">
        <v>0.40416391000000002</v>
      </c>
      <c r="AC197" s="98">
        <f t="shared" ref="AC197:AC260" si="31">AB197/$AD$2</f>
        <v>0.25037668763628784</v>
      </c>
    </row>
    <row r="198" spans="14:29" x14ac:dyDescent="0.45">
      <c r="N198" s="8">
        <v>72.887244139327393</v>
      </c>
      <c r="O198" s="105">
        <f t="shared" si="24"/>
        <v>1.9400194001946147E-3</v>
      </c>
      <c r="P198" s="82">
        <v>0.14553511</v>
      </c>
      <c r="Q198" s="82">
        <f t="shared" si="25"/>
        <v>9.749999496204069E-2</v>
      </c>
      <c r="R198" s="8">
        <v>24.0334033611386</v>
      </c>
      <c r="S198" s="102">
        <f t="shared" si="28"/>
        <v>1.9400194001981674E-3</v>
      </c>
      <c r="T198" s="8">
        <v>0.47302382799999998</v>
      </c>
      <c r="U198" s="101">
        <f t="shared" si="26"/>
        <v>0.3193188065680464</v>
      </c>
      <c r="V198" s="8">
        <v>51.9835455556466</v>
      </c>
      <c r="W198" s="103">
        <f t="shared" si="29"/>
        <v>1.9400194002017201E-3</v>
      </c>
      <c r="X198" s="8">
        <v>0.58488078399999999</v>
      </c>
      <c r="Y198" s="104">
        <f t="shared" si="27"/>
        <v>0.36240209417370622</v>
      </c>
      <c r="Z198" s="8">
        <v>62.998829295786997</v>
      </c>
      <c r="AA198" s="100">
        <f t="shared" si="30"/>
        <v>1.9400194001946147E-3</v>
      </c>
      <c r="AB198" s="8">
        <v>0.21407174200000001</v>
      </c>
      <c r="AC198" s="98">
        <f t="shared" si="31"/>
        <v>0.13261593218080753</v>
      </c>
    </row>
    <row r="199" spans="14:29" x14ac:dyDescent="0.45">
      <c r="N199" s="8">
        <v>72.887254139427398</v>
      </c>
      <c r="O199" s="105">
        <f t="shared" si="24"/>
        <v>1.9500195001995735E-3</v>
      </c>
      <c r="P199" s="99">
        <v>4.3053448000000001E-2</v>
      </c>
      <c r="Q199" s="82">
        <f t="shared" si="25"/>
        <v>2.8843287115380482E-2</v>
      </c>
      <c r="R199" s="8">
        <v>24.033413361238601</v>
      </c>
      <c r="S199" s="102">
        <f t="shared" si="28"/>
        <v>1.9500195001995735E-3</v>
      </c>
      <c r="T199" s="64">
        <v>0.34629571599999998</v>
      </c>
      <c r="U199" s="101">
        <f t="shared" si="26"/>
        <v>0.23376990377057102</v>
      </c>
      <c r="V199" s="8">
        <v>51.983555555746598</v>
      </c>
      <c r="W199" s="103">
        <f t="shared" si="29"/>
        <v>1.9500195001995735E-3</v>
      </c>
      <c r="X199" s="64">
        <v>0.42291449800000003</v>
      </c>
      <c r="Y199" s="104">
        <f t="shared" si="27"/>
        <v>0.26204502511339423</v>
      </c>
      <c r="Z199" s="8">
        <v>62.998839295887002</v>
      </c>
      <c r="AA199" s="100">
        <f t="shared" si="30"/>
        <v>1.9500195001995735E-3</v>
      </c>
      <c r="AB199" s="64">
        <v>8.1524481999999995E-2</v>
      </c>
      <c r="AC199" s="98">
        <f t="shared" si="31"/>
        <v>5.0503840791782148E-2</v>
      </c>
    </row>
    <row r="200" spans="14:29" x14ac:dyDescent="0.45">
      <c r="N200" s="8">
        <v>72.887264139527403</v>
      </c>
      <c r="O200" s="105">
        <f t="shared" si="24"/>
        <v>1.9600196002045323E-3</v>
      </c>
      <c r="P200" s="82">
        <v>2.0100142000000001E-2</v>
      </c>
      <c r="Q200" s="82">
        <f t="shared" si="25"/>
        <v>1.3465917219125356E-2</v>
      </c>
      <c r="R200" s="8">
        <v>24.033423361338599</v>
      </c>
      <c r="S200" s="102">
        <f t="shared" si="28"/>
        <v>1.9600196001974268E-3</v>
      </c>
      <c r="T200" s="8">
        <v>0.222800464</v>
      </c>
      <c r="U200" s="101">
        <f t="shared" si="26"/>
        <v>0.15040337094241898</v>
      </c>
      <c r="V200" s="8">
        <v>51.983565555846603</v>
      </c>
      <c r="W200" s="103">
        <f t="shared" si="29"/>
        <v>1.9600196002045323E-3</v>
      </c>
      <c r="X200" s="8">
        <v>0.26482764399999997</v>
      </c>
      <c r="Y200" s="104">
        <f t="shared" si="27"/>
        <v>0.16409171818626331</v>
      </c>
      <c r="Z200" s="8">
        <v>62.998849295987</v>
      </c>
      <c r="AA200" s="100">
        <f t="shared" si="30"/>
        <v>1.9600196001974268E-3</v>
      </c>
      <c r="AB200" s="8">
        <v>7.4919879999999998E-3</v>
      </c>
      <c r="AC200" s="98">
        <f t="shared" si="31"/>
        <v>4.6412336501069993E-3</v>
      </c>
    </row>
    <row r="201" spans="14:29" x14ac:dyDescent="0.45">
      <c r="N201" s="8">
        <v>72.887274139627394</v>
      </c>
      <c r="O201" s="105">
        <f t="shared" si="24"/>
        <v>1.9700197001952802E-3</v>
      </c>
      <c r="P201" s="82">
        <v>3.5294583999999997E-2</v>
      </c>
      <c r="Q201" s="82">
        <f t="shared" si="25"/>
        <v>2.3645302925097055E-2</v>
      </c>
      <c r="R201" s="8">
        <v>24.0334333614386</v>
      </c>
      <c r="S201" s="102">
        <f t="shared" si="28"/>
        <v>1.9700197001988329E-3</v>
      </c>
      <c r="T201" s="8">
        <v>9.8335354E-2</v>
      </c>
      <c r="U201" s="101">
        <f t="shared" si="26"/>
        <v>6.6382127123469928E-2</v>
      </c>
      <c r="V201" s="8">
        <v>51.983575555946601</v>
      </c>
      <c r="W201" s="103">
        <f t="shared" si="29"/>
        <v>1.9700197002023856E-3</v>
      </c>
      <c r="X201" s="8">
        <v>0.14909125600000001</v>
      </c>
      <c r="Y201" s="104">
        <f t="shared" si="27"/>
        <v>9.2379481213026388E-2</v>
      </c>
      <c r="Z201" s="8">
        <v>62.998859296086998</v>
      </c>
      <c r="AA201" s="100">
        <f t="shared" si="30"/>
        <v>1.9700197001952802E-3</v>
      </c>
      <c r="AB201" s="8">
        <v>5.2289859999999997E-3</v>
      </c>
      <c r="AC201" s="98">
        <f t="shared" si="31"/>
        <v>3.2393198946846146E-3</v>
      </c>
    </row>
    <row r="202" spans="14:29" x14ac:dyDescent="0.45">
      <c r="N202" s="8">
        <v>72.887284139727399</v>
      </c>
      <c r="O202" s="105">
        <f t="shared" si="24"/>
        <v>1.9800198002002389E-3</v>
      </c>
      <c r="P202" s="82">
        <v>3.9497301999999998E-2</v>
      </c>
      <c r="Q202" s="82">
        <f t="shared" si="25"/>
        <v>2.646087769483391E-2</v>
      </c>
      <c r="R202" s="8">
        <v>24.033443361538598</v>
      </c>
      <c r="S202" s="102">
        <f t="shared" si="28"/>
        <v>1.9800198001966862E-3</v>
      </c>
      <c r="T202" s="8">
        <v>2.4626146000000002E-2</v>
      </c>
      <c r="U202" s="101">
        <f t="shared" si="26"/>
        <v>1.6624091822897494E-2</v>
      </c>
      <c r="V202" s="8">
        <v>51.983585556046599</v>
      </c>
      <c r="W202" s="103">
        <f t="shared" si="29"/>
        <v>1.9800198002002389E-3</v>
      </c>
      <c r="X202" s="8">
        <v>3.3031581999999997E-2</v>
      </c>
      <c r="Y202" s="104">
        <f t="shared" si="27"/>
        <v>2.0466930728691025E-2</v>
      </c>
      <c r="Z202" s="8">
        <v>62.998869296187003</v>
      </c>
      <c r="AA202" s="100">
        <f t="shared" si="30"/>
        <v>1.9800198002002389E-3</v>
      </c>
      <c r="AB202" s="8">
        <v>-2.2896896E-2</v>
      </c>
      <c r="AC202" s="98">
        <f t="shared" si="31"/>
        <v>-1.4184465351279308E-2</v>
      </c>
    </row>
    <row r="203" spans="14:29" x14ac:dyDescent="0.45">
      <c r="N203" s="8">
        <v>72.887294139827404</v>
      </c>
      <c r="O203" s="105">
        <f t="shared" si="24"/>
        <v>1.9900199002051977E-3</v>
      </c>
      <c r="P203" s="82">
        <v>4.5316450000000001E-2</v>
      </c>
      <c r="Q203" s="82">
        <f t="shared" si="25"/>
        <v>3.0359365837546479E-2</v>
      </c>
      <c r="R203" s="8">
        <v>24.0334533616386</v>
      </c>
      <c r="S203" s="102">
        <f t="shared" si="28"/>
        <v>1.9900199001980923E-3</v>
      </c>
      <c r="T203" s="8">
        <v>1.4604280000000001E-2</v>
      </c>
      <c r="U203" s="101">
        <f t="shared" si="26"/>
        <v>9.8587449179951027E-3</v>
      </c>
      <c r="V203" s="8">
        <v>51.983595556146597</v>
      </c>
      <c r="W203" s="103">
        <f t="shared" si="29"/>
        <v>1.9900199001980923E-3</v>
      </c>
      <c r="X203" s="8">
        <v>4.1437017999999999E-2</v>
      </c>
      <c r="Y203" s="104">
        <f t="shared" si="27"/>
        <v>2.5675082017250134E-2</v>
      </c>
      <c r="Z203" s="8">
        <v>62.998879296287001</v>
      </c>
      <c r="AA203" s="100">
        <f t="shared" si="30"/>
        <v>1.9900199001980923E-3</v>
      </c>
      <c r="AB203" s="8">
        <v>-2.6776327999999999E-2</v>
      </c>
      <c r="AC203" s="98">
        <f t="shared" si="31"/>
        <v>-1.6587746074860538E-2</v>
      </c>
    </row>
    <row r="204" spans="14:29" x14ac:dyDescent="0.45">
      <c r="N204" s="8">
        <v>72.887304139927394</v>
      </c>
      <c r="O204" s="105">
        <f t="shared" si="24"/>
        <v>2.0000200001959456E-3</v>
      </c>
      <c r="P204" s="82">
        <v>0.107387362</v>
      </c>
      <c r="Q204" s="82">
        <f t="shared" si="25"/>
        <v>7.1943239359813865E-2</v>
      </c>
      <c r="R204" s="8">
        <v>24.033463361738601</v>
      </c>
      <c r="S204" s="102">
        <f t="shared" si="28"/>
        <v>2.0000200001994983E-3</v>
      </c>
      <c r="T204" s="8">
        <v>1.3634422E-2</v>
      </c>
      <c r="U204" s="101">
        <f t="shared" si="26"/>
        <v>9.2040339271980964E-3</v>
      </c>
      <c r="V204" s="8">
        <v>51.983605556246602</v>
      </c>
      <c r="W204" s="103">
        <f t="shared" si="29"/>
        <v>2.000020000203051E-3</v>
      </c>
      <c r="X204" s="8">
        <v>4.1760303999999998E-2</v>
      </c>
      <c r="Y204" s="104">
        <f t="shared" si="27"/>
        <v>2.5875395528348562E-2</v>
      </c>
      <c r="Z204" s="8">
        <v>62.998889296386999</v>
      </c>
      <c r="AA204" s="100">
        <f t="shared" si="30"/>
        <v>2.0000200001959456E-3</v>
      </c>
      <c r="AB204" s="8">
        <v>-2.3866754E-2</v>
      </c>
      <c r="AC204" s="98">
        <f t="shared" si="31"/>
        <v>-1.4785285532174616E-2</v>
      </c>
    </row>
    <row r="205" spans="14:29" x14ac:dyDescent="0.45">
      <c r="N205" s="8">
        <v>72.887314140027399</v>
      </c>
      <c r="O205" s="105">
        <f t="shared" si="24"/>
        <v>2.0100201002009044E-3</v>
      </c>
      <c r="P205" s="82">
        <v>0.121611946</v>
      </c>
      <c r="Q205" s="82">
        <f t="shared" si="25"/>
        <v>8.1472877042000139E-2</v>
      </c>
      <c r="R205" s="8">
        <v>24.033473361838599</v>
      </c>
      <c r="S205" s="102">
        <f t="shared" si="28"/>
        <v>2.0100201001973517E-3</v>
      </c>
      <c r="T205" s="8">
        <v>2.3979574E-2</v>
      </c>
      <c r="U205" s="101">
        <f t="shared" si="26"/>
        <v>1.6187617829032823E-2</v>
      </c>
      <c r="V205" s="8">
        <v>51.983615556346599</v>
      </c>
      <c r="W205" s="103">
        <f t="shared" si="29"/>
        <v>2.0100201002009044E-3</v>
      </c>
      <c r="X205" s="8">
        <v>4.9842454000000001E-2</v>
      </c>
      <c r="Y205" s="104">
        <f t="shared" si="27"/>
        <v>3.0883233305809242E-2</v>
      </c>
      <c r="Z205" s="8">
        <v>62.998899296486996</v>
      </c>
      <c r="AA205" s="100">
        <f t="shared" si="30"/>
        <v>2.010020100193799E-3</v>
      </c>
      <c r="AB205" s="8">
        <v>4.5316450000000001E-2</v>
      </c>
      <c r="AC205" s="98">
        <f t="shared" si="31"/>
        <v>2.8073220705024E-2</v>
      </c>
    </row>
    <row r="206" spans="14:29" x14ac:dyDescent="0.45">
      <c r="N206" s="8">
        <v>72.887324140127404</v>
      </c>
      <c r="O206" s="105">
        <f t="shared" si="24"/>
        <v>2.0200202002058631E-3</v>
      </c>
      <c r="P206" s="82">
        <v>8.6050485999999995E-2</v>
      </c>
      <c r="Q206" s="82">
        <f t="shared" si="25"/>
        <v>5.7648782836534448E-2</v>
      </c>
      <c r="R206" s="8">
        <v>24.0334833619386</v>
      </c>
      <c r="S206" s="102">
        <f t="shared" si="28"/>
        <v>2.0200202001987577E-3</v>
      </c>
      <c r="T206" s="8">
        <v>4.7256166000000002E-2</v>
      </c>
      <c r="U206" s="101">
        <f t="shared" si="26"/>
        <v>3.1900681608160959E-2</v>
      </c>
      <c r="V206" s="8">
        <v>51.983625556446597</v>
      </c>
      <c r="W206" s="103">
        <f t="shared" si="29"/>
        <v>2.0200202001987577E-3</v>
      </c>
      <c r="X206" s="8">
        <v>3.3678154000000002E-2</v>
      </c>
      <c r="Y206" s="104">
        <f t="shared" si="27"/>
        <v>2.0867557750887885E-2</v>
      </c>
      <c r="Z206" s="8">
        <v>62.998909296587001</v>
      </c>
      <c r="AA206" s="100">
        <f t="shared" si="30"/>
        <v>2.0200202001987577E-3</v>
      </c>
      <c r="AB206" s="8">
        <v>0.10092164200000001</v>
      </c>
      <c r="AC206" s="98">
        <f t="shared" si="31"/>
        <v>6.2520244409688314E-2</v>
      </c>
    </row>
    <row r="207" spans="14:29" x14ac:dyDescent="0.45">
      <c r="N207" s="8">
        <v>72.887334140227395</v>
      </c>
      <c r="O207" s="105">
        <f t="shared" si="24"/>
        <v>2.0300203001966111E-3</v>
      </c>
      <c r="P207" s="82">
        <v>7.3765618000000005E-2</v>
      </c>
      <c r="Q207" s="82">
        <f t="shared" si="25"/>
        <v>4.9418641201919036E-2</v>
      </c>
      <c r="R207" s="8">
        <v>24.033493362038602</v>
      </c>
      <c r="S207" s="102">
        <f t="shared" si="28"/>
        <v>2.0300203002001638E-3</v>
      </c>
      <c r="T207" s="8">
        <v>0.11449965400000001</v>
      </c>
      <c r="U207" s="101">
        <f t="shared" si="26"/>
        <v>7.7293976970086692E-2</v>
      </c>
      <c r="V207" s="8">
        <v>51.983635556546602</v>
      </c>
      <c r="W207" s="103">
        <f t="shared" si="29"/>
        <v>2.0300203002037165E-3</v>
      </c>
      <c r="X207" s="8">
        <v>0.10350793</v>
      </c>
      <c r="Y207" s="104">
        <f t="shared" si="27"/>
        <v>6.4135276148148151E-2</v>
      </c>
      <c r="Z207" s="8">
        <v>62.998919296686999</v>
      </c>
      <c r="AA207" s="100">
        <f t="shared" si="30"/>
        <v>2.0300203001966111E-3</v>
      </c>
      <c r="AB207" s="8">
        <v>0.13131052600000001</v>
      </c>
      <c r="AC207" s="98">
        <f t="shared" si="31"/>
        <v>8.1345943411074623E-2</v>
      </c>
    </row>
    <row r="208" spans="14:29" x14ac:dyDescent="0.45">
      <c r="N208" s="8">
        <v>72.8873441403274</v>
      </c>
      <c r="O208" s="105">
        <f t="shared" si="24"/>
        <v>2.0400204002015698E-3</v>
      </c>
      <c r="P208" s="82">
        <v>5.3075313999999998E-2</v>
      </c>
      <c r="Q208" s="82">
        <f t="shared" si="25"/>
        <v>3.55573500278299E-2</v>
      </c>
      <c r="R208" s="8">
        <v>24.0335033621386</v>
      </c>
      <c r="S208" s="102">
        <f t="shared" si="28"/>
        <v>2.0400204001980171E-3</v>
      </c>
      <c r="T208" s="8">
        <v>0.11676265600000001</v>
      </c>
      <c r="U208" s="101">
        <f t="shared" si="26"/>
        <v>7.8821635948613036E-2</v>
      </c>
      <c r="V208" s="8">
        <v>51.9836455566466</v>
      </c>
      <c r="W208" s="103">
        <f t="shared" si="29"/>
        <v>2.0400204002015698E-3</v>
      </c>
      <c r="X208" s="8">
        <v>7.0856044000000007E-2</v>
      </c>
      <c r="Y208" s="104">
        <f t="shared" si="27"/>
        <v>4.3903611527207016E-2</v>
      </c>
      <c r="Z208" s="8">
        <v>62.998929296786997</v>
      </c>
      <c r="AA208" s="100">
        <f t="shared" si="30"/>
        <v>2.0400204001944644E-3</v>
      </c>
      <c r="AB208" s="8">
        <v>0.14973782799999999</v>
      </c>
      <c r="AC208" s="98">
        <f t="shared" si="31"/>
        <v>9.2761526848085446E-2</v>
      </c>
    </row>
    <row r="209" spans="14:29" x14ac:dyDescent="0.45">
      <c r="N209" s="8">
        <v>72.887354140427405</v>
      </c>
      <c r="O209" s="105">
        <f t="shared" si="24"/>
        <v>2.0500205002065286E-3</v>
      </c>
      <c r="P209" s="82">
        <v>2.9659840000000001E-3</v>
      </c>
      <c r="Q209" s="82">
        <f t="shared" si="25"/>
        <v>1.9870354655827953E-3</v>
      </c>
      <c r="R209" s="8">
        <v>24.033513362238601</v>
      </c>
      <c r="S209" s="102">
        <f t="shared" si="28"/>
        <v>2.0500205001994232E-3</v>
      </c>
      <c r="T209" s="8">
        <v>9.4132636000000006E-2</v>
      </c>
      <c r="U209" s="101">
        <f t="shared" si="26"/>
        <v>6.3545046163349564E-2</v>
      </c>
      <c r="V209" s="8">
        <v>51.983655556746598</v>
      </c>
      <c r="W209" s="103">
        <f t="shared" si="29"/>
        <v>2.0500205001994232E-3</v>
      </c>
      <c r="X209" s="8">
        <v>4.3053448000000001E-2</v>
      </c>
      <c r="Y209" s="104">
        <f t="shared" si="27"/>
        <v>2.6676649572742274E-2</v>
      </c>
      <c r="Z209" s="8">
        <v>62.998939296887002</v>
      </c>
      <c r="AA209" s="100">
        <f t="shared" si="30"/>
        <v>2.0500205001994232E-3</v>
      </c>
      <c r="AB209" s="8">
        <v>0.13615981599999999</v>
      </c>
      <c r="AC209" s="98">
        <f t="shared" si="31"/>
        <v>8.435004431555114E-2</v>
      </c>
    </row>
    <row r="210" spans="14:29" x14ac:dyDescent="0.45">
      <c r="N210" s="8">
        <v>72.887364140527396</v>
      </c>
      <c r="O210" s="105">
        <f t="shared" si="24"/>
        <v>2.0600206001972765E-3</v>
      </c>
      <c r="P210" s="82">
        <v>-1.8370892E-2</v>
      </c>
      <c r="Q210" s="82">
        <f t="shared" si="25"/>
        <v>-1.2307421057696619E-2</v>
      </c>
      <c r="R210" s="8">
        <v>24.033523362338599</v>
      </c>
      <c r="S210" s="102">
        <f t="shared" si="28"/>
        <v>2.0600206001972765E-3</v>
      </c>
      <c r="T210" s="8">
        <v>9.1223061999999994E-2</v>
      </c>
      <c r="U210" s="101">
        <f t="shared" si="26"/>
        <v>6.1580913190958542E-2</v>
      </c>
      <c r="V210" s="8">
        <v>51.983665556846603</v>
      </c>
      <c r="W210" s="103">
        <f t="shared" si="29"/>
        <v>2.0600206002043819E-3</v>
      </c>
      <c r="X210" s="8">
        <v>1.4280994E-2</v>
      </c>
      <c r="Y210" s="104">
        <f t="shared" si="27"/>
        <v>8.848747084982251E-3</v>
      </c>
      <c r="Z210" s="8">
        <v>62.998949296987</v>
      </c>
      <c r="AA210" s="100">
        <f t="shared" si="30"/>
        <v>2.0600206001972765E-3</v>
      </c>
      <c r="AB210" s="8">
        <v>9.3162778000000002E-2</v>
      </c>
      <c r="AC210" s="98">
        <f t="shared" si="31"/>
        <v>5.7713682962525846E-2</v>
      </c>
    </row>
    <row r="211" spans="14:29" x14ac:dyDescent="0.45">
      <c r="N211" s="8">
        <v>72.887374140627401</v>
      </c>
      <c r="O211" s="105">
        <f t="shared" si="24"/>
        <v>2.0700207002022353E-3</v>
      </c>
      <c r="P211" s="82">
        <v>-2.4836612000000001E-2</v>
      </c>
      <c r="Q211" s="82">
        <f t="shared" si="25"/>
        <v>-1.663907454959947E-2</v>
      </c>
      <c r="R211" s="8">
        <v>24.0335333624386</v>
      </c>
      <c r="S211" s="102">
        <f t="shared" si="28"/>
        <v>2.0700207001986826E-3</v>
      </c>
      <c r="T211" s="8">
        <v>5.9541034E-2</v>
      </c>
      <c r="U211" s="101">
        <f t="shared" si="26"/>
        <v>4.0193687491589698E-2</v>
      </c>
      <c r="V211" s="8">
        <v>51.983675556946601</v>
      </c>
      <c r="W211" s="103">
        <f t="shared" si="29"/>
        <v>2.0700207002022353E-3</v>
      </c>
      <c r="X211" s="8">
        <v>1.6220709999999999E-2</v>
      </c>
      <c r="Y211" s="104">
        <f t="shared" si="27"/>
        <v>1.0050628151572814E-2</v>
      </c>
      <c r="Z211" s="8">
        <v>62.998959297086998</v>
      </c>
      <c r="AA211" s="100">
        <f t="shared" si="30"/>
        <v>2.0700207001951298E-3</v>
      </c>
      <c r="AB211" s="8">
        <v>5.8247889999999997E-2</v>
      </c>
      <c r="AC211" s="98">
        <f t="shared" si="31"/>
        <v>3.6084156450294766E-2</v>
      </c>
    </row>
    <row r="212" spans="14:29" x14ac:dyDescent="0.45">
      <c r="N212" s="8">
        <v>72.887384140727406</v>
      </c>
      <c r="O212" s="105">
        <f t="shared" si="24"/>
        <v>2.080020800207194E-3</v>
      </c>
      <c r="P212" s="82">
        <v>-2.9685902E-2</v>
      </c>
      <c r="Q212" s="82">
        <f t="shared" si="25"/>
        <v>-1.9887814668526609E-2</v>
      </c>
      <c r="R212" s="8">
        <v>24.033543362538602</v>
      </c>
      <c r="S212" s="102">
        <f t="shared" si="28"/>
        <v>2.0800208002000886E-3</v>
      </c>
      <c r="T212" s="8">
        <v>4.9056999999999998E-3</v>
      </c>
      <c r="U212" s="101">
        <f t="shared" si="26"/>
        <v>3.3116350100250453E-3</v>
      </c>
      <c r="V212" s="8">
        <v>51.983685557046599</v>
      </c>
      <c r="W212" s="103">
        <f t="shared" si="29"/>
        <v>2.0800208002000886E-3</v>
      </c>
      <c r="X212" s="8">
        <v>-3.4535191999999999E-2</v>
      </c>
      <c r="Y212" s="104">
        <f t="shared" si="27"/>
        <v>-2.1398593090880255E-2</v>
      </c>
      <c r="Z212" s="8">
        <v>62.998969297187003</v>
      </c>
      <c r="AA212" s="100">
        <f t="shared" si="30"/>
        <v>2.0800208002000886E-3</v>
      </c>
      <c r="AB212" s="8">
        <v>1.1694705999999999E-2</v>
      </c>
      <c r="AC212" s="98">
        <f t="shared" si="31"/>
        <v>7.2447877673199991E-3</v>
      </c>
    </row>
    <row r="213" spans="14:29" x14ac:dyDescent="0.45">
      <c r="N213" s="8">
        <v>72.887394140827396</v>
      </c>
      <c r="O213" s="105">
        <f t="shared" si="24"/>
        <v>2.090020900197942E-3</v>
      </c>
      <c r="P213" s="82">
        <v>-3.6474908E-2</v>
      </c>
      <c r="Q213" s="82">
        <f t="shared" si="25"/>
        <v>-2.4436050835024606E-2</v>
      </c>
      <c r="R213" s="8">
        <v>24.0335533626386</v>
      </c>
      <c r="S213" s="102">
        <f t="shared" si="28"/>
        <v>2.090020900197942E-3</v>
      </c>
      <c r="T213" s="8">
        <v>-1.9664035999999999E-2</v>
      </c>
      <c r="U213" s="101">
        <f t="shared" si="26"/>
        <v>-1.3274376756832431E-2</v>
      </c>
      <c r="V213" s="8">
        <v>51.983695557146604</v>
      </c>
      <c r="W213" s="103">
        <f t="shared" si="29"/>
        <v>2.0900209002050474E-3</v>
      </c>
      <c r="X213" s="8">
        <v>-3.3242048000000003E-2</v>
      </c>
      <c r="Y213" s="104">
        <f t="shared" si="27"/>
        <v>-2.0597339046486546E-2</v>
      </c>
      <c r="Z213" s="8">
        <v>62.998979297287001</v>
      </c>
      <c r="AA213" s="100">
        <f t="shared" si="30"/>
        <v>2.090020900197942E-3</v>
      </c>
      <c r="AB213" s="8">
        <v>-1.6754462000000001E-2</v>
      </c>
      <c r="AC213" s="98">
        <f t="shared" si="31"/>
        <v>-1.0379270872275692E-2</v>
      </c>
    </row>
    <row r="214" spans="14:29" x14ac:dyDescent="0.45">
      <c r="N214" s="8">
        <v>72.887404140927401</v>
      </c>
      <c r="O214" s="105">
        <f t="shared" si="24"/>
        <v>2.1000210002029007E-3</v>
      </c>
      <c r="P214" s="82">
        <v>-3.6474908E-2</v>
      </c>
      <c r="Q214" s="82">
        <f t="shared" si="25"/>
        <v>-2.4436050835024606E-2</v>
      </c>
      <c r="R214" s="8">
        <v>24.033563362738601</v>
      </c>
      <c r="S214" s="102">
        <f t="shared" si="28"/>
        <v>2.100021000199348E-3</v>
      </c>
      <c r="T214" s="8">
        <v>-2.0957179999999999E-2</v>
      </c>
      <c r="U214" s="101">
        <f t="shared" si="26"/>
        <v>-1.4147324744561771E-2</v>
      </c>
      <c r="V214" s="8">
        <v>51.983705557246601</v>
      </c>
      <c r="W214" s="103">
        <f t="shared" si="29"/>
        <v>2.1000210002029007E-3</v>
      </c>
      <c r="X214" s="8">
        <v>-3.2272189999999999E-2</v>
      </c>
      <c r="Y214" s="104">
        <f t="shared" si="27"/>
        <v>-1.9996398513191262E-2</v>
      </c>
      <c r="Z214" s="8">
        <v>62.998989297386998</v>
      </c>
      <c r="AA214" s="100">
        <f t="shared" si="30"/>
        <v>2.1000210001957953E-3</v>
      </c>
      <c r="AB214" s="8">
        <v>-3.8091338000000002E-2</v>
      </c>
      <c r="AC214" s="98">
        <f t="shared" si="31"/>
        <v>-2.3597314851972463E-2</v>
      </c>
    </row>
    <row r="215" spans="14:29" x14ac:dyDescent="0.45">
      <c r="N215" s="8">
        <v>72.887414141027406</v>
      </c>
      <c r="O215" s="105">
        <f t="shared" si="24"/>
        <v>2.1100211002078595E-3</v>
      </c>
      <c r="P215" s="82">
        <v>-1.9987321999999998E-2</v>
      </c>
      <c r="Q215" s="82">
        <f t="shared" si="25"/>
        <v>-1.339033443067233E-2</v>
      </c>
      <c r="R215" s="8">
        <v>24.033573362838599</v>
      </c>
      <c r="S215" s="102">
        <f t="shared" si="28"/>
        <v>2.1100211001972013E-3</v>
      </c>
      <c r="T215" s="8">
        <v>-3.1948904E-2</v>
      </c>
      <c r="U215" s="101">
        <f t="shared" si="26"/>
        <v>-2.156738264026117E-2</v>
      </c>
      <c r="V215" s="8">
        <v>51.983715557346599</v>
      </c>
      <c r="W215" s="103">
        <f t="shared" si="29"/>
        <v>2.1100211002007541E-3</v>
      </c>
      <c r="X215" s="8">
        <v>-1.2875030000000001E-2</v>
      </c>
      <c r="Y215" s="104">
        <f t="shared" si="27"/>
        <v>-7.9775878472856335E-3</v>
      </c>
      <c r="Z215" s="8">
        <v>62.998999297487003</v>
      </c>
      <c r="AA215" s="100">
        <f t="shared" si="30"/>
        <v>2.1100211002007541E-3</v>
      </c>
      <c r="AB215" s="8">
        <v>-3.0009187999999999E-2</v>
      </c>
      <c r="AC215" s="98">
        <f t="shared" si="31"/>
        <v>-1.8590480011178228E-2</v>
      </c>
    </row>
    <row r="216" spans="14:29" x14ac:dyDescent="0.45">
      <c r="N216" s="8">
        <v>72.887424141127397</v>
      </c>
      <c r="O216" s="105">
        <f t="shared" si="24"/>
        <v>2.1200212001986074E-3</v>
      </c>
      <c r="P216" s="82">
        <v>-3.3565334000000002E-2</v>
      </c>
      <c r="Q216" s="82">
        <f t="shared" si="25"/>
        <v>-2.2486806763668325E-2</v>
      </c>
      <c r="R216" s="8">
        <v>24.0335833629386</v>
      </c>
      <c r="S216" s="102">
        <f t="shared" si="28"/>
        <v>2.1200212001986074E-3</v>
      </c>
      <c r="T216" s="8">
        <v>-3.5505050000000003E-2</v>
      </c>
      <c r="U216" s="101">
        <f t="shared" si="26"/>
        <v>-2.396798960651686E-2</v>
      </c>
      <c r="V216" s="8">
        <v>51.983725557446597</v>
      </c>
      <c r="W216" s="103">
        <f t="shared" si="29"/>
        <v>2.1200212001986074E-3</v>
      </c>
      <c r="X216" s="8">
        <v>-3.9384481999999998E-2</v>
      </c>
      <c r="Y216" s="104">
        <f t="shared" si="27"/>
        <v>-2.4403295757356662E-2</v>
      </c>
      <c r="Z216" s="8">
        <v>62.999009297587001</v>
      </c>
      <c r="AA216" s="100">
        <f t="shared" si="30"/>
        <v>2.1200212001986074E-3</v>
      </c>
      <c r="AB216" s="8">
        <v>-2.3866754E-2</v>
      </c>
      <c r="AC216" s="98">
        <f t="shared" si="31"/>
        <v>-1.4785285532174616E-2</v>
      </c>
    </row>
    <row r="217" spans="14:29" x14ac:dyDescent="0.45">
      <c r="N217" s="8">
        <v>72.887434141227402</v>
      </c>
      <c r="O217" s="105">
        <f t="shared" si="24"/>
        <v>2.1300213002035662E-3</v>
      </c>
      <c r="P217" s="82">
        <v>-2.4513325999999998E-2</v>
      </c>
      <c r="Q217" s="82">
        <f t="shared" si="25"/>
        <v>-1.6422491875004327E-2</v>
      </c>
      <c r="R217" s="8">
        <v>24.033593363038602</v>
      </c>
      <c r="S217" s="102">
        <f t="shared" si="28"/>
        <v>2.1300213002000135E-3</v>
      </c>
      <c r="T217" s="8">
        <v>-2.2896896E-2</v>
      </c>
      <c r="U217" s="101">
        <f t="shared" si="26"/>
        <v>-1.5456746726155783E-2</v>
      </c>
      <c r="V217" s="8">
        <v>51.983735557546602</v>
      </c>
      <c r="W217" s="103">
        <f t="shared" si="29"/>
        <v>2.1300213002035662E-3</v>
      </c>
      <c r="X217" s="8">
        <v>-2.9362616000000001E-2</v>
      </c>
      <c r="Y217" s="104">
        <f t="shared" si="27"/>
        <v>-1.819357691330542E-2</v>
      </c>
      <c r="Z217" s="8">
        <v>62.999019297686999</v>
      </c>
      <c r="AA217" s="100">
        <f t="shared" si="30"/>
        <v>2.1300213001964607E-3</v>
      </c>
      <c r="AB217" s="8">
        <v>-1.934075E-2</v>
      </c>
      <c r="AC217" s="98">
        <f t="shared" si="31"/>
        <v>-1.1981458021329846E-2</v>
      </c>
    </row>
    <row r="218" spans="14:29" x14ac:dyDescent="0.45">
      <c r="N218" s="8">
        <v>72.887444141327407</v>
      </c>
      <c r="O218" s="105">
        <f t="shared" si="24"/>
        <v>2.1400214002085249E-3</v>
      </c>
      <c r="P218" s="82">
        <v>-2.2573610000000001E-2</v>
      </c>
      <c r="Q218" s="82">
        <f t="shared" si="25"/>
        <v>-1.5122995827433473E-2</v>
      </c>
      <c r="R218" s="8">
        <v>24.033603363138599</v>
      </c>
      <c r="S218" s="102">
        <f t="shared" si="28"/>
        <v>2.1400214001978668E-3</v>
      </c>
      <c r="T218" s="8">
        <v>-1.9664035999999999E-2</v>
      </c>
      <c r="U218" s="101">
        <f t="shared" si="26"/>
        <v>-1.3274376756832431E-2</v>
      </c>
      <c r="V218" s="8">
        <v>51.9837455576466</v>
      </c>
      <c r="W218" s="103">
        <f t="shared" si="29"/>
        <v>2.1400214002014195E-3</v>
      </c>
      <c r="X218" s="8">
        <v>-2.8392758000000001E-2</v>
      </c>
      <c r="Y218" s="104">
        <f t="shared" si="27"/>
        <v>-1.759263638001014E-2</v>
      </c>
      <c r="Z218" s="8">
        <v>62.999029297786997</v>
      </c>
      <c r="AA218" s="100">
        <f t="shared" si="30"/>
        <v>2.1400214001943141E-3</v>
      </c>
      <c r="AB218" s="8">
        <v>-3.6474908E-2</v>
      </c>
      <c r="AC218" s="98">
        <f t="shared" si="31"/>
        <v>-2.2595947883813614E-2</v>
      </c>
    </row>
    <row r="219" spans="14:29" x14ac:dyDescent="0.45">
      <c r="N219" s="8">
        <v>72.887454141427398</v>
      </c>
      <c r="O219" s="105">
        <f t="shared" si="24"/>
        <v>2.1500215001992729E-3</v>
      </c>
      <c r="P219" s="82">
        <v>-2.3543468000000001E-2</v>
      </c>
      <c r="Q219" s="82">
        <f t="shared" si="25"/>
        <v>-1.57727438512189E-2</v>
      </c>
      <c r="R219" s="8">
        <v>24.033613363238601</v>
      </c>
      <c r="S219" s="102">
        <f t="shared" si="28"/>
        <v>2.1500215001992729E-3</v>
      </c>
      <c r="T219" s="8">
        <v>-2.7746185999999999E-2</v>
      </c>
      <c r="U219" s="101">
        <f t="shared" si="26"/>
        <v>-1.873030168014081E-2</v>
      </c>
      <c r="V219" s="8">
        <v>51.983755557746598</v>
      </c>
      <c r="W219" s="103">
        <f t="shared" si="29"/>
        <v>2.1500215001992729E-3</v>
      </c>
      <c r="X219" s="8">
        <v>-2.6776327999999999E-2</v>
      </c>
      <c r="Y219" s="104">
        <f t="shared" si="27"/>
        <v>-1.6591068824517999E-2</v>
      </c>
      <c r="Z219" s="8">
        <v>62.999039297887002</v>
      </c>
      <c r="AA219" s="100">
        <f t="shared" si="30"/>
        <v>2.1500215001992729E-3</v>
      </c>
      <c r="AB219" s="8">
        <v>-2.9362616000000001E-2</v>
      </c>
      <c r="AC219" s="98">
        <f t="shared" si="31"/>
        <v>-1.8189933223914691E-2</v>
      </c>
    </row>
    <row r="220" spans="14:29" x14ac:dyDescent="0.45">
      <c r="N220" s="8">
        <v>72.887464141527403</v>
      </c>
      <c r="O220" s="105">
        <f t="shared" si="24"/>
        <v>2.1600216002042316E-3</v>
      </c>
      <c r="P220" s="82">
        <v>-1.4814746E-2</v>
      </c>
      <c r="Q220" s="82">
        <f t="shared" si="25"/>
        <v>-9.9250116371500489E-3</v>
      </c>
      <c r="R220" s="8">
        <v>24.033623363338599</v>
      </c>
      <c r="S220" s="102">
        <f t="shared" si="28"/>
        <v>2.1600216001971262E-3</v>
      </c>
      <c r="T220" s="8">
        <v>-3.1302332000000002E-2</v>
      </c>
      <c r="U220" s="101">
        <f t="shared" si="26"/>
        <v>-2.1130908646396499E-2</v>
      </c>
      <c r="V220" s="8">
        <v>51.983765557846603</v>
      </c>
      <c r="W220" s="103">
        <f t="shared" si="29"/>
        <v>2.1600216002042316E-3</v>
      </c>
      <c r="X220" s="8">
        <v>-3.7768052000000003E-2</v>
      </c>
      <c r="Y220" s="104">
        <f t="shared" si="27"/>
        <v>-2.3401728201864529E-2</v>
      </c>
      <c r="Z220" s="8">
        <v>62.999049297987</v>
      </c>
      <c r="AA220" s="100">
        <f t="shared" si="30"/>
        <v>2.1600216001971262E-3</v>
      </c>
      <c r="AB220" s="8">
        <v>-2.6776327999999999E-2</v>
      </c>
      <c r="AC220" s="98">
        <f t="shared" si="31"/>
        <v>-1.6587746074860538E-2</v>
      </c>
    </row>
    <row r="221" spans="14:29" x14ac:dyDescent="0.45">
      <c r="N221" s="8">
        <v>72.887474141627393</v>
      </c>
      <c r="O221" s="105">
        <f t="shared" si="24"/>
        <v>2.1700217001949795E-3</v>
      </c>
      <c r="P221" s="82">
        <v>-1.7724319999999998E-2</v>
      </c>
      <c r="Q221" s="82">
        <f t="shared" si="25"/>
        <v>-1.1874255708506332E-2</v>
      </c>
      <c r="R221" s="8">
        <v>24.0336333634386</v>
      </c>
      <c r="S221" s="102">
        <f t="shared" si="28"/>
        <v>2.1700217001985322E-3</v>
      </c>
      <c r="T221" s="8">
        <v>-2.1280466000000001E-2</v>
      </c>
      <c r="U221" s="101">
        <f t="shared" si="26"/>
        <v>-1.4365561741494108E-2</v>
      </c>
      <c r="V221" s="8">
        <v>51.983775557946601</v>
      </c>
      <c r="W221" s="103">
        <f t="shared" si="29"/>
        <v>2.170021700202085E-3</v>
      </c>
      <c r="X221" s="8">
        <v>-2.8392758000000001E-2</v>
      </c>
      <c r="Y221" s="104">
        <f t="shared" si="27"/>
        <v>-1.759263638001014E-2</v>
      </c>
      <c r="Z221" s="8">
        <v>62.999059298086998</v>
      </c>
      <c r="AA221" s="100">
        <f t="shared" si="30"/>
        <v>2.1700217001949795E-3</v>
      </c>
      <c r="AB221" s="8">
        <v>-2.3866754E-2</v>
      </c>
      <c r="AC221" s="98">
        <f t="shared" si="31"/>
        <v>-1.4785285532174616E-2</v>
      </c>
    </row>
    <row r="222" spans="14:29" x14ac:dyDescent="0.45">
      <c r="N222" s="8">
        <v>72.887484141727398</v>
      </c>
      <c r="O222" s="105">
        <f t="shared" si="24"/>
        <v>2.1800218001999383E-3</v>
      </c>
      <c r="P222" s="82">
        <v>-1.1905172E-2</v>
      </c>
      <c r="Q222" s="82">
        <f t="shared" si="25"/>
        <v>-7.9757675657937659E-3</v>
      </c>
      <c r="R222" s="8">
        <v>24.033643363538602</v>
      </c>
      <c r="S222" s="102">
        <f t="shared" si="28"/>
        <v>2.1800218001999383E-3</v>
      </c>
      <c r="T222" s="8">
        <v>-2.1927037999999999E-2</v>
      </c>
      <c r="U222" s="101">
        <f t="shared" si="26"/>
        <v>-1.4802035735358777E-2</v>
      </c>
      <c r="V222" s="8">
        <v>51.983785558046598</v>
      </c>
      <c r="W222" s="103">
        <f t="shared" si="29"/>
        <v>2.1800218001999383E-3</v>
      </c>
      <c r="X222" s="8">
        <v>-2.6776327999999999E-2</v>
      </c>
      <c r="Y222" s="104">
        <f t="shared" si="27"/>
        <v>-1.6591068824517999E-2</v>
      </c>
      <c r="Z222" s="8">
        <v>62.999069298187003</v>
      </c>
      <c r="AA222" s="100">
        <f t="shared" si="30"/>
        <v>2.1800218001999383E-3</v>
      </c>
      <c r="AB222" s="8">
        <v>-2.7099614000000001E-2</v>
      </c>
      <c r="AC222" s="98">
        <f t="shared" si="31"/>
        <v>-1.6788019468492309E-2</v>
      </c>
    </row>
    <row r="223" spans="14:29" x14ac:dyDescent="0.45">
      <c r="N223" s="8">
        <v>72.887494141827403</v>
      </c>
      <c r="O223" s="105">
        <f t="shared" si="24"/>
        <v>2.1900219002048971E-3</v>
      </c>
      <c r="P223" s="82">
        <v>-7.3791680000000002E-3</v>
      </c>
      <c r="Q223" s="82">
        <f t="shared" si="25"/>
        <v>-4.9436101214617688E-3</v>
      </c>
      <c r="R223" s="8">
        <v>24.033653363638599</v>
      </c>
      <c r="S223" s="102">
        <f t="shared" si="28"/>
        <v>2.1900219001977916E-3</v>
      </c>
      <c r="T223" s="8">
        <v>-3.3242048000000003E-2</v>
      </c>
      <c r="U223" s="101">
        <f t="shared" si="26"/>
        <v>-2.2440330627990512E-2</v>
      </c>
      <c r="V223" s="8">
        <v>51.983795558146603</v>
      </c>
      <c r="W223" s="103">
        <f t="shared" si="29"/>
        <v>2.1900219002048971E-3</v>
      </c>
      <c r="X223" s="8">
        <v>-2.7746185999999999E-2</v>
      </c>
      <c r="Y223" s="104">
        <f t="shared" si="27"/>
        <v>-1.7192009357813284E-2</v>
      </c>
      <c r="Z223" s="8">
        <v>62.999079298287</v>
      </c>
      <c r="AA223" s="100">
        <f t="shared" si="30"/>
        <v>2.1900219001977916E-3</v>
      </c>
      <c r="AB223" s="8">
        <v>-2.4513325999999998E-2</v>
      </c>
      <c r="AC223" s="98">
        <f t="shared" si="31"/>
        <v>-1.5185832319438153E-2</v>
      </c>
    </row>
    <row r="224" spans="14:29" x14ac:dyDescent="0.45">
      <c r="N224" s="8">
        <v>72.887504141927394</v>
      </c>
      <c r="O224" s="105">
        <f t="shared" si="24"/>
        <v>2.200022000195645E-3</v>
      </c>
      <c r="P224" s="82">
        <v>-7.0558820000000003E-3</v>
      </c>
      <c r="Q224" s="82">
        <f t="shared" si="25"/>
        <v>-4.7270274468666261E-3</v>
      </c>
      <c r="R224" s="8">
        <v>24.033663363738601</v>
      </c>
      <c r="S224" s="102">
        <f t="shared" si="28"/>
        <v>2.2000220001991977E-3</v>
      </c>
      <c r="T224" s="8">
        <v>-3.0009187999999999E-2</v>
      </c>
      <c r="U224" s="101">
        <f t="shared" si="26"/>
        <v>-2.0257960658667157E-2</v>
      </c>
      <c r="V224" s="8">
        <v>51.983805558246601</v>
      </c>
      <c r="W224" s="103">
        <f t="shared" si="29"/>
        <v>2.2000220002027504E-3</v>
      </c>
      <c r="X224" s="8">
        <v>-2.2573610000000001E-2</v>
      </c>
      <c r="Y224" s="104">
        <f t="shared" si="27"/>
        <v>-1.3986993180238449E-2</v>
      </c>
      <c r="Z224" s="8">
        <v>62.999089298386998</v>
      </c>
      <c r="AA224" s="100">
        <f t="shared" si="30"/>
        <v>2.200022000195645E-3</v>
      </c>
      <c r="AB224" s="8">
        <v>-2.4190039999999999E-2</v>
      </c>
      <c r="AC224" s="98">
        <f t="shared" si="31"/>
        <v>-1.4985558925806384E-2</v>
      </c>
    </row>
    <row r="225" spans="14:29" x14ac:dyDescent="0.45">
      <c r="N225" s="8">
        <v>72.887514142027399</v>
      </c>
      <c r="O225" s="105">
        <f t="shared" si="24"/>
        <v>2.2100221002006037E-3</v>
      </c>
      <c r="P225" s="82">
        <v>1.996126E-3</v>
      </c>
      <c r="Q225" s="82">
        <f t="shared" si="25"/>
        <v>1.3372874417973673E-3</v>
      </c>
      <c r="R225" s="8">
        <v>24.033673363838599</v>
      </c>
      <c r="S225" s="102">
        <f t="shared" si="28"/>
        <v>2.210022100197051E-3</v>
      </c>
      <c r="T225" s="8">
        <v>-2.7099614000000001E-2</v>
      </c>
      <c r="U225" s="101">
        <f t="shared" si="26"/>
        <v>-1.8293827686276142E-2</v>
      </c>
      <c r="V225" s="8">
        <v>51.983815558346599</v>
      </c>
      <c r="W225" s="103">
        <f t="shared" si="29"/>
        <v>2.2100221002006037E-3</v>
      </c>
      <c r="X225" s="8">
        <v>-1.9987321999999998E-2</v>
      </c>
      <c r="Y225" s="104">
        <f t="shared" si="27"/>
        <v>-1.238448509145103E-2</v>
      </c>
      <c r="Z225" s="8">
        <v>62.999099298487003</v>
      </c>
      <c r="AA225" s="100">
        <f t="shared" si="30"/>
        <v>2.2100221002006037E-3</v>
      </c>
      <c r="AB225" s="8">
        <v>-2.6453042E-2</v>
      </c>
      <c r="AC225" s="98">
        <f t="shared" si="31"/>
        <v>-1.6387472681228768E-2</v>
      </c>
    </row>
    <row r="226" spans="14:29" x14ac:dyDescent="0.45">
      <c r="N226" s="8">
        <v>72.887524142127404</v>
      </c>
      <c r="O226" s="105">
        <f t="shared" si="24"/>
        <v>2.2200222002055625E-3</v>
      </c>
      <c r="P226" s="82">
        <v>1.2664564E-2</v>
      </c>
      <c r="Q226" s="82">
        <f t="shared" si="25"/>
        <v>8.484515703437074E-3</v>
      </c>
      <c r="R226" s="8">
        <v>24.0336833639386</v>
      </c>
      <c r="S226" s="102">
        <f t="shared" si="28"/>
        <v>2.2200222001984571E-3</v>
      </c>
      <c r="T226" s="8">
        <v>-2.5159898E-2</v>
      </c>
      <c r="U226" s="101">
        <f t="shared" si="26"/>
        <v>-1.698440570468213E-2</v>
      </c>
      <c r="V226" s="8">
        <v>51.983825558446597</v>
      </c>
      <c r="W226" s="103">
        <f t="shared" si="29"/>
        <v>2.2200222001984571E-3</v>
      </c>
      <c r="X226" s="8">
        <v>-1.5461318E-2</v>
      </c>
      <c r="Y226" s="104">
        <f t="shared" si="27"/>
        <v>-9.5800959360730509E-3</v>
      </c>
      <c r="Z226" s="8">
        <v>62.999109298587001</v>
      </c>
      <c r="AA226" s="100">
        <f t="shared" si="30"/>
        <v>2.2200222001984571E-3</v>
      </c>
      <c r="AB226" s="8">
        <v>-3.1625618000000001E-2</v>
      </c>
      <c r="AC226" s="98">
        <f t="shared" si="31"/>
        <v>-1.9591846979337076E-2</v>
      </c>
    </row>
    <row r="227" spans="14:29" x14ac:dyDescent="0.45">
      <c r="N227" s="8">
        <v>72.887534142227395</v>
      </c>
      <c r="O227" s="105">
        <f t="shared" si="24"/>
        <v>2.2300223001963104E-3</v>
      </c>
      <c r="P227" s="82">
        <v>1.7837140000000001E-2</v>
      </c>
      <c r="Q227" s="82">
        <f t="shared" si="25"/>
        <v>1.1949838496959356E-2</v>
      </c>
      <c r="R227" s="8">
        <v>24.033693364038601</v>
      </c>
      <c r="S227" s="102">
        <f t="shared" si="28"/>
        <v>2.2300223001998631E-3</v>
      </c>
      <c r="T227" s="8">
        <v>-2.6776327999999999E-2</v>
      </c>
      <c r="U227" s="101">
        <f t="shared" si="26"/>
        <v>-1.8075590689343803E-2</v>
      </c>
      <c r="V227" s="8">
        <v>51.983835558546602</v>
      </c>
      <c r="W227" s="103">
        <f t="shared" si="29"/>
        <v>2.2300223002034159E-3</v>
      </c>
      <c r="X227" s="8">
        <v>-2.0310608000000001E-2</v>
      </c>
      <c r="Y227" s="104">
        <f t="shared" si="27"/>
        <v>-1.2584798602549459E-2</v>
      </c>
      <c r="Z227" s="8">
        <v>62.999119298686999</v>
      </c>
      <c r="AA227" s="100">
        <f t="shared" si="30"/>
        <v>2.2300223001963104E-3</v>
      </c>
      <c r="AB227" s="8">
        <v>-2.3866754E-2</v>
      </c>
      <c r="AC227" s="98">
        <f t="shared" si="31"/>
        <v>-1.4785285532174616E-2</v>
      </c>
    </row>
    <row r="228" spans="14:29" x14ac:dyDescent="0.45">
      <c r="N228" s="8">
        <v>72.8875441423274</v>
      </c>
      <c r="O228" s="105">
        <f t="shared" si="24"/>
        <v>2.2400224002012692E-3</v>
      </c>
      <c r="P228" s="82">
        <v>1.5574138E-2</v>
      </c>
      <c r="Q228" s="82">
        <f t="shared" si="25"/>
        <v>1.0433759774793357E-2</v>
      </c>
      <c r="R228" s="8">
        <v>24.033703364138599</v>
      </c>
      <c r="S228" s="102">
        <f t="shared" si="28"/>
        <v>2.2400224001977165E-3</v>
      </c>
      <c r="T228" s="8">
        <v>-5.7627379999999999E-3</v>
      </c>
      <c r="U228" s="101">
        <f t="shared" si="26"/>
        <v>-3.8901858887420166E-3</v>
      </c>
      <c r="V228" s="8">
        <v>51.9838455586466</v>
      </c>
      <c r="W228" s="103">
        <f t="shared" si="29"/>
        <v>2.2400224002012692E-3</v>
      </c>
      <c r="X228" s="8">
        <v>-1.2875030000000001E-2</v>
      </c>
      <c r="Y228" s="104">
        <f t="shared" si="27"/>
        <v>-7.9775878472856335E-3</v>
      </c>
      <c r="Z228" s="8">
        <v>62.999129298786997</v>
      </c>
      <c r="AA228" s="100">
        <f t="shared" si="30"/>
        <v>2.2400224001941638E-3</v>
      </c>
      <c r="AB228" s="8">
        <v>-2.6129756000000001E-2</v>
      </c>
      <c r="AC228" s="98">
        <f t="shared" si="31"/>
        <v>-1.6187199287597001E-2</v>
      </c>
    </row>
    <row r="229" spans="14:29" x14ac:dyDescent="0.45">
      <c r="N229" s="8">
        <v>72.887554142427405</v>
      </c>
      <c r="O229" s="105">
        <f t="shared" si="24"/>
        <v>2.250022500206228E-3</v>
      </c>
      <c r="P229" s="82">
        <v>8.7851319999999993E-3</v>
      </c>
      <c r="Q229" s="82">
        <f t="shared" si="25"/>
        <v>5.8855236082953621E-3</v>
      </c>
      <c r="R229" s="8">
        <v>24.033713364238601</v>
      </c>
      <c r="S229" s="102">
        <f t="shared" si="28"/>
        <v>2.2500225001991225E-3</v>
      </c>
      <c r="T229" s="8">
        <v>3.6125559999999998E-3</v>
      </c>
      <c r="U229" s="101">
        <f t="shared" si="26"/>
        <v>2.4386870222957045E-3</v>
      </c>
      <c r="V229" s="8">
        <v>51.983855558746598</v>
      </c>
      <c r="W229" s="103">
        <f t="shared" si="29"/>
        <v>2.2500225001991225E-3</v>
      </c>
      <c r="X229" s="8">
        <v>-1.8370892E-2</v>
      </c>
      <c r="Y229" s="104">
        <f t="shared" si="27"/>
        <v>-1.1382917535958895E-2</v>
      </c>
      <c r="Z229" s="8">
        <v>62.999139298887002</v>
      </c>
      <c r="AA229" s="100">
        <f t="shared" si="30"/>
        <v>2.2500225001991225E-3</v>
      </c>
      <c r="AB229" s="8">
        <v>-2.5159898E-2</v>
      </c>
      <c r="AC229" s="98">
        <f t="shared" si="31"/>
        <v>-1.5586379106701692E-2</v>
      </c>
    </row>
    <row r="230" spans="14:29" x14ac:dyDescent="0.45">
      <c r="N230" s="8">
        <v>72.887564142527395</v>
      </c>
      <c r="O230" s="105">
        <f t="shared" si="24"/>
        <v>2.2600226001969759E-3</v>
      </c>
      <c r="P230" s="82">
        <v>3.6125559999999998E-3</v>
      </c>
      <c r="Q230" s="82">
        <f t="shared" si="25"/>
        <v>2.4202008147730801E-3</v>
      </c>
      <c r="R230" s="8">
        <v>24.033723364338599</v>
      </c>
      <c r="S230" s="102">
        <f t="shared" si="28"/>
        <v>2.2600226001969759E-3</v>
      </c>
      <c r="T230" s="8">
        <v>-1.4814746E-2</v>
      </c>
      <c r="U230" s="101">
        <f t="shared" si="26"/>
        <v>-1.0000821802847403E-2</v>
      </c>
      <c r="V230" s="8">
        <v>51.983865558846603</v>
      </c>
      <c r="W230" s="103">
        <f t="shared" si="29"/>
        <v>2.2600226002040813E-3</v>
      </c>
      <c r="X230" s="8">
        <v>-8.6723119999999997E-3</v>
      </c>
      <c r="Y230" s="104">
        <f t="shared" si="27"/>
        <v>-5.3735122030060794E-3</v>
      </c>
      <c r="Z230" s="8">
        <v>62.999149298987</v>
      </c>
      <c r="AA230" s="100">
        <f t="shared" si="30"/>
        <v>2.2600226001969759E-3</v>
      </c>
      <c r="AB230" s="8">
        <v>-2.9039329999999999E-2</v>
      </c>
      <c r="AC230" s="98">
        <f t="shared" si="31"/>
        <v>-1.798965983028292E-2</v>
      </c>
    </row>
    <row r="231" spans="14:29" x14ac:dyDescent="0.45">
      <c r="N231" s="8">
        <v>72.8875741426274</v>
      </c>
      <c r="O231" s="105">
        <f t="shared" si="24"/>
        <v>2.2700227002019346E-3</v>
      </c>
      <c r="P231" s="82">
        <v>-2.853164E-3</v>
      </c>
      <c r="Q231" s="82">
        <f t="shared" si="25"/>
        <v>-1.9114526771297723E-3</v>
      </c>
      <c r="R231" s="8">
        <v>24.0337333644386</v>
      </c>
      <c r="S231" s="102">
        <f t="shared" si="28"/>
        <v>2.2700227001983819E-3</v>
      </c>
      <c r="T231" s="8">
        <v>-4.1970769999999998E-2</v>
      </c>
      <c r="U231" s="101">
        <f t="shared" si="26"/>
        <v>-2.8332729545163558E-2</v>
      </c>
      <c r="V231" s="8">
        <v>51.9838755589466</v>
      </c>
      <c r="W231" s="103">
        <f t="shared" si="29"/>
        <v>2.2700227002019346E-3</v>
      </c>
      <c r="X231" s="8">
        <v>-1.6431175999999999E-2</v>
      </c>
      <c r="Y231" s="104">
        <f t="shared" si="27"/>
        <v>-1.0181036469368332E-2</v>
      </c>
      <c r="Z231" s="8">
        <v>62.999159299086998</v>
      </c>
      <c r="AA231" s="100">
        <f t="shared" si="30"/>
        <v>2.2700227001948292E-3</v>
      </c>
      <c r="AB231" s="8">
        <v>-2.4190039999999999E-2</v>
      </c>
      <c r="AC231" s="98">
        <f t="shared" si="31"/>
        <v>-1.4985558925806384E-2</v>
      </c>
    </row>
    <row r="232" spans="14:29" x14ac:dyDescent="0.45">
      <c r="N232" s="8">
        <v>72.887584142727405</v>
      </c>
      <c r="O232" s="105">
        <f t="shared" si="24"/>
        <v>2.2800228002068934E-3</v>
      </c>
      <c r="P232" s="82">
        <v>-8.9955980000000005E-3</v>
      </c>
      <c r="Q232" s="82">
        <f t="shared" si="25"/>
        <v>-6.0265234944374821E-3</v>
      </c>
      <c r="R232" s="8">
        <v>24.033743364538601</v>
      </c>
      <c r="S232" s="102">
        <f t="shared" si="28"/>
        <v>2.280022800199788E-3</v>
      </c>
      <c r="T232" s="8">
        <v>-4.1000912E-2</v>
      </c>
      <c r="U232" s="101">
        <f t="shared" si="26"/>
        <v>-2.7678018554366555E-2</v>
      </c>
      <c r="V232" s="8">
        <v>51.983885559046598</v>
      </c>
      <c r="W232" s="103">
        <f t="shared" si="29"/>
        <v>2.280022800199788E-3</v>
      </c>
      <c r="X232" s="8">
        <v>-1.1905172E-2</v>
      </c>
      <c r="Y232" s="104">
        <f t="shared" si="27"/>
        <v>-7.3766473139903511E-3</v>
      </c>
      <c r="Z232" s="8">
        <v>62.999169299187002</v>
      </c>
      <c r="AA232" s="100">
        <f t="shared" si="30"/>
        <v>2.280022800199788E-3</v>
      </c>
      <c r="AB232" s="8">
        <v>-2.3866754E-2</v>
      </c>
      <c r="AC232" s="98">
        <f t="shared" si="31"/>
        <v>-1.4785285532174616E-2</v>
      </c>
    </row>
    <row r="233" spans="14:29" x14ac:dyDescent="0.45">
      <c r="N233" s="8">
        <v>72.887594142827396</v>
      </c>
      <c r="O233" s="105">
        <f t="shared" si="24"/>
        <v>2.2900229001976413E-3</v>
      </c>
      <c r="P233" s="82">
        <v>-1.4168174E-2</v>
      </c>
      <c r="Q233" s="82">
        <f t="shared" si="25"/>
        <v>-9.4918462879597636E-3</v>
      </c>
      <c r="R233" s="8">
        <v>24.033753364638599</v>
      </c>
      <c r="S233" s="102">
        <f t="shared" si="28"/>
        <v>2.2900229001976413E-3</v>
      </c>
      <c r="T233" s="8">
        <v>-2.3543468000000001E-2</v>
      </c>
      <c r="U233" s="101">
        <f t="shared" si="26"/>
        <v>-1.5893220720020456E-2</v>
      </c>
      <c r="V233" s="8">
        <v>51.983895559146603</v>
      </c>
      <c r="W233" s="103">
        <f t="shared" si="29"/>
        <v>2.2900229002047467E-3</v>
      </c>
      <c r="X233" s="8">
        <v>-1.9017464000000001E-2</v>
      </c>
      <c r="Y233" s="104">
        <f t="shared" si="27"/>
        <v>-1.1783544558155751E-2</v>
      </c>
      <c r="Z233" s="8">
        <v>62.999179299287</v>
      </c>
      <c r="AA233" s="100">
        <f t="shared" si="30"/>
        <v>2.2900229001976413E-3</v>
      </c>
      <c r="AB233" s="8">
        <v>-2.5159898E-2</v>
      </c>
      <c r="AC233" s="98">
        <f t="shared" si="31"/>
        <v>-1.5586379106701692E-2</v>
      </c>
    </row>
    <row r="234" spans="14:29" x14ac:dyDescent="0.45">
      <c r="N234" s="8">
        <v>72.887604142927401</v>
      </c>
      <c r="O234" s="105">
        <f t="shared" si="24"/>
        <v>2.3000230002026001E-3</v>
      </c>
      <c r="P234" s="82">
        <v>-1.8694177999999999E-2</v>
      </c>
      <c r="Q234" s="82">
        <f t="shared" si="25"/>
        <v>-1.2524003732291761E-2</v>
      </c>
      <c r="R234" s="8">
        <v>24.033763364738601</v>
      </c>
      <c r="S234" s="102">
        <f t="shared" si="28"/>
        <v>2.3000230001990474E-3</v>
      </c>
      <c r="T234" s="8">
        <v>-2.0957179999999999E-2</v>
      </c>
      <c r="U234" s="101">
        <f t="shared" si="26"/>
        <v>-1.4147324744561771E-2</v>
      </c>
      <c r="V234" s="8">
        <v>51.983905559246601</v>
      </c>
      <c r="W234" s="103">
        <f t="shared" si="29"/>
        <v>2.3000230002026001E-3</v>
      </c>
      <c r="X234" s="8">
        <v>-2.0633894E-2</v>
      </c>
      <c r="Y234" s="104">
        <f t="shared" si="27"/>
        <v>-1.2785112113647886E-2</v>
      </c>
      <c r="Z234" s="8">
        <v>62.999189299386998</v>
      </c>
      <c r="AA234" s="100">
        <f t="shared" si="30"/>
        <v>2.3000230001954947E-3</v>
      </c>
      <c r="AB234" s="8">
        <v>-1.4814746E-2</v>
      </c>
      <c r="AC234" s="98">
        <f t="shared" si="31"/>
        <v>-9.1776305104850769E-3</v>
      </c>
    </row>
    <row r="235" spans="14:29" x14ac:dyDescent="0.45">
      <c r="N235" s="8">
        <v>72.887614143027406</v>
      </c>
      <c r="O235" s="63"/>
      <c r="P235" s="82">
        <v>-2.4190039999999999E-2</v>
      </c>
      <c r="Q235" s="98">
        <f t="shared" si="25"/>
        <v>-1.6205909200409187E-2</v>
      </c>
      <c r="R235" s="8"/>
      <c r="S235" s="63"/>
      <c r="T235" s="8"/>
      <c r="U235" s="101">
        <f t="shared" si="26"/>
        <v>0</v>
      </c>
      <c r="V235" s="8"/>
      <c r="W235" s="63"/>
      <c r="X235" s="8"/>
      <c r="Y235" s="104">
        <f t="shared" si="27"/>
        <v>0</v>
      </c>
      <c r="Z235" s="8"/>
      <c r="AA235" s="63"/>
      <c r="AB235" s="8"/>
      <c r="AC235" s="98">
        <f t="shared" si="31"/>
        <v>0</v>
      </c>
    </row>
    <row r="236" spans="14:29" x14ac:dyDescent="0.45">
      <c r="N236" s="8">
        <v>72.887624143127397</v>
      </c>
      <c r="O236" s="63"/>
      <c r="P236" s="82">
        <v>-2.0633894E-2</v>
      </c>
      <c r="Q236" s="98">
        <f t="shared" si="25"/>
        <v>-1.3823499779862617E-2</v>
      </c>
      <c r="R236" s="8"/>
      <c r="S236" s="63"/>
      <c r="T236" s="8"/>
      <c r="U236" s="101">
        <f t="shared" si="26"/>
        <v>0</v>
      </c>
      <c r="V236" s="8"/>
      <c r="W236" s="63"/>
      <c r="X236" s="8"/>
      <c r="Y236" s="104">
        <f t="shared" si="27"/>
        <v>0</v>
      </c>
      <c r="Z236" s="8"/>
      <c r="AA236" s="63"/>
      <c r="AB236" s="8"/>
      <c r="AC236" s="98">
        <f t="shared" si="31"/>
        <v>0</v>
      </c>
    </row>
    <row r="237" spans="14:29" x14ac:dyDescent="0.45">
      <c r="N237" s="8">
        <v>72.887634143227402</v>
      </c>
      <c r="O237" s="63"/>
      <c r="P237" s="82">
        <v>-3.0655760000000001E-2</v>
      </c>
      <c r="Q237" s="98">
        <f t="shared" si="25"/>
        <v>-2.053756269231204E-2</v>
      </c>
      <c r="R237" s="8"/>
      <c r="S237" s="63"/>
      <c r="T237" s="8"/>
      <c r="U237" s="101">
        <f t="shared" si="26"/>
        <v>0</v>
      </c>
      <c r="V237" s="8"/>
      <c r="W237" s="63"/>
      <c r="X237" s="8"/>
      <c r="Y237" s="104">
        <f t="shared" si="27"/>
        <v>0</v>
      </c>
      <c r="Z237" s="8"/>
      <c r="AA237" s="63"/>
      <c r="AB237" s="8"/>
      <c r="AC237" s="98">
        <f t="shared" si="31"/>
        <v>0</v>
      </c>
    </row>
    <row r="238" spans="14:29" x14ac:dyDescent="0.45">
      <c r="N238" s="8">
        <v>72.887644143327407</v>
      </c>
      <c r="O238" s="63"/>
      <c r="P238" s="82">
        <v>-3.2272189999999999E-2</v>
      </c>
      <c r="Q238" s="98">
        <f t="shared" si="25"/>
        <v>-2.162047606528775E-2</v>
      </c>
      <c r="R238" s="8"/>
      <c r="S238" s="63"/>
      <c r="T238" s="8"/>
      <c r="U238" s="101">
        <f t="shared" si="26"/>
        <v>0</v>
      </c>
      <c r="V238" s="8"/>
      <c r="W238" s="63"/>
      <c r="X238" s="8"/>
      <c r="Y238" s="104">
        <f t="shared" si="27"/>
        <v>0</v>
      </c>
      <c r="Z238" s="8"/>
      <c r="AA238" s="63"/>
      <c r="AB238" s="8"/>
      <c r="AC238" s="98">
        <f t="shared" si="31"/>
        <v>0</v>
      </c>
    </row>
    <row r="239" spans="14:29" x14ac:dyDescent="0.45">
      <c r="N239" s="8">
        <v>72.887654143427397</v>
      </c>
      <c r="O239" s="63"/>
      <c r="P239" s="82">
        <v>-2.8716044E-2</v>
      </c>
      <c r="Q239" s="98">
        <f t="shared" si="25"/>
        <v>-1.9238066644741182E-2</v>
      </c>
      <c r="R239" s="8"/>
      <c r="S239" s="63"/>
      <c r="T239" s="8"/>
      <c r="U239" s="101">
        <f t="shared" si="26"/>
        <v>0</v>
      </c>
      <c r="V239" s="8"/>
      <c r="W239" s="63"/>
      <c r="X239" s="8"/>
      <c r="Y239" s="104">
        <f t="shared" si="27"/>
        <v>0</v>
      </c>
      <c r="Z239" s="8"/>
      <c r="AA239" s="63"/>
      <c r="AB239" s="8"/>
      <c r="AC239" s="98">
        <f t="shared" si="31"/>
        <v>0</v>
      </c>
    </row>
    <row r="240" spans="14:29" x14ac:dyDescent="0.45">
      <c r="N240" s="8">
        <v>72.887664143527402</v>
      </c>
      <c r="O240" s="63"/>
      <c r="P240" s="82">
        <v>-1.883306E-3</v>
      </c>
      <c r="Q240" s="98">
        <f t="shared" si="25"/>
        <v>-1.2617046533443443E-3</v>
      </c>
      <c r="R240" s="8"/>
      <c r="S240" s="63"/>
      <c r="T240" s="8"/>
      <c r="U240" s="101">
        <f t="shared" si="26"/>
        <v>0</v>
      </c>
      <c r="V240" s="8"/>
      <c r="W240" s="63"/>
      <c r="X240" s="8"/>
      <c r="Y240" s="104">
        <f t="shared" si="27"/>
        <v>0</v>
      </c>
      <c r="Z240" s="8"/>
      <c r="AA240" s="63"/>
      <c r="AB240" s="8"/>
      <c r="AC240" s="98">
        <f t="shared" si="31"/>
        <v>0</v>
      </c>
    </row>
    <row r="241" spans="14:29" x14ac:dyDescent="0.45">
      <c r="N241" s="8">
        <v>72.887674143627393</v>
      </c>
      <c r="O241" s="63"/>
      <c r="P241" s="82">
        <v>0.14973782799999999</v>
      </c>
      <c r="Q241" s="98">
        <f t="shared" si="25"/>
        <v>0.10031556973177755</v>
      </c>
      <c r="R241" s="8"/>
      <c r="S241" s="63"/>
      <c r="T241" s="8"/>
      <c r="U241" s="101">
        <f t="shared" si="26"/>
        <v>0</v>
      </c>
      <c r="V241" s="8"/>
      <c r="W241" s="63"/>
      <c r="X241" s="8"/>
      <c r="Y241" s="104">
        <f t="shared" si="27"/>
        <v>0</v>
      </c>
      <c r="Z241" s="8"/>
      <c r="AA241" s="63"/>
      <c r="AB241" s="8"/>
      <c r="AC241" s="98">
        <f t="shared" si="31"/>
        <v>0</v>
      </c>
    </row>
    <row r="242" spans="14:29" x14ac:dyDescent="0.45">
      <c r="N242" s="8">
        <v>72.887684143727398</v>
      </c>
      <c r="O242" s="63"/>
      <c r="P242" s="82">
        <v>0.13422010000000001</v>
      </c>
      <c r="Q242" s="98">
        <f t="shared" si="25"/>
        <v>8.9919601351210715E-2</v>
      </c>
      <c r="R242" s="8"/>
      <c r="S242" s="63"/>
      <c r="T242" s="8"/>
      <c r="U242" s="101">
        <f t="shared" si="26"/>
        <v>0</v>
      </c>
      <c r="V242" s="8"/>
      <c r="W242" s="63"/>
      <c r="X242" s="8"/>
      <c r="Y242" s="104">
        <f t="shared" si="27"/>
        <v>0</v>
      </c>
      <c r="Z242" s="8"/>
      <c r="AA242" s="63"/>
      <c r="AB242" s="8"/>
      <c r="AC242" s="98">
        <f t="shared" si="31"/>
        <v>0</v>
      </c>
    </row>
    <row r="243" spans="14:29" x14ac:dyDescent="0.45">
      <c r="N243" s="8">
        <v>72.887694143827503</v>
      </c>
      <c r="O243" s="63"/>
      <c r="P243" s="82">
        <v>7.8614907999999997E-2</v>
      </c>
      <c r="Q243" s="98">
        <f t="shared" si="25"/>
        <v>5.2667381320846168E-2</v>
      </c>
      <c r="R243" s="8"/>
      <c r="S243" s="63"/>
      <c r="T243" s="8"/>
      <c r="U243" s="101">
        <f t="shared" si="26"/>
        <v>0</v>
      </c>
      <c r="V243" s="8"/>
      <c r="W243" s="63"/>
      <c r="X243" s="8"/>
      <c r="Y243" s="104">
        <f t="shared" si="27"/>
        <v>0</v>
      </c>
      <c r="Z243" s="8"/>
      <c r="AA243" s="63"/>
      <c r="AB243" s="8"/>
      <c r="AC243" s="98">
        <f t="shared" si="31"/>
        <v>0</v>
      </c>
    </row>
    <row r="244" spans="14:29" x14ac:dyDescent="0.45">
      <c r="N244" s="8">
        <v>72.887704143927394</v>
      </c>
      <c r="O244" s="63"/>
      <c r="P244" s="82">
        <v>5.2289859999999997E-3</v>
      </c>
      <c r="Q244" s="98">
        <f t="shared" si="25"/>
        <v>3.5031141877487934E-3</v>
      </c>
      <c r="R244" s="8"/>
      <c r="S244" s="63"/>
      <c r="T244" s="8"/>
      <c r="U244" s="101">
        <f t="shared" si="26"/>
        <v>0</v>
      </c>
      <c r="V244" s="8"/>
      <c r="W244" s="63"/>
      <c r="X244" s="8"/>
      <c r="Y244" s="104">
        <f t="shared" si="27"/>
        <v>0</v>
      </c>
      <c r="Z244" s="8"/>
      <c r="AA244" s="63"/>
      <c r="AB244" s="8"/>
      <c r="AC244" s="98">
        <f t="shared" si="31"/>
        <v>0</v>
      </c>
    </row>
    <row r="245" spans="14:29" x14ac:dyDescent="0.45">
      <c r="N245" s="8">
        <v>72.887714144027399</v>
      </c>
      <c r="O245" s="63"/>
      <c r="P245" s="82">
        <v>0.133896814</v>
      </c>
      <c r="Q245" s="98">
        <f t="shared" si="25"/>
        <v>8.9703018676615565E-2</v>
      </c>
      <c r="R245" s="8"/>
      <c r="S245" s="63"/>
      <c r="T245" s="8"/>
      <c r="U245" s="101">
        <f t="shared" si="26"/>
        <v>0</v>
      </c>
      <c r="V245" s="8"/>
      <c r="W245" s="63"/>
      <c r="X245" s="8"/>
      <c r="Y245" s="104">
        <f t="shared" si="27"/>
        <v>0</v>
      </c>
      <c r="Z245" s="8"/>
      <c r="AA245" s="63"/>
      <c r="AB245" s="8"/>
      <c r="AC245" s="98">
        <f t="shared" si="31"/>
        <v>0</v>
      </c>
    </row>
    <row r="246" spans="14:29" x14ac:dyDescent="0.45">
      <c r="N246" s="8">
        <v>72.887724144127503</v>
      </c>
      <c r="O246" s="63"/>
      <c r="P246" s="82">
        <v>0.106094218</v>
      </c>
      <c r="Q246" s="98">
        <f t="shared" si="25"/>
        <v>7.1076908661433291E-2</v>
      </c>
      <c r="R246" s="8"/>
      <c r="S246" s="63"/>
      <c r="T246" s="8"/>
      <c r="U246" s="101">
        <f t="shared" si="26"/>
        <v>0</v>
      </c>
      <c r="V246" s="8"/>
      <c r="W246" s="63"/>
      <c r="X246" s="8"/>
      <c r="Y246" s="104">
        <f t="shared" si="27"/>
        <v>0</v>
      </c>
      <c r="Z246" s="8"/>
      <c r="AA246" s="63"/>
      <c r="AB246" s="8"/>
      <c r="AC246" s="98">
        <f t="shared" si="31"/>
        <v>0</v>
      </c>
    </row>
    <row r="247" spans="14:29" x14ac:dyDescent="0.45">
      <c r="N247" s="8">
        <v>72.887734144227394</v>
      </c>
      <c r="O247" s="63"/>
      <c r="P247" s="82">
        <v>0.121935232</v>
      </c>
      <c r="Q247" s="98">
        <f t="shared" si="25"/>
        <v>8.1689459716595289E-2</v>
      </c>
      <c r="R247" s="8"/>
      <c r="S247" s="63"/>
      <c r="T247" s="8"/>
      <c r="U247" s="101">
        <f t="shared" si="26"/>
        <v>0</v>
      </c>
      <c r="V247" s="8"/>
      <c r="W247" s="63"/>
      <c r="X247" s="8"/>
      <c r="Y247" s="104">
        <f t="shared" si="27"/>
        <v>0</v>
      </c>
      <c r="Z247" s="8"/>
      <c r="AA247" s="63"/>
      <c r="AB247" s="8"/>
      <c r="AC247" s="98">
        <f t="shared" si="31"/>
        <v>0</v>
      </c>
    </row>
    <row r="248" spans="14:29" x14ac:dyDescent="0.45">
      <c r="N248" s="8">
        <v>72.887744144327399</v>
      </c>
      <c r="O248" s="63"/>
      <c r="P248" s="82">
        <v>6.8916327999999999E-2</v>
      </c>
      <c r="Q248" s="98">
        <f t="shared" si="25"/>
        <v>4.616990108299189E-2</v>
      </c>
      <c r="R248" s="8"/>
      <c r="S248" s="63"/>
      <c r="T248" s="8"/>
      <c r="U248" s="101">
        <f t="shared" si="26"/>
        <v>0</v>
      </c>
      <c r="V248" s="8"/>
      <c r="W248" s="63"/>
      <c r="X248" s="8"/>
      <c r="Y248" s="104">
        <f t="shared" si="27"/>
        <v>0</v>
      </c>
      <c r="Z248" s="8"/>
      <c r="AA248" s="63"/>
      <c r="AB248" s="8"/>
      <c r="AC248" s="98">
        <f t="shared" si="31"/>
        <v>0</v>
      </c>
    </row>
    <row r="249" spans="14:29" x14ac:dyDescent="0.45">
      <c r="N249" s="8">
        <v>72.887754144427504</v>
      </c>
      <c r="O249" s="63"/>
      <c r="P249" s="82">
        <v>0.17560070799999999</v>
      </c>
      <c r="Q249" s="98">
        <f t="shared" si="25"/>
        <v>0.11764218369938896</v>
      </c>
      <c r="R249" s="8"/>
      <c r="S249" s="63"/>
      <c r="T249" s="8"/>
      <c r="U249" s="101">
        <f t="shared" si="26"/>
        <v>0</v>
      </c>
      <c r="V249" s="8"/>
      <c r="W249" s="63"/>
      <c r="X249" s="8"/>
      <c r="Y249" s="104">
        <f t="shared" si="27"/>
        <v>0</v>
      </c>
      <c r="Z249" s="8"/>
      <c r="AA249" s="63"/>
      <c r="AB249" s="8"/>
      <c r="AC249" s="98">
        <f t="shared" si="31"/>
        <v>0</v>
      </c>
    </row>
    <row r="250" spans="14:29" x14ac:dyDescent="0.45">
      <c r="N250" s="8">
        <v>72.887764144527495</v>
      </c>
      <c r="O250" s="63"/>
      <c r="P250" s="82">
        <v>0.15070768600000001</v>
      </c>
      <c r="Q250" s="98">
        <f t="shared" si="25"/>
        <v>0.10096531775556299</v>
      </c>
      <c r="R250" s="8"/>
      <c r="S250" s="63"/>
      <c r="T250" s="8"/>
      <c r="U250" s="101">
        <f t="shared" si="26"/>
        <v>0</v>
      </c>
      <c r="V250" s="8"/>
      <c r="W250" s="63"/>
      <c r="X250" s="8"/>
      <c r="Y250" s="104">
        <f t="shared" si="27"/>
        <v>0</v>
      </c>
      <c r="Z250" s="8"/>
      <c r="AA250" s="63"/>
      <c r="AB250" s="8"/>
      <c r="AC250" s="98">
        <f t="shared" si="31"/>
        <v>0</v>
      </c>
    </row>
    <row r="251" spans="14:29" x14ac:dyDescent="0.45">
      <c r="N251" s="8">
        <v>72.8877741446274</v>
      </c>
      <c r="O251" s="63"/>
      <c r="P251" s="82">
        <v>0.18982529200000001</v>
      </c>
      <c r="Q251" s="98">
        <f t="shared" si="25"/>
        <v>0.12717182138157523</v>
      </c>
      <c r="R251" s="8"/>
      <c r="S251" s="63"/>
      <c r="T251" s="8"/>
      <c r="U251" s="101">
        <f t="shared" si="26"/>
        <v>0</v>
      </c>
      <c r="V251" s="8"/>
      <c r="W251" s="63"/>
      <c r="X251" s="8"/>
      <c r="Y251" s="104">
        <f t="shared" si="27"/>
        <v>0</v>
      </c>
      <c r="Z251" s="8"/>
      <c r="AA251" s="63"/>
      <c r="AB251" s="8"/>
      <c r="AC251" s="98">
        <f t="shared" si="31"/>
        <v>0</v>
      </c>
    </row>
    <row r="252" spans="14:29" x14ac:dyDescent="0.45">
      <c r="N252" s="8">
        <v>72.887784144727505</v>
      </c>
      <c r="O252" s="63"/>
      <c r="P252" s="82">
        <v>0.12452152</v>
      </c>
      <c r="Q252" s="98">
        <f t="shared" si="25"/>
        <v>8.3422121113356423E-2</v>
      </c>
      <c r="R252" s="8"/>
      <c r="S252" s="63"/>
      <c r="T252" s="8"/>
      <c r="U252" s="101">
        <f t="shared" si="26"/>
        <v>0</v>
      </c>
      <c r="V252" s="8"/>
      <c r="W252" s="63"/>
      <c r="X252" s="8"/>
      <c r="Y252" s="104">
        <f t="shared" si="27"/>
        <v>0</v>
      </c>
      <c r="Z252" s="8"/>
      <c r="AA252" s="63"/>
      <c r="AB252" s="8"/>
      <c r="AC252" s="98">
        <f t="shared" si="31"/>
        <v>0</v>
      </c>
    </row>
    <row r="253" spans="14:29" x14ac:dyDescent="0.45">
      <c r="N253" s="8">
        <v>72.887794144827495</v>
      </c>
      <c r="O253" s="63"/>
      <c r="P253" s="82">
        <v>0.21536488600000001</v>
      </c>
      <c r="Q253" s="98">
        <f t="shared" si="25"/>
        <v>0.14428185267459151</v>
      </c>
      <c r="R253" s="8"/>
      <c r="S253" s="63"/>
      <c r="T253" s="8"/>
      <c r="U253" s="101">
        <f t="shared" si="26"/>
        <v>0</v>
      </c>
      <c r="V253" s="8"/>
      <c r="W253" s="63"/>
      <c r="X253" s="8"/>
      <c r="Y253" s="104">
        <f t="shared" si="27"/>
        <v>0</v>
      </c>
      <c r="Z253" s="8"/>
      <c r="AA253" s="63"/>
      <c r="AB253" s="8"/>
      <c r="AC253" s="98">
        <f t="shared" si="31"/>
        <v>0</v>
      </c>
    </row>
    <row r="254" spans="14:29" x14ac:dyDescent="0.45">
      <c r="N254" s="8">
        <v>72.887804144927401</v>
      </c>
      <c r="O254" s="63"/>
      <c r="P254" s="82">
        <v>0.16719527200000001</v>
      </c>
      <c r="Q254" s="98">
        <f t="shared" si="25"/>
        <v>0.11201103415991526</v>
      </c>
      <c r="R254" s="8"/>
      <c r="S254" s="63"/>
      <c r="T254" s="8"/>
      <c r="U254" s="101">
        <f t="shared" si="26"/>
        <v>0</v>
      </c>
      <c r="V254" s="8"/>
      <c r="W254" s="63"/>
      <c r="X254" s="8"/>
      <c r="Y254" s="104">
        <f t="shared" si="27"/>
        <v>0</v>
      </c>
      <c r="Z254" s="8"/>
      <c r="AA254" s="63"/>
      <c r="AB254" s="8"/>
      <c r="AC254" s="98">
        <f t="shared" si="31"/>
        <v>0</v>
      </c>
    </row>
    <row r="255" spans="14:29" x14ac:dyDescent="0.45">
      <c r="N255" s="8">
        <v>72.887814145027505</v>
      </c>
      <c r="O255" s="63"/>
      <c r="P255" s="82">
        <v>0.20211016000000001</v>
      </c>
      <c r="Q255" s="98">
        <f t="shared" si="25"/>
        <v>0.13540196301619067</v>
      </c>
      <c r="R255" s="8"/>
      <c r="S255" s="63"/>
      <c r="T255" s="8"/>
      <c r="U255" s="101">
        <f t="shared" si="26"/>
        <v>0</v>
      </c>
      <c r="V255" s="8"/>
      <c r="W255" s="63"/>
      <c r="X255" s="8"/>
      <c r="Y255" s="104">
        <f t="shared" si="27"/>
        <v>0</v>
      </c>
      <c r="Z255" s="8"/>
      <c r="AA255" s="63"/>
      <c r="AB255" s="8"/>
      <c r="AC255" s="98">
        <f t="shared" si="31"/>
        <v>0</v>
      </c>
    </row>
    <row r="256" spans="14:29" x14ac:dyDescent="0.45">
      <c r="N256" s="8">
        <v>72.887824145127496</v>
      </c>
      <c r="O256" s="63"/>
      <c r="P256" s="82">
        <v>0.11643937</v>
      </c>
      <c r="Q256" s="98">
        <f t="shared" si="25"/>
        <v>7.8007554248477856E-2</v>
      </c>
      <c r="R256" s="8"/>
      <c r="S256" s="63"/>
      <c r="T256" s="8"/>
      <c r="U256" s="101">
        <f t="shared" si="26"/>
        <v>0</v>
      </c>
      <c r="V256" s="8"/>
      <c r="W256" s="63"/>
      <c r="X256" s="8"/>
      <c r="Y256" s="104">
        <f t="shared" si="27"/>
        <v>0</v>
      </c>
      <c r="Z256" s="8"/>
      <c r="AA256" s="63"/>
      <c r="AB256" s="8"/>
      <c r="AC256" s="98">
        <f t="shared" si="31"/>
        <v>0</v>
      </c>
    </row>
    <row r="257" spans="14:29" x14ac:dyDescent="0.45">
      <c r="N257" s="8">
        <v>72.887834145227501</v>
      </c>
      <c r="O257" s="63"/>
      <c r="P257" s="82">
        <v>0.17495413600000001</v>
      </c>
      <c r="Q257" s="98">
        <f t="shared" si="25"/>
        <v>0.11720901835019869</v>
      </c>
      <c r="R257" s="8"/>
      <c r="S257" s="63"/>
      <c r="T257" s="8"/>
      <c r="U257" s="101">
        <f t="shared" si="26"/>
        <v>0</v>
      </c>
      <c r="V257" s="8"/>
      <c r="W257" s="63"/>
      <c r="X257" s="8"/>
      <c r="Y257" s="104">
        <f t="shared" si="27"/>
        <v>0</v>
      </c>
      <c r="Z257" s="8"/>
      <c r="AA257" s="63"/>
      <c r="AB257" s="8"/>
      <c r="AC257" s="98">
        <f t="shared" si="31"/>
        <v>0</v>
      </c>
    </row>
    <row r="258" spans="14:29" x14ac:dyDescent="0.45">
      <c r="N258" s="8">
        <v>72.887844145327506</v>
      </c>
      <c r="O258" s="63"/>
      <c r="P258" s="82">
        <v>0.13001738199999999</v>
      </c>
      <c r="Q258" s="98">
        <f t="shared" si="25"/>
        <v>8.7104026581473842E-2</v>
      </c>
      <c r="R258" s="8"/>
      <c r="S258" s="63"/>
      <c r="T258" s="8"/>
      <c r="U258" s="101">
        <f t="shared" si="26"/>
        <v>0</v>
      </c>
      <c r="V258" s="8"/>
      <c r="W258" s="63"/>
      <c r="X258" s="8"/>
      <c r="Y258" s="104">
        <f t="shared" si="27"/>
        <v>0</v>
      </c>
      <c r="Z258" s="8"/>
      <c r="AA258" s="63"/>
      <c r="AB258" s="8"/>
      <c r="AC258" s="98">
        <f t="shared" si="31"/>
        <v>0</v>
      </c>
    </row>
    <row r="259" spans="14:29" x14ac:dyDescent="0.45">
      <c r="N259" s="8">
        <v>72.887854145427497</v>
      </c>
      <c r="O259" s="63"/>
      <c r="P259" s="82">
        <v>0.16299255400000001</v>
      </c>
      <c r="Q259" s="98">
        <f t="shared" si="25"/>
        <v>0.1091954593901784</v>
      </c>
      <c r="R259" s="8"/>
      <c r="S259" s="63"/>
      <c r="T259" s="8"/>
      <c r="U259" s="101">
        <f t="shared" si="26"/>
        <v>0</v>
      </c>
      <c r="V259" s="8"/>
      <c r="W259" s="63"/>
      <c r="X259" s="8"/>
      <c r="Y259" s="104">
        <f t="shared" si="27"/>
        <v>0</v>
      </c>
      <c r="Z259" s="8"/>
      <c r="AA259" s="63"/>
      <c r="AB259" s="8"/>
      <c r="AC259" s="98">
        <f t="shared" si="31"/>
        <v>0</v>
      </c>
    </row>
    <row r="260" spans="14:29" x14ac:dyDescent="0.45">
      <c r="N260" s="8">
        <v>72.887864145527502</v>
      </c>
      <c r="O260" s="63"/>
      <c r="P260" s="82">
        <v>7.0856044000000007E-2</v>
      </c>
      <c r="Q260" s="98">
        <f t="shared" ref="Q260:Q323" si="32">P260/$Q$2</f>
        <v>4.7469397130562752E-2</v>
      </c>
      <c r="R260" s="8"/>
      <c r="S260" s="63"/>
      <c r="T260" s="8"/>
      <c r="U260" s="101">
        <f t="shared" ref="U260:U323" si="33">T260/$U$2</f>
        <v>0</v>
      </c>
      <c r="V260" s="8"/>
      <c r="W260" s="63"/>
      <c r="X260" s="8"/>
      <c r="Y260" s="104">
        <f t="shared" ref="Y260:Y323" si="34">X260/$Y$2</f>
        <v>0</v>
      </c>
      <c r="Z260" s="8"/>
      <c r="AA260" s="63"/>
      <c r="AB260" s="8"/>
      <c r="AC260" s="98">
        <f t="shared" si="31"/>
        <v>0</v>
      </c>
    </row>
    <row r="261" spans="14:29" x14ac:dyDescent="0.45">
      <c r="N261" s="8">
        <v>72.887874145627507</v>
      </c>
      <c r="O261" s="63"/>
      <c r="P261" s="82">
        <v>0.13422010000000001</v>
      </c>
      <c r="Q261" s="98">
        <f t="shared" si="32"/>
        <v>8.9919601351210715E-2</v>
      </c>
      <c r="R261" s="8"/>
      <c r="S261" s="63"/>
      <c r="T261" s="8"/>
      <c r="U261" s="101">
        <f t="shared" si="33"/>
        <v>0</v>
      </c>
      <c r="V261" s="8"/>
      <c r="W261" s="63"/>
      <c r="X261" s="8"/>
      <c r="Y261" s="104">
        <f t="shared" si="34"/>
        <v>0</v>
      </c>
      <c r="Z261" s="8"/>
      <c r="AA261" s="63"/>
      <c r="AB261" s="8"/>
      <c r="AC261" s="98">
        <f t="shared" ref="AC261:AC324" si="35">AB261/$AD$2</f>
        <v>0</v>
      </c>
    </row>
    <row r="262" spans="14:29" x14ac:dyDescent="0.45">
      <c r="N262" s="8">
        <v>72.887884145727497</v>
      </c>
      <c r="O262" s="63"/>
      <c r="P262" s="82">
        <v>8.8636774000000002E-2</v>
      </c>
      <c r="Q262" s="98">
        <f t="shared" si="32"/>
        <v>5.938144423329559E-2</v>
      </c>
      <c r="R262" s="8"/>
      <c r="S262" s="63"/>
      <c r="T262" s="8"/>
      <c r="U262" s="101">
        <f t="shared" si="33"/>
        <v>0</v>
      </c>
      <c r="V262" s="8"/>
      <c r="W262" s="63"/>
      <c r="X262" s="8"/>
      <c r="Y262" s="104">
        <f t="shared" si="34"/>
        <v>0</v>
      </c>
      <c r="Z262" s="8"/>
      <c r="AA262" s="63"/>
      <c r="AB262" s="8"/>
      <c r="AC262" s="98">
        <f t="shared" si="35"/>
        <v>0</v>
      </c>
    </row>
    <row r="263" spans="14:29" x14ac:dyDescent="0.45">
      <c r="N263" s="8">
        <v>72.887894145827502</v>
      </c>
      <c r="O263" s="63"/>
      <c r="P263" s="82">
        <v>8.7666915999999998E-2</v>
      </c>
      <c r="Q263" s="98">
        <f t="shared" si="32"/>
        <v>5.8731696209510159E-2</v>
      </c>
      <c r="R263" s="8"/>
      <c r="S263" s="63"/>
      <c r="T263" s="8"/>
      <c r="U263" s="101">
        <f t="shared" si="33"/>
        <v>0</v>
      </c>
      <c r="V263" s="8"/>
      <c r="W263" s="63"/>
      <c r="X263" s="8"/>
      <c r="Y263" s="104">
        <f t="shared" si="34"/>
        <v>0</v>
      </c>
      <c r="Z263" s="8"/>
      <c r="AA263" s="63"/>
      <c r="AB263" s="8"/>
      <c r="AC263" s="98">
        <f t="shared" si="35"/>
        <v>0</v>
      </c>
    </row>
    <row r="264" spans="14:29" x14ac:dyDescent="0.45">
      <c r="N264" s="8">
        <v>72.887904145927493</v>
      </c>
      <c r="O264" s="63"/>
      <c r="P264" s="82">
        <v>-6.0860239999999998E-3</v>
      </c>
      <c r="Q264" s="98">
        <f t="shared" si="32"/>
        <v>-4.0772794230811982E-3</v>
      </c>
      <c r="R264" s="8"/>
      <c r="S264" s="63"/>
      <c r="T264" s="8"/>
      <c r="U264" s="101">
        <f t="shared" si="33"/>
        <v>0</v>
      </c>
      <c r="V264" s="8"/>
      <c r="W264" s="63"/>
      <c r="X264" s="8"/>
      <c r="Y264" s="104">
        <f t="shared" si="34"/>
        <v>0</v>
      </c>
      <c r="Z264" s="8"/>
      <c r="AA264" s="63"/>
      <c r="AB264" s="8"/>
      <c r="AC264" s="98">
        <f t="shared" si="35"/>
        <v>0</v>
      </c>
    </row>
    <row r="265" spans="14:29" x14ac:dyDescent="0.45">
      <c r="N265" s="8">
        <v>72.887914146027498</v>
      </c>
      <c r="O265" s="63"/>
      <c r="P265" s="82">
        <v>1.4604280000000001E-2</v>
      </c>
      <c r="Q265" s="98">
        <f t="shared" si="32"/>
        <v>9.7840117510079299E-3</v>
      </c>
      <c r="R265" s="8"/>
      <c r="S265" s="63"/>
      <c r="T265" s="8"/>
      <c r="U265" s="101">
        <f t="shared" si="33"/>
        <v>0</v>
      </c>
      <c r="V265" s="8"/>
      <c r="W265" s="63"/>
      <c r="X265" s="8"/>
      <c r="Y265" s="104">
        <f t="shared" si="34"/>
        <v>0</v>
      </c>
      <c r="Z265" s="8"/>
      <c r="AA265" s="63"/>
      <c r="AB265" s="8"/>
      <c r="AC265" s="98">
        <f t="shared" si="35"/>
        <v>0</v>
      </c>
    </row>
    <row r="266" spans="14:29" x14ac:dyDescent="0.45">
      <c r="N266" s="8">
        <v>72.887924146127503</v>
      </c>
      <c r="O266" s="63"/>
      <c r="P266" s="82">
        <v>1.8483711999999999E-2</v>
      </c>
      <c r="Q266" s="98">
        <f t="shared" si="32"/>
        <v>1.2383003846149642E-2</v>
      </c>
      <c r="R266" s="8"/>
      <c r="S266" s="63"/>
      <c r="T266" s="8"/>
      <c r="U266" s="101">
        <f t="shared" si="33"/>
        <v>0</v>
      </c>
      <c r="V266" s="8"/>
      <c r="W266" s="63"/>
      <c r="X266" s="8"/>
      <c r="Y266" s="104">
        <f t="shared" si="34"/>
        <v>0</v>
      </c>
      <c r="Z266" s="8"/>
      <c r="AA266" s="63"/>
      <c r="AB266" s="8"/>
      <c r="AC266" s="98">
        <f t="shared" si="35"/>
        <v>0</v>
      </c>
    </row>
    <row r="267" spans="14:29" x14ac:dyDescent="0.45">
      <c r="N267" s="8">
        <v>72.887934146227494</v>
      </c>
      <c r="O267" s="63"/>
      <c r="P267" s="82">
        <v>7.7321764000000001E-2</v>
      </c>
      <c r="Q267" s="98">
        <f t="shared" si="32"/>
        <v>5.1801050622465601E-2</v>
      </c>
      <c r="R267" s="8"/>
      <c r="S267" s="63"/>
      <c r="T267" s="8"/>
      <c r="U267" s="101">
        <f t="shared" si="33"/>
        <v>0</v>
      </c>
      <c r="V267" s="8"/>
      <c r="W267" s="63"/>
      <c r="X267" s="8"/>
      <c r="Y267" s="104">
        <f t="shared" si="34"/>
        <v>0</v>
      </c>
      <c r="Z267" s="8"/>
      <c r="AA267" s="63"/>
      <c r="AB267" s="8"/>
      <c r="AC267" s="98">
        <f t="shared" si="35"/>
        <v>0</v>
      </c>
    </row>
    <row r="268" spans="14:29" x14ac:dyDescent="0.45">
      <c r="N268" s="8">
        <v>72.887944146327499</v>
      </c>
      <c r="O268" s="63"/>
      <c r="P268" s="82">
        <v>3.6911013999999999E-2</v>
      </c>
      <c r="Q268" s="98">
        <f t="shared" si="32"/>
        <v>2.4728216298072772E-2</v>
      </c>
      <c r="R268" s="8"/>
      <c r="S268" s="63"/>
      <c r="T268" s="8"/>
      <c r="U268" s="101">
        <f t="shared" si="33"/>
        <v>0</v>
      </c>
      <c r="V268" s="8"/>
      <c r="W268" s="63"/>
      <c r="X268" s="8"/>
      <c r="Y268" s="104">
        <f t="shared" si="34"/>
        <v>0</v>
      </c>
      <c r="Z268" s="8"/>
      <c r="AA268" s="63"/>
      <c r="AB268" s="8"/>
      <c r="AC268" s="98">
        <f t="shared" si="35"/>
        <v>0</v>
      </c>
    </row>
    <row r="269" spans="14:29" x14ac:dyDescent="0.45">
      <c r="N269" s="8">
        <v>72.887954146427504</v>
      </c>
      <c r="O269" s="63"/>
      <c r="P269" s="82">
        <v>2.1716572E-2</v>
      </c>
      <c r="Q269" s="98">
        <f t="shared" si="32"/>
        <v>1.4548830592101068E-2</v>
      </c>
      <c r="R269" s="8"/>
      <c r="S269" s="63"/>
      <c r="T269" s="8"/>
      <c r="U269" s="101">
        <f t="shared" si="33"/>
        <v>0</v>
      </c>
      <c r="V269" s="8"/>
      <c r="W269" s="63"/>
      <c r="X269" s="8"/>
      <c r="Y269" s="104">
        <f t="shared" si="34"/>
        <v>0</v>
      </c>
      <c r="Z269" s="8"/>
      <c r="AA269" s="63"/>
      <c r="AB269" s="8"/>
      <c r="AC269" s="98">
        <f t="shared" si="35"/>
        <v>0</v>
      </c>
    </row>
    <row r="270" spans="14:29" x14ac:dyDescent="0.45">
      <c r="N270" s="8">
        <v>72.887964146527494</v>
      </c>
      <c r="O270" s="63"/>
      <c r="P270" s="82">
        <v>9.1084180000000001E-3</v>
      </c>
      <c r="Q270" s="98">
        <f t="shared" si="32"/>
        <v>6.1021062828905048E-3</v>
      </c>
      <c r="R270" s="8"/>
      <c r="S270" s="63"/>
      <c r="T270" s="8"/>
      <c r="U270" s="101">
        <f t="shared" si="33"/>
        <v>0</v>
      </c>
      <c r="V270" s="8"/>
      <c r="W270" s="63"/>
      <c r="X270" s="8"/>
      <c r="Y270" s="104">
        <f t="shared" si="34"/>
        <v>0</v>
      </c>
      <c r="Z270" s="8"/>
      <c r="AA270" s="63"/>
      <c r="AB270" s="8"/>
      <c r="AC270" s="98">
        <f t="shared" si="35"/>
        <v>0</v>
      </c>
    </row>
    <row r="271" spans="14:29" x14ac:dyDescent="0.45">
      <c r="N271" s="8">
        <v>72.887974146627499</v>
      </c>
      <c r="O271" s="63"/>
      <c r="P271" s="82">
        <v>1.7190568E-2</v>
      </c>
      <c r="Q271" s="98">
        <f t="shared" si="32"/>
        <v>1.1516673147769071E-2</v>
      </c>
      <c r="R271" s="8"/>
      <c r="S271" s="63"/>
      <c r="T271" s="8"/>
      <c r="U271" s="101">
        <f t="shared" si="33"/>
        <v>0</v>
      </c>
      <c r="V271" s="8"/>
      <c r="W271" s="63"/>
      <c r="X271" s="8"/>
      <c r="Y271" s="104">
        <f t="shared" si="34"/>
        <v>0</v>
      </c>
      <c r="Z271" s="8"/>
      <c r="AA271" s="63"/>
      <c r="AB271" s="8"/>
      <c r="AC271" s="98">
        <f t="shared" si="35"/>
        <v>0</v>
      </c>
    </row>
    <row r="272" spans="14:29" x14ac:dyDescent="0.45">
      <c r="N272" s="8">
        <v>72.887984146727504</v>
      </c>
      <c r="O272" s="63"/>
      <c r="P272" s="82">
        <v>-2.1927037999999999E-2</v>
      </c>
      <c r="Q272" s="98">
        <f t="shared" si="32"/>
        <v>-1.4689830478243187E-2</v>
      </c>
      <c r="R272" s="8"/>
      <c r="S272" s="63"/>
      <c r="T272" s="8"/>
      <c r="U272" s="101">
        <f t="shared" si="33"/>
        <v>0</v>
      </c>
      <c r="V272" s="8"/>
      <c r="W272" s="63"/>
      <c r="X272" s="8"/>
      <c r="Y272" s="104">
        <f t="shared" si="34"/>
        <v>0</v>
      </c>
      <c r="Z272" s="8"/>
      <c r="AA272" s="63"/>
      <c r="AB272" s="8"/>
      <c r="AC272" s="98">
        <f t="shared" si="35"/>
        <v>0</v>
      </c>
    </row>
    <row r="273" spans="14:29" x14ac:dyDescent="0.45">
      <c r="N273" s="8">
        <v>72.887994146827495</v>
      </c>
      <c r="O273" s="63"/>
      <c r="P273" s="82">
        <v>-3.6151622000000001E-2</v>
      </c>
      <c r="Q273" s="98">
        <f t="shared" si="32"/>
        <v>-2.4219468160429462E-2</v>
      </c>
      <c r="R273" s="8"/>
      <c r="S273" s="63"/>
      <c r="T273" s="8"/>
      <c r="U273" s="101">
        <f t="shared" si="33"/>
        <v>0</v>
      </c>
      <c r="V273" s="8"/>
      <c r="W273" s="63"/>
      <c r="X273" s="8"/>
      <c r="Y273" s="104">
        <f t="shared" si="34"/>
        <v>0</v>
      </c>
      <c r="Z273" s="8"/>
      <c r="AA273" s="63"/>
      <c r="AB273" s="8"/>
      <c r="AC273" s="98">
        <f t="shared" si="35"/>
        <v>0</v>
      </c>
    </row>
    <row r="274" spans="14:29" x14ac:dyDescent="0.45">
      <c r="N274" s="8">
        <v>72.8880041469275</v>
      </c>
      <c r="O274" s="63"/>
      <c r="P274" s="82">
        <v>-3.0979046E-2</v>
      </c>
      <c r="Q274" s="98">
        <f t="shared" si="32"/>
        <v>-2.075414536690718E-2</v>
      </c>
      <c r="R274" s="8"/>
      <c r="S274" s="63"/>
      <c r="T274" s="8"/>
      <c r="U274" s="101">
        <f t="shared" si="33"/>
        <v>0</v>
      </c>
      <c r="V274" s="8"/>
      <c r="W274" s="63"/>
      <c r="X274" s="8"/>
      <c r="Y274" s="104">
        <f t="shared" si="34"/>
        <v>0</v>
      </c>
      <c r="Z274" s="8"/>
      <c r="AA274" s="63"/>
      <c r="AB274" s="8"/>
      <c r="AC274" s="98">
        <f t="shared" si="35"/>
        <v>0</v>
      </c>
    </row>
    <row r="275" spans="14:29" x14ac:dyDescent="0.45">
      <c r="N275" s="8">
        <v>72.888014147027505</v>
      </c>
      <c r="O275" s="63"/>
      <c r="P275" s="82">
        <v>-1.1905172E-2</v>
      </c>
      <c r="Q275" s="98">
        <f t="shared" si="32"/>
        <v>-7.9757675657937659E-3</v>
      </c>
      <c r="R275" s="8"/>
      <c r="S275" s="63"/>
      <c r="T275" s="8"/>
      <c r="U275" s="101">
        <f t="shared" si="33"/>
        <v>0</v>
      </c>
      <c r="V275" s="8"/>
      <c r="W275" s="63"/>
      <c r="X275" s="8"/>
      <c r="Y275" s="104">
        <f t="shared" si="34"/>
        <v>0</v>
      </c>
      <c r="Z275" s="8"/>
      <c r="AA275" s="63"/>
      <c r="AB275" s="8"/>
      <c r="AC275" s="98">
        <f t="shared" si="35"/>
        <v>0</v>
      </c>
    </row>
    <row r="276" spans="14:29" x14ac:dyDescent="0.45">
      <c r="N276" s="8">
        <v>72.888024147127496</v>
      </c>
      <c r="O276" s="63"/>
      <c r="P276" s="82">
        <v>-9.6421700000000003E-3</v>
      </c>
      <c r="Q276" s="98">
        <f t="shared" si="32"/>
        <v>-6.4596888436277674E-3</v>
      </c>
      <c r="R276" s="8"/>
      <c r="S276" s="63"/>
      <c r="T276" s="8"/>
      <c r="U276" s="101">
        <f t="shared" si="33"/>
        <v>0</v>
      </c>
      <c r="V276" s="8"/>
      <c r="W276" s="63"/>
      <c r="X276" s="8"/>
      <c r="Y276" s="104">
        <f t="shared" si="34"/>
        <v>0</v>
      </c>
      <c r="Z276" s="8"/>
      <c r="AA276" s="63"/>
      <c r="AB276" s="8"/>
      <c r="AC276" s="98">
        <f t="shared" si="35"/>
        <v>0</v>
      </c>
    </row>
    <row r="277" spans="14:29" x14ac:dyDescent="0.45">
      <c r="N277" s="8">
        <v>72.888034147227501</v>
      </c>
      <c r="O277" s="63"/>
      <c r="P277" s="82">
        <v>-2.5483183999999999E-2</v>
      </c>
      <c r="Q277" s="98">
        <f t="shared" si="32"/>
        <v>-1.7072239898789754E-2</v>
      </c>
      <c r="R277" s="8"/>
      <c r="S277" s="63"/>
      <c r="T277" s="8"/>
      <c r="U277" s="101">
        <f t="shared" si="33"/>
        <v>0</v>
      </c>
      <c r="V277" s="8"/>
      <c r="W277" s="63"/>
      <c r="X277" s="8"/>
      <c r="Y277" s="104">
        <f t="shared" si="34"/>
        <v>0</v>
      </c>
      <c r="Z277" s="8"/>
      <c r="AA277" s="63"/>
      <c r="AB277" s="8"/>
      <c r="AC277" s="98">
        <f t="shared" si="35"/>
        <v>0</v>
      </c>
    </row>
    <row r="278" spans="14:29" x14ac:dyDescent="0.45">
      <c r="N278" s="8">
        <v>72.888044147327506</v>
      </c>
      <c r="O278" s="63"/>
      <c r="P278" s="82">
        <v>-3.2595475999999998E-2</v>
      </c>
      <c r="Q278" s="98">
        <f t="shared" si="32"/>
        <v>-2.1837058739882894E-2</v>
      </c>
      <c r="R278" s="8"/>
      <c r="S278" s="63"/>
      <c r="T278" s="8"/>
      <c r="U278" s="101">
        <f t="shared" si="33"/>
        <v>0</v>
      </c>
      <c r="V278" s="8"/>
      <c r="W278" s="63"/>
      <c r="X278" s="8"/>
      <c r="Y278" s="104">
        <f t="shared" si="34"/>
        <v>0</v>
      </c>
      <c r="Z278" s="8"/>
      <c r="AA278" s="63"/>
      <c r="AB278" s="8"/>
      <c r="AC278" s="98">
        <f t="shared" si="35"/>
        <v>0</v>
      </c>
    </row>
    <row r="279" spans="14:29" x14ac:dyDescent="0.45">
      <c r="N279" s="8">
        <v>72.888054147427496</v>
      </c>
      <c r="O279" s="63"/>
      <c r="P279" s="82">
        <v>-3.8091338000000002E-2</v>
      </c>
      <c r="Q279" s="98">
        <f t="shared" si="32"/>
        <v>-2.551896420800032E-2</v>
      </c>
      <c r="R279" s="8"/>
      <c r="S279" s="63"/>
      <c r="T279" s="8"/>
      <c r="U279" s="101">
        <f t="shared" si="33"/>
        <v>0</v>
      </c>
      <c r="V279" s="8"/>
      <c r="W279" s="63"/>
      <c r="X279" s="8"/>
      <c r="Y279" s="104">
        <f t="shared" si="34"/>
        <v>0</v>
      </c>
      <c r="Z279" s="8"/>
      <c r="AA279" s="63"/>
      <c r="AB279" s="8"/>
      <c r="AC279" s="98">
        <f t="shared" si="35"/>
        <v>0</v>
      </c>
    </row>
    <row r="280" spans="14:29" x14ac:dyDescent="0.45">
      <c r="N280" s="8">
        <v>72.888064147527501</v>
      </c>
      <c r="O280" s="63"/>
      <c r="P280" s="82">
        <v>-2.0310608000000001E-2</v>
      </c>
      <c r="Q280" s="98">
        <f t="shared" si="32"/>
        <v>-1.3606917105267475E-2</v>
      </c>
      <c r="R280" s="8"/>
      <c r="S280" s="63"/>
      <c r="T280" s="8"/>
      <c r="U280" s="101">
        <f t="shared" si="33"/>
        <v>0</v>
      </c>
      <c r="V280" s="8"/>
      <c r="W280" s="63"/>
      <c r="X280" s="8"/>
      <c r="Y280" s="104">
        <f t="shared" si="34"/>
        <v>0</v>
      </c>
      <c r="Z280" s="8"/>
      <c r="AA280" s="63"/>
      <c r="AB280" s="8"/>
      <c r="AC280" s="98">
        <f t="shared" si="35"/>
        <v>0</v>
      </c>
    </row>
    <row r="281" spans="14:29" x14ac:dyDescent="0.45">
      <c r="N281" s="8">
        <v>72.888074147627506</v>
      </c>
      <c r="O281" s="63"/>
      <c r="P281" s="82">
        <v>-9.6421700000000003E-3</v>
      </c>
      <c r="Q281" s="98">
        <f t="shared" si="32"/>
        <v>-6.4596888436277674E-3</v>
      </c>
      <c r="R281" s="8"/>
      <c r="S281" s="63"/>
      <c r="T281" s="8"/>
      <c r="U281" s="101">
        <f t="shared" si="33"/>
        <v>0</v>
      </c>
      <c r="V281" s="8"/>
      <c r="W281" s="63"/>
      <c r="X281" s="8"/>
      <c r="Y281" s="104">
        <f t="shared" si="34"/>
        <v>0</v>
      </c>
      <c r="Z281" s="8"/>
      <c r="AA281" s="63"/>
      <c r="AB281" s="8"/>
      <c r="AC281" s="98">
        <f t="shared" si="35"/>
        <v>0</v>
      </c>
    </row>
    <row r="282" spans="14:29" x14ac:dyDescent="0.45">
      <c r="N282" s="8">
        <v>72.888084147727497</v>
      </c>
      <c r="O282" s="63"/>
      <c r="P282" s="82">
        <v>3.885073E-2</v>
      </c>
      <c r="Q282" s="98">
        <f t="shared" si="32"/>
        <v>2.6027712345643626E-2</v>
      </c>
      <c r="R282" s="8"/>
      <c r="S282" s="63"/>
      <c r="T282" s="8"/>
      <c r="U282" s="101">
        <f t="shared" si="33"/>
        <v>0</v>
      </c>
      <c r="V282" s="8"/>
      <c r="W282" s="63"/>
      <c r="X282" s="8"/>
      <c r="Y282" s="104">
        <f t="shared" si="34"/>
        <v>0</v>
      </c>
      <c r="Z282" s="8"/>
      <c r="AA282" s="63"/>
      <c r="AB282" s="8"/>
      <c r="AC282" s="98">
        <f t="shared" si="35"/>
        <v>0</v>
      </c>
    </row>
    <row r="283" spans="14:29" x14ac:dyDescent="0.45">
      <c r="N283" s="8">
        <v>72.888094147827502</v>
      </c>
      <c r="O283" s="63"/>
      <c r="P283" s="82">
        <v>7.1502616000000005E-2</v>
      </c>
      <c r="Q283" s="98">
        <f t="shared" si="32"/>
        <v>4.7902562479753039E-2</v>
      </c>
      <c r="R283" s="8"/>
      <c r="S283" s="63"/>
      <c r="T283" s="8"/>
      <c r="U283" s="101">
        <f t="shared" si="33"/>
        <v>0</v>
      </c>
      <c r="V283" s="8"/>
      <c r="W283" s="63"/>
      <c r="X283" s="8"/>
      <c r="Y283" s="104">
        <f t="shared" si="34"/>
        <v>0</v>
      </c>
      <c r="Z283" s="8"/>
      <c r="AA283" s="63"/>
      <c r="AB283" s="8"/>
      <c r="AC283" s="98">
        <f t="shared" si="35"/>
        <v>0</v>
      </c>
    </row>
    <row r="284" spans="14:29" x14ac:dyDescent="0.45">
      <c r="N284" s="8">
        <v>72.888104147927507</v>
      </c>
      <c r="O284" s="63"/>
      <c r="P284" s="82">
        <v>0.1018915</v>
      </c>
      <c r="Q284" s="98">
        <f t="shared" si="32"/>
        <v>6.8261333891696432E-2</v>
      </c>
      <c r="R284" s="8"/>
      <c r="S284" s="63"/>
      <c r="T284" s="8"/>
      <c r="U284" s="101">
        <f t="shared" si="33"/>
        <v>0</v>
      </c>
      <c r="V284" s="8"/>
      <c r="W284" s="63"/>
      <c r="X284" s="8"/>
      <c r="Y284" s="104">
        <f t="shared" si="34"/>
        <v>0</v>
      </c>
      <c r="Z284" s="8"/>
      <c r="AA284" s="63"/>
      <c r="AB284" s="8"/>
      <c r="AC284" s="98">
        <f t="shared" si="35"/>
        <v>0</v>
      </c>
    </row>
    <row r="285" spans="14:29" x14ac:dyDescent="0.45">
      <c r="N285" s="8">
        <v>72.888114148027498</v>
      </c>
      <c r="O285" s="63"/>
      <c r="P285" s="82">
        <v>8.4757341999999999E-2</v>
      </c>
      <c r="Q285" s="98">
        <f t="shared" si="32"/>
        <v>5.6782452138153881E-2</v>
      </c>
      <c r="R285" s="8"/>
      <c r="S285" s="63"/>
      <c r="T285" s="8"/>
      <c r="U285" s="101">
        <f t="shared" si="33"/>
        <v>0</v>
      </c>
      <c r="V285" s="8"/>
      <c r="W285" s="63"/>
      <c r="X285" s="8"/>
      <c r="Y285" s="104">
        <f t="shared" si="34"/>
        <v>0</v>
      </c>
      <c r="Z285" s="8"/>
      <c r="AA285" s="63"/>
      <c r="AB285" s="8"/>
      <c r="AC285" s="98">
        <f t="shared" si="35"/>
        <v>0</v>
      </c>
    </row>
    <row r="286" spans="14:29" x14ac:dyDescent="0.45">
      <c r="N286" s="8">
        <v>72.888124148127503</v>
      </c>
      <c r="O286" s="63"/>
      <c r="P286" s="82">
        <v>8.9606632000000006E-2</v>
      </c>
      <c r="Q286" s="98">
        <f t="shared" si="32"/>
        <v>6.003119225708102E-2</v>
      </c>
      <c r="R286" s="8"/>
      <c r="S286" s="63"/>
      <c r="T286" s="8"/>
      <c r="U286" s="101">
        <f t="shared" si="33"/>
        <v>0</v>
      </c>
      <c r="V286" s="8"/>
      <c r="W286" s="63"/>
      <c r="X286" s="8"/>
      <c r="Y286" s="104">
        <f t="shared" si="34"/>
        <v>0</v>
      </c>
      <c r="Z286" s="8"/>
      <c r="AA286" s="63"/>
      <c r="AB286" s="8"/>
      <c r="AC286" s="98">
        <f t="shared" si="35"/>
        <v>0</v>
      </c>
    </row>
    <row r="287" spans="14:29" x14ac:dyDescent="0.45">
      <c r="N287" s="8">
        <v>72.888134148227493</v>
      </c>
      <c r="O287" s="63"/>
      <c r="P287" s="82">
        <v>5.4045172000000002E-2</v>
      </c>
      <c r="Q287" s="98">
        <f t="shared" si="32"/>
        <v>3.620709805161533E-2</v>
      </c>
      <c r="R287" s="8"/>
      <c r="S287" s="63"/>
      <c r="T287" s="8"/>
      <c r="U287" s="101">
        <f t="shared" si="33"/>
        <v>0</v>
      </c>
      <c r="V287" s="8"/>
      <c r="W287" s="63"/>
      <c r="X287" s="8"/>
      <c r="Y287" s="104">
        <f t="shared" si="34"/>
        <v>0</v>
      </c>
      <c r="Z287" s="8"/>
      <c r="AA287" s="63"/>
      <c r="AB287" s="8"/>
      <c r="AC287" s="98">
        <f t="shared" si="35"/>
        <v>0</v>
      </c>
    </row>
    <row r="288" spans="14:29" x14ac:dyDescent="0.45">
      <c r="N288" s="8">
        <v>72.888144148327498</v>
      </c>
      <c r="O288" s="63"/>
      <c r="P288" s="82">
        <v>3.4324726E-2</v>
      </c>
      <c r="Q288" s="98">
        <f t="shared" si="32"/>
        <v>2.2995554901311631E-2</v>
      </c>
      <c r="R288" s="8"/>
      <c r="S288" s="63"/>
      <c r="T288" s="8"/>
      <c r="U288" s="101">
        <f t="shared" si="33"/>
        <v>0</v>
      </c>
      <c r="V288" s="8"/>
      <c r="W288" s="63"/>
      <c r="X288" s="8"/>
      <c r="Y288" s="104">
        <f t="shared" si="34"/>
        <v>0</v>
      </c>
      <c r="Z288" s="8"/>
      <c r="AA288" s="63"/>
      <c r="AB288" s="8"/>
      <c r="AC288" s="98">
        <f t="shared" si="35"/>
        <v>0</v>
      </c>
    </row>
    <row r="289" spans="14:29" x14ac:dyDescent="0.45">
      <c r="N289" s="8">
        <v>72.888154148427503</v>
      </c>
      <c r="O289" s="63"/>
      <c r="P289" s="82">
        <v>3.6125559999999998E-3</v>
      </c>
      <c r="Q289" s="98">
        <f t="shared" si="32"/>
        <v>2.4202008147730801E-3</v>
      </c>
      <c r="R289" s="8"/>
      <c r="S289" s="63"/>
      <c r="T289" s="8"/>
      <c r="U289" s="101">
        <f t="shared" si="33"/>
        <v>0</v>
      </c>
      <c r="V289" s="8"/>
      <c r="W289" s="63"/>
      <c r="X289" s="8"/>
      <c r="Y289" s="104">
        <f t="shared" si="34"/>
        <v>0</v>
      </c>
      <c r="Z289" s="8"/>
      <c r="AA289" s="63"/>
      <c r="AB289" s="8"/>
      <c r="AC289" s="98">
        <f t="shared" si="35"/>
        <v>0</v>
      </c>
    </row>
    <row r="290" spans="14:29" x14ac:dyDescent="0.45">
      <c r="N290" s="8">
        <v>72.888164148527494</v>
      </c>
      <c r="O290" s="63"/>
      <c r="P290" s="82">
        <v>7.8152740000000005E-3</v>
      </c>
      <c r="Q290" s="98">
        <f t="shared" si="32"/>
        <v>5.235775584509935E-3</v>
      </c>
      <c r="R290" s="8"/>
      <c r="S290" s="63"/>
      <c r="T290" s="8"/>
      <c r="U290" s="101">
        <f t="shared" si="33"/>
        <v>0</v>
      </c>
      <c r="V290" s="8"/>
      <c r="W290" s="63"/>
      <c r="X290" s="8"/>
      <c r="Y290" s="104">
        <f t="shared" si="34"/>
        <v>0</v>
      </c>
      <c r="Z290" s="8"/>
      <c r="AA290" s="63"/>
      <c r="AB290" s="8"/>
      <c r="AC290" s="98">
        <f t="shared" si="35"/>
        <v>0</v>
      </c>
    </row>
    <row r="291" spans="14:29" x14ac:dyDescent="0.45">
      <c r="N291" s="8">
        <v>72.888174148627499</v>
      </c>
      <c r="O291" s="63"/>
      <c r="P291" s="82">
        <v>-2.5159898E-2</v>
      </c>
      <c r="Q291" s="98">
        <f t="shared" si="32"/>
        <v>-1.6855657224194614E-2</v>
      </c>
      <c r="R291" s="8"/>
      <c r="S291" s="63"/>
      <c r="T291" s="8"/>
      <c r="U291" s="101">
        <f t="shared" si="33"/>
        <v>0</v>
      </c>
      <c r="V291" s="8"/>
      <c r="W291" s="63"/>
      <c r="X291" s="8"/>
      <c r="Y291" s="104">
        <f t="shared" si="34"/>
        <v>0</v>
      </c>
      <c r="Z291" s="8"/>
      <c r="AA291" s="63"/>
      <c r="AB291" s="8"/>
      <c r="AC291" s="98">
        <f t="shared" si="35"/>
        <v>0</v>
      </c>
    </row>
    <row r="292" spans="14:29" x14ac:dyDescent="0.45">
      <c r="N292" s="8">
        <v>72.888184148727504</v>
      </c>
      <c r="O292" s="63"/>
      <c r="P292" s="82">
        <v>-2.6129756000000001E-2</v>
      </c>
      <c r="Q292" s="98">
        <f t="shared" si="32"/>
        <v>-1.7505405247980041E-2</v>
      </c>
      <c r="R292" s="8"/>
      <c r="S292" s="63"/>
      <c r="T292" s="8"/>
      <c r="U292" s="101">
        <f t="shared" si="33"/>
        <v>0</v>
      </c>
      <c r="V292" s="8"/>
      <c r="W292" s="63"/>
      <c r="X292" s="8"/>
      <c r="Y292" s="104">
        <f t="shared" si="34"/>
        <v>0</v>
      </c>
      <c r="Z292" s="8"/>
      <c r="AA292" s="63"/>
      <c r="AB292" s="8"/>
      <c r="AC292" s="98">
        <f t="shared" si="35"/>
        <v>0</v>
      </c>
    </row>
    <row r="293" spans="14:29" x14ac:dyDescent="0.45">
      <c r="N293" s="8">
        <v>72.888194148827495</v>
      </c>
      <c r="O293" s="63"/>
      <c r="P293" s="82">
        <v>-1.5461318E-2</v>
      </c>
      <c r="Q293" s="98">
        <f t="shared" si="32"/>
        <v>-1.0358176986340334E-2</v>
      </c>
      <c r="R293" s="8"/>
      <c r="S293" s="63"/>
      <c r="T293" s="8"/>
      <c r="U293" s="101">
        <f t="shared" si="33"/>
        <v>0</v>
      </c>
      <c r="V293" s="8"/>
      <c r="W293" s="63"/>
      <c r="X293" s="8"/>
      <c r="Y293" s="104">
        <f t="shared" si="34"/>
        <v>0</v>
      </c>
      <c r="Z293" s="8"/>
      <c r="AA293" s="63"/>
      <c r="AB293" s="8"/>
      <c r="AC293" s="98">
        <f t="shared" si="35"/>
        <v>0</v>
      </c>
    </row>
    <row r="294" spans="14:29" x14ac:dyDescent="0.45">
      <c r="N294" s="8">
        <v>72.8882041489275</v>
      </c>
      <c r="O294" s="63"/>
      <c r="P294" s="82">
        <v>1.3957707999999999E-2</v>
      </c>
      <c r="Q294" s="98">
        <f t="shared" si="32"/>
        <v>9.3508464018176446E-3</v>
      </c>
      <c r="R294" s="8"/>
      <c r="S294" s="63"/>
      <c r="T294" s="8"/>
      <c r="U294" s="101">
        <f t="shared" si="33"/>
        <v>0</v>
      </c>
      <c r="V294" s="8"/>
      <c r="W294" s="63"/>
      <c r="X294" s="8"/>
      <c r="Y294" s="104">
        <f t="shared" si="34"/>
        <v>0</v>
      </c>
      <c r="Z294" s="8"/>
      <c r="AA294" s="63"/>
      <c r="AB294" s="8"/>
      <c r="AC294" s="98">
        <f t="shared" si="35"/>
        <v>0</v>
      </c>
    </row>
    <row r="295" spans="14:29" x14ac:dyDescent="0.45">
      <c r="N295" s="8">
        <v>72.888214149027505</v>
      </c>
      <c r="O295" s="63"/>
      <c r="P295" s="82">
        <v>1.7837140000000001E-2</v>
      </c>
      <c r="Q295" s="98">
        <f t="shared" si="32"/>
        <v>1.1949838496959356E-2</v>
      </c>
      <c r="R295" s="8"/>
      <c r="S295" s="63"/>
      <c r="T295" s="8"/>
      <c r="U295" s="101">
        <f t="shared" si="33"/>
        <v>0</v>
      </c>
      <c r="V295" s="8"/>
      <c r="W295" s="63"/>
      <c r="X295" s="8"/>
      <c r="Y295" s="104">
        <f t="shared" si="34"/>
        <v>0</v>
      </c>
      <c r="Z295" s="8"/>
      <c r="AA295" s="63"/>
      <c r="AB295" s="8"/>
      <c r="AC295" s="98">
        <f t="shared" si="35"/>
        <v>0</v>
      </c>
    </row>
    <row r="296" spans="14:29" x14ac:dyDescent="0.45">
      <c r="N296" s="8">
        <v>72.888224149127495</v>
      </c>
      <c r="O296" s="63"/>
      <c r="P296" s="82">
        <v>2.3009716E-2</v>
      </c>
      <c r="Q296" s="98">
        <f t="shared" si="32"/>
        <v>1.5415161290481637E-2</v>
      </c>
      <c r="R296" s="8"/>
      <c r="S296" s="63"/>
      <c r="T296" s="8"/>
      <c r="U296" s="101">
        <f t="shared" si="33"/>
        <v>0</v>
      </c>
      <c r="V296" s="8"/>
      <c r="W296" s="63"/>
      <c r="X296" s="8"/>
      <c r="Y296" s="104">
        <f t="shared" si="34"/>
        <v>0</v>
      </c>
      <c r="Z296" s="8"/>
      <c r="AA296" s="63"/>
      <c r="AB296" s="8"/>
      <c r="AC296" s="98">
        <f t="shared" si="35"/>
        <v>0</v>
      </c>
    </row>
    <row r="297" spans="14:29" x14ac:dyDescent="0.45">
      <c r="N297" s="8">
        <v>72.8882341492275</v>
      </c>
      <c r="O297" s="63"/>
      <c r="P297" s="82">
        <v>1.298785E-2</v>
      </c>
      <c r="Q297" s="98">
        <f t="shared" si="32"/>
        <v>8.7010983780322175E-3</v>
      </c>
      <c r="R297" s="8"/>
      <c r="S297" s="63"/>
      <c r="T297" s="8"/>
      <c r="U297" s="101">
        <f t="shared" si="33"/>
        <v>0</v>
      </c>
      <c r="V297" s="8"/>
      <c r="W297" s="63"/>
      <c r="X297" s="8"/>
      <c r="Y297" s="104">
        <f t="shared" si="34"/>
        <v>0</v>
      </c>
      <c r="Z297" s="8"/>
      <c r="AA297" s="63"/>
      <c r="AB297" s="8"/>
      <c r="AC297" s="98">
        <f t="shared" si="35"/>
        <v>0</v>
      </c>
    </row>
    <row r="298" spans="14:29" x14ac:dyDescent="0.45">
      <c r="N298" s="8">
        <v>72.888244149327505</v>
      </c>
      <c r="O298" s="63"/>
      <c r="P298" s="82">
        <v>4.7579452000000001E-2</v>
      </c>
      <c r="Q298" s="98">
        <f t="shared" si="32"/>
        <v>3.1875444559712481E-2</v>
      </c>
      <c r="R298" s="8"/>
      <c r="S298" s="63"/>
      <c r="T298" s="8"/>
      <c r="U298" s="101">
        <f t="shared" si="33"/>
        <v>0</v>
      </c>
      <c r="V298" s="8"/>
      <c r="W298" s="63"/>
      <c r="X298" s="8"/>
      <c r="Y298" s="104">
        <f t="shared" si="34"/>
        <v>0</v>
      </c>
      <c r="Z298" s="8"/>
      <c r="AA298" s="63"/>
      <c r="AB298" s="8"/>
      <c r="AC298" s="98">
        <f t="shared" si="35"/>
        <v>0</v>
      </c>
    </row>
    <row r="299" spans="14:29" x14ac:dyDescent="0.45">
      <c r="N299" s="8">
        <v>72.888254149427496</v>
      </c>
      <c r="O299" s="63"/>
      <c r="P299" s="82">
        <v>6.2773893999999997E-2</v>
      </c>
      <c r="Q299" s="98">
        <f t="shared" si="32"/>
        <v>4.2054830265684177E-2</v>
      </c>
      <c r="R299" s="8"/>
      <c r="S299" s="63"/>
      <c r="T299" s="8"/>
      <c r="U299" s="101">
        <f t="shared" si="33"/>
        <v>0</v>
      </c>
      <c r="V299" s="8"/>
      <c r="W299" s="63"/>
      <c r="X299" s="8"/>
      <c r="Y299" s="104">
        <f t="shared" si="34"/>
        <v>0</v>
      </c>
      <c r="Z299" s="8"/>
      <c r="AA299" s="63"/>
      <c r="AB299" s="8"/>
      <c r="AC299" s="98">
        <f t="shared" si="35"/>
        <v>0</v>
      </c>
    </row>
    <row r="300" spans="14:29" x14ac:dyDescent="0.45">
      <c r="N300" s="8">
        <v>72.888264149527501</v>
      </c>
      <c r="O300" s="63"/>
      <c r="P300" s="82">
        <v>6.3097180000000003E-2</v>
      </c>
      <c r="Q300" s="98">
        <f t="shared" si="32"/>
        <v>4.2271412940279328E-2</v>
      </c>
      <c r="R300" s="8"/>
      <c r="S300" s="63"/>
      <c r="T300" s="8"/>
      <c r="U300" s="101">
        <f t="shared" si="33"/>
        <v>0</v>
      </c>
      <c r="V300" s="8"/>
      <c r="W300" s="63"/>
      <c r="X300" s="8"/>
      <c r="Y300" s="104">
        <f t="shared" si="34"/>
        <v>0</v>
      </c>
      <c r="Z300" s="8"/>
      <c r="AA300" s="63"/>
      <c r="AB300" s="8"/>
      <c r="AC300" s="98">
        <f t="shared" si="35"/>
        <v>0</v>
      </c>
    </row>
    <row r="301" spans="14:29" x14ac:dyDescent="0.45">
      <c r="N301" s="8">
        <v>72.888274149627506</v>
      </c>
      <c r="O301" s="63"/>
      <c r="P301" s="82">
        <v>2.4949432000000001E-2</v>
      </c>
      <c r="Q301" s="98">
        <f t="shared" si="32"/>
        <v>1.6714657338052493E-2</v>
      </c>
      <c r="R301" s="8"/>
      <c r="S301" s="63"/>
      <c r="T301" s="8"/>
      <c r="U301" s="101">
        <f t="shared" si="33"/>
        <v>0</v>
      </c>
      <c r="V301" s="8"/>
      <c r="W301" s="63"/>
      <c r="X301" s="8"/>
      <c r="Y301" s="104">
        <f t="shared" si="34"/>
        <v>0</v>
      </c>
      <c r="Z301" s="8"/>
      <c r="AA301" s="63"/>
      <c r="AB301" s="8"/>
      <c r="AC301" s="98">
        <f t="shared" si="35"/>
        <v>0</v>
      </c>
    </row>
    <row r="302" spans="14:29" x14ac:dyDescent="0.45">
      <c r="N302" s="8">
        <v>72.888284149727497</v>
      </c>
      <c r="O302" s="63"/>
      <c r="P302" s="82">
        <v>3.1738438000000001E-2</v>
      </c>
      <c r="Q302" s="98">
        <f t="shared" si="32"/>
        <v>2.126289350455049E-2</v>
      </c>
      <c r="R302" s="8"/>
      <c r="S302" s="63"/>
      <c r="T302" s="8"/>
      <c r="U302" s="101">
        <f t="shared" si="33"/>
        <v>0</v>
      </c>
      <c r="V302" s="8"/>
      <c r="W302" s="63"/>
      <c r="X302" s="8"/>
      <c r="Y302" s="104">
        <f t="shared" si="34"/>
        <v>0</v>
      </c>
      <c r="Z302" s="8"/>
      <c r="AA302" s="63"/>
      <c r="AB302" s="8"/>
      <c r="AC302" s="98">
        <f t="shared" si="35"/>
        <v>0</v>
      </c>
    </row>
    <row r="303" spans="14:29" x14ac:dyDescent="0.45">
      <c r="N303" s="8">
        <v>72.888294149827502</v>
      </c>
      <c r="O303" s="63"/>
      <c r="P303" s="82">
        <v>7.7645049999999993E-2</v>
      </c>
      <c r="Q303" s="98">
        <f t="shared" si="32"/>
        <v>5.2017633297060738E-2</v>
      </c>
      <c r="R303" s="8"/>
      <c r="S303" s="63"/>
      <c r="T303" s="8"/>
      <c r="U303" s="101">
        <f t="shared" si="33"/>
        <v>0</v>
      </c>
      <c r="V303" s="8"/>
      <c r="W303" s="63"/>
      <c r="X303" s="8"/>
      <c r="Y303" s="104">
        <f t="shared" si="34"/>
        <v>0</v>
      </c>
      <c r="Z303" s="8"/>
      <c r="AA303" s="63"/>
      <c r="AB303" s="8"/>
      <c r="AC303" s="98">
        <f t="shared" si="35"/>
        <v>0</v>
      </c>
    </row>
    <row r="304" spans="14:29" x14ac:dyDescent="0.45">
      <c r="N304" s="8">
        <v>72.888304149927507</v>
      </c>
      <c r="O304" s="63"/>
      <c r="P304" s="82">
        <v>0.14327210800000001</v>
      </c>
      <c r="Q304" s="98">
        <f t="shared" si="32"/>
        <v>9.5983916239874706E-2</v>
      </c>
      <c r="R304" s="8"/>
      <c r="S304" s="63"/>
      <c r="T304" s="8"/>
      <c r="U304" s="101">
        <f t="shared" si="33"/>
        <v>0</v>
      </c>
      <c r="V304" s="8"/>
      <c r="W304" s="63"/>
      <c r="X304" s="8"/>
      <c r="Y304" s="104">
        <f t="shared" si="34"/>
        <v>0</v>
      </c>
      <c r="Z304" s="8"/>
      <c r="AA304" s="63"/>
      <c r="AB304" s="8"/>
      <c r="AC304" s="98">
        <f t="shared" si="35"/>
        <v>0</v>
      </c>
    </row>
    <row r="305" spans="14:29" x14ac:dyDescent="0.45">
      <c r="N305" s="8">
        <v>72.888314150027497</v>
      </c>
      <c r="O305" s="63"/>
      <c r="P305" s="82">
        <v>0.168488416</v>
      </c>
      <c r="Q305" s="98">
        <f t="shared" si="32"/>
        <v>0.11287736485829582</v>
      </c>
      <c r="R305" s="8"/>
      <c r="S305" s="63"/>
      <c r="T305" s="8"/>
      <c r="U305" s="101">
        <f t="shared" si="33"/>
        <v>0</v>
      </c>
      <c r="V305" s="8"/>
      <c r="W305" s="63"/>
      <c r="X305" s="8"/>
      <c r="Y305" s="104">
        <f t="shared" si="34"/>
        <v>0</v>
      </c>
      <c r="Z305" s="8"/>
      <c r="AA305" s="63"/>
      <c r="AB305" s="8"/>
      <c r="AC305" s="98">
        <f t="shared" si="35"/>
        <v>0</v>
      </c>
    </row>
    <row r="306" spans="14:29" x14ac:dyDescent="0.45">
      <c r="N306" s="8">
        <v>72.888324150127502</v>
      </c>
      <c r="O306" s="63"/>
      <c r="P306" s="82">
        <v>0.18529928800000001</v>
      </c>
      <c r="Q306" s="98">
        <f t="shared" si="32"/>
        <v>0.12413966393724324</v>
      </c>
      <c r="R306" s="8"/>
      <c r="S306" s="63"/>
      <c r="T306" s="8"/>
      <c r="U306" s="101">
        <f t="shared" si="33"/>
        <v>0</v>
      </c>
      <c r="V306" s="8"/>
      <c r="W306" s="63"/>
      <c r="X306" s="8"/>
      <c r="Y306" s="104">
        <f t="shared" si="34"/>
        <v>0</v>
      </c>
      <c r="Z306" s="8"/>
      <c r="AA306" s="63"/>
      <c r="AB306" s="8"/>
      <c r="AC306" s="98">
        <f t="shared" si="35"/>
        <v>0</v>
      </c>
    </row>
    <row r="307" spans="14:29" x14ac:dyDescent="0.45">
      <c r="N307" s="8">
        <v>72.888334150227493</v>
      </c>
      <c r="O307" s="63"/>
      <c r="P307" s="82">
        <v>0.21924431799999999</v>
      </c>
      <c r="Q307" s="98">
        <f t="shared" si="32"/>
        <v>0.1468808447697332</v>
      </c>
      <c r="R307" s="8"/>
      <c r="S307" s="63"/>
      <c r="T307" s="8"/>
      <c r="U307" s="101">
        <f t="shared" si="33"/>
        <v>0</v>
      </c>
      <c r="V307" s="8"/>
      <c r="W307" s="63"/>
      <c r="X307" s="8"/>
      <c r="Y307" s="104">
        <f t="shared" si="34"/>
        <v>0</v>
      </c>
      <c r="Z307" s="8"/>
      <c r="AA307" s="63"/>
      <c r="AB307" s="8"/>
      <c r="AC307" s="98">
        <f t="shared" si="35"/>
        <v>0</v>
      </c>
    </row>
    <row r="308" spans="14:29" x14ac:dyDescent="0.45">
      <c r="N308" s="8">
        <v>72.888344150327498</v>
      </c>
      <c r="O308" s="63"/>
      <c r="P308" s="82">
        <v>0.21989089000000001</v>
      </c>
      <c r="Q308" s="98">
        <f t="shared" si="32"/>
        <v>0.14731401011892351</v>
      </c>
      <c r="R308" s="8"/>
      <c r="S308" s="63"/>
      <c r="T308" s="8"/>
      <c r="U308" s="101">
        <f t="shared" si="33"/>
        <v>0</v>
      </c>
      <c r="V308" s="8"/>
      <c r="W308" s="63"/>
      <c r="X308" s="8"/>
      <c r="Y308" s="104">
        <f t="shared" si="34"/>
        <v>0</v>
      </c>
      <c r="Z308" s="8"/>
      <c r="AA308" s="63"/>
      <c r="AB308" s="8"/>
      <c r="AC308" s="98">
        <f t="shared" si="35"/>
        <v>0</v>
      </c>
    </row>
    <row r="309" spans="14:29" x14ac:dyDescent="0.45">
      <c r="N309" s="8">
        <v>72.888354150427503</v>
      </c>
      <c r="O309" s="63"/>
      <c r="P309" s="82">
        <v>0.16137612400000001</v>
      </c>
      <c r="Q309" s="98">
        <f t="shared" si="32"/>
        <v>0.10811254601720269</v>
      </c>
      <c r="R309" s="8"/>
      <c r="S309" s="63"/>
      <c r="T309" s="8"/>
      <c r="U309" s="101">
        <f t="shared" si="33"/>
        <v>0</v>
      </c>
      <c r="V309" s="8"/>
      <c r="W309" s="63"/>
      <c r="X309" s="8"/>
      <c r="Y309" s="104">
        <f t="shared" si="34"/>
        <v>0</v>
      </c>
      <c r="Z309" s="8"/>
      <c r="AA309" s="63"/>
      <c r="AB309" s="8"/>
      <c r="AC309" s="98">
        <f t="shared" si="35"/>
        <v>0</v>
      </c>
    </row>
    <row r="310" spans="14:29" x14ac:dyDescent="0.45">
      <c r="N310" s="8">
        <v>72.888364150527494</v>
      </c>
      <c r="O310" s="63"/>
      <c r="P310" s="82">
        <v>0.123874948</v>
      </c>
      <c r="Q310" s="98">
        <f t="shared" si="32"/>
        <v>8.2988955764166136E-2</v>
      </c>
      <c r="R310" s="8"/>
      <c r="S310" s="63"/>
      <c r="T310" s="8"/>
      <c r="U310" s="101">
        <f t="shared" si="33"/>
        <v>0</v>
      </c>
      <c r="V310" s="8"/>
      <c r="W310" s="63"/>
      <c r="X310" s="8"/>
      <c r="Y310" s="104">
        <f t="shared" si="34"/>
        <v>0</v>
      </c>
      <c r="Z310" s="8"/>
      <c r="AA310" s="63"/>
      <c r="AB310" s="8"/>
      <c r="AC310" s="98">
        <f t="shared" si="35"/>
        <v>0</v>
      </c>
    </row>
    <row r="311" spans="14:29" x14ac:dyDescent="0.45">
      <c r="N311" s="8">
        <v>72.888374150627499</v>
      </c>
      <c r="O311" s="63"/>
      <c r="P311" s="82">
        <v>0.11159007999999999</v>
      </c>
      <c r="Q311" s="98">
        <f t="shared" si="32"/>
        <v>7.475881412955071E-2</v>
      </c>
      <c r="R311" s="8"/>
      <c r="S311" s="63"/>
      <c r="T311" s="8"/>
      <c r="U311" s="101">
        <f t="shared" si="33"/>
        <v>0</v>
      </c>
      <c r="V311" s="8"/>
      <c r="W311" s="63"/>
      <c r="X311" s="8"/>
      <c r="Y311" s="104">
        <f t="shared" si="34"/>
        <v>0</v>
      </c>
      <c r="Z311" s="8"/>
      <c r="AA311" s="63"/>
      <c r="AB311" s="8"/>
      <c r="AC311" s="98">
        <f t="shared" si="35"/>
        <v>0</v>
      </c>
    </row>
    <row r="312" spans="14:29" x14ac:dyDescent="0.45">
      <c r="N312" s="8">
        <v>72.888384150727504</v>
      </c>
      <c r="O312" s="63"/>
      <c r="P312" s="82">
        <v>4.7902738E-2</v>
      </c>
      <c r="Q312" s="98">
        <f t="shared" si="32"/>
        <v>3.2092027234307624E-2</v>
      </c>
      <c r="R312" s="8"/>
      <c r="S312" s="63"/>
      <c r="T312" s="8"/>
      <c r="U312" s="101">
        <f t="shared" si="33"/>
        <v>0</v>
      </c>
      <c r="V312" s="8"/>
      <c r="W312" s="63"/>
      <c r="X312" s="8"/>
      <c r="Y312" s="104">
        <f t="shared" si="34"/>
        <v>0</v>
      </c>
      <c r="Z312" s="8"/>
      <c r="AA312" s="63"/>
      <c r="AB312" s="8"/>
      <c r="AC312" s="98">
        <f t="shared" si="35"/>
        <v>0</v>
      </c>
    </row>
    <row r="313" spans="14:29" x14ac:dyDescent="0.45">
      <c r="N313" s="8">
        <v>72.888394150827494</v>
      </c>
      <c r="O313" s="63"/>
      <c r="P313" s="82">
        <v>-9.13447999999999E-4</v>
      </c>
      <c r="Q313" s="98">
        <f t="shared" si="32"/>
        <v>-6.1195662955891572E-4</v>
      </c>
      <c r="R313" s="8"/>
      <c r="S313" s="63"/>
      <c r="T313" s="8"/>
      <c r="U313" s="101">
        <f t="shared" si="33"/>
        <v>0</v>
      </c>
      <c r="V313" s="8"/>
      <c r="W313" s="63"/>
      <c r="X313" s="8"/>
      <c r="Y313" s="104">
        <f t="shared" si="34"/>
        <v>0</v>
      </c>
      <c r="Z313" s="8"/>
      <c r="AA313" s="63"/>
      <c r="AB313" s="8"/>
      <c r="AC313" s="98">
        <f t="shared" si="35"/>
        <v>0</v>
      </c>
    </row>
    <row r="314" spans="14:29" x14ac:dyDescent="0.45">
      <c r="N314" s="8">
        <v>72.888404150927499</v>
      </c>
      <c r="O314" s="63"/>
      <c r="P314" s="82">
        <v>-1.6754462000000001E-2</v>
      </c>
      <c r="Q314" s="98">
        <f t="shared" si="32"/>
        <v>-1.1224507684720907E-2</v>
      </c>
      <c r="R314" s="8"/>
      <c r="S314" s="63"/>
      <c r="T314" s="8"/>
      <c r="U314" s="101">
        <f t="shared" si="33"/>
        <v>0</v>
      </c>
      <c r="V314" s="8"/>
      <c r="W314" s="63"/>
      <c r="X314" s="8"/>
      <c r="Y314" s="104">
        <f t="shared" si="34"/>
        <v>0</v>
      </c>
      <c r="Z314" s="8"/>
      <c r="AA314" s="63"/>
      <c r="AB314" s="8"/>
      <c r="AC314" s="98">
        <f t="shared" si="35"/>
        <v>0</v>
      </c>
    </row>
    <row r="315" spans="14:29" x14ac:dyDescent="0.45">
      <c r="N315" s="8">
        <v>72.888414151027504</v>
      </c>
      <c r="O315" s="63"/>
      <c r="P315" s="82">
        <v>1.349554E-3</v>
      </c>
      <c r="Q315" s="98">
        <f t="shared" si="32"/>
        <v>9.0412209260708198E-4</v>
      </c>
      <c r="R315" s="8"/>
      <c r="S315" s="63"/>
      <c r="T315" s="8"/>
      <c r="U315" s="101">
        <f t="shared" si="33"/>
        <v>0</v>
      </c>
      <c r="V315" s="8"/>
      <c r="W315" s="63"/>
      <c r="X315" s="8"/>
      <c r="Y315" s="104">
        <f t="shared" si="34"/>
        <v>0</v>
      </c>
      <c r="Z315" s="8"/>
      <c r="AA315" s="63"/>
      <c r="AB315" s="8"/>
      <c r="AC315" s="98">
        <f t="shared" si="35"/>
        <v>0</v>
      </c>
    </row>
    <row r="316" spans="14:29" x14ac:dyDescent="0.45">
      <c r="N316" s="8">
        <v>72.888424151127495</v>
      </c>
      <c r="O316" s="63"/>
      <c r="P316" s="82">
        <v>-1.5138031999999999E-2</v>
      </c>
      <c r="Q316" s="98">
        <f t="shared" si="32"/>
        <v>-1.0141594311745191E-2</v>
      </c>
      <c r="R316" s="8"/>
      <c r="S316" s="63"/>
      <c r="T316" s="8"/>
      <c r="U316" s="101">
        <f t="shared" si="33"/>
        <v>0</v>
      </c>
      <c r="V316" s="8"/>
      <c r="W316" s="63"/>
      <c r="X316" s="8"/>
      <c r="Y316" s="104">
        <f t="shared" si="34"/>
        <v>0</v>
      </c>
      <c r="Z316" s="8"/>
      <c r="AA316" s="63"/>
      <c r="AB316" s="8"/>
      <c r="AC316" s="98">
        <f t="shared" si="35"/>
        <v>0</v>
      </c>
    </row>
    <row r="317" spans="14:29" x14ac:dyDescent="0.45">
      <c r="N317" s="8">
        <v>72.8884341512275</v>
      </c>
      <c r="O317" s="63"/>
      <c r="P317" s="82">
        <v>-2.2250323999999998E-2</v>
      </c>
      <c r="Q317" s="98">
        <f t="shared" si="32"/>
        <v>-1.4906413152838329E-2</v>
      </c>
      <c r="R317" s="8"/>
      <c r="S317" s="63"/>
      <c r="T317" s="8"/>
      <c r="U317" s="101">
        <f t="shared" si="33"/>
        <v>0</v>
      </c>
      <c r="V317" s="8"/>
      <c r="W317" s="63"/>
      <c r="X317" s="8"/>
      <c r="Y317" s="104">
        <f t="shared" si="34"/>
        <v>0</v>
      </c>
      <c r="Z317" s="8"/>
      <c r="AA317" s="63"/>
      <c r="AB317" s="8"/>
      <c r="AC317" s="98">
        <f t="shared" si="35"/>
        <v>0</v>
      </c>
    </row>
    <row r="318" spans="14:29" x14ac:dyDescent="0.45">
      <c r="N318" s="8">
        <v>72.888444151327505</v>
      </c>
      <c r="O318" s="63"/>
      <c r="P318" s="82">
        <v>-4.5203630000000002E-2</v>
      </c>
      <c r="Q318" s="98">
        <f t="shared" si="32"/>
        <v>-3.0283783049093457E-2</v>
      </c>
      <c r="R318" s="8"/>
      <c r="S318" s="63"/>
      <c r="T318" s="8"/>
      <c r="U318" s="101">
        <f t="shared" si="33"/>
        <v>0</v>
      </c>
      <c r="V318" s="8"/>
      <c r="W318" s="63"/>
      <c r="X318" s="8"/>
      <c r="Y318" s="104">
        <f t="shared" si="34"/>
        <v>0</v>
      </c>
      <c r="Z318" s="8"/>
      <c r="AA318" s="63"/>
      <c r="AB318" s="8"/>
      <c r="AC318" s="98">
        <f t="shared" si="35"/>
        <v>0</v>
      </c>
    </row>
    <row r="319" spans="14:29" x14ac:dyDescent="0.45">
      <c r="N319" s="8">
        <v>72.888454151427496</v>
      </c>
      <c r="O319" s="63"/>
      <c r="P319" s="82">
        <v>-2.9039329999999999E-2</v>
      </c>
      <c r="Q319" s="98">
        <f t="shared" si="32"/>
        <v>-1.9454649319336326E-2</v>
      </c>
      <c r="R319" s="8"/>
      <c r="S319" s="63"/>
      <c r="T319" s="8"/>
      <c r="U319" s="101">
        <f t="shared" si="33"/>
        <v>0</v>
      </c>
      <c r="V319" s="8"/>
      <c r="W319" s="63"/>
      <c r="X319" s="8"/>
      <c r="Y319" s="104">
        <f t="shared" si="34"/>
        <v>0</v>
      </c>
      <c r="Z319" s="8"/>
      <c r="AA319" s="63"/>
      <c r="AB319" s="8"/>
      <c r="AC319" s="98">
        <f t="shared" si="35"/>
        <v>0</v>
      </c>
    </row>
    <row r="320" spans="14:29" x14ac:dyDescent="0.45">
      <c r="N320" s="8">
        <v>72.888464151527501</v>
      </c>
      <c r="O320" s="63"/>
      <c r="P320" s="82">
        <v>-3.6474908E-2</v>
      </c>
      <c r="Q320" s="98">
        <f t="shared" si="32"/>
        <v>-2.4436050835024606E-2</v>
      </c>
      <c r="R320" s="8"/>
      <c r="S320" s="63"/>
      <c r="T320" s="8"/>
      <c r="U320" s="101">
        <f t="shared" si="33"/>
        <v>0</v>
      </c>
      <c r="V320" s="8"/>
      <c r="W320" s="63"/>
      <c r="X320" s="8"/>
      <c r="Y320" s="104">
        <f t="shared" si="34"/>
        <v>0</v>
      </c>
      <c r="Z320" s="8"/>
      <c r="AA320" s="63"/>
      <c r="AB320" s="8"/>
      <c r="AC320" s="98">
        <f t="shared" si="35"/>
        <v>0</v>
      </c>
    </row>
    <row r="321" spans="14:29" x14ac:dyDescent="0.45">
      <c r="N321" s="8">
        <v>72.888474151627506</v>
      </c>
      <c r="O321" s="63"/>
      <c r="P321" s="82">
        <v>-2.0310608000000001E-2</v>
      </c>
      <c r="Q321" s="98">
        <f t="shared" si="32"/>
        <v>-1.3606917105267475E-2</v>
      </c>
      <c r="R321" s="8"/>
      <c r="S321" s="63"/>
      <c r="T321" s="8"/>
      <c r="U321" s="101">
        <f t="shared" si="33"/>
        <v>0</v>
      </c>
      <c r="V321" s="8"/>
      <c r="W321" s="63"/>
      <c r="X321" s="8"/>
      <c r="Y321" s="104">
        <f t="shared" si="34"/>
        <v>0</v>
      </c>
      <c r="Z321" s="8"/>
      <c r="AA321" s="63"/>
      <c r="AB321" s="8"/>
      <c r="AC321" s="98">
        <f t="shared" si="35"/>
        <v>0</v>
      </c>
    </row>
    <row r="322" spans="14:29" x14ac:dyDescent="0.45">
      <c r="N322" s="8">
        <v>72.888484151727496</v>
      </c>
      <c r="O322" s="63"/>
      <c r="P322" s="82">
        <v>-3.0332474000000002E-2</v>
      </c>
      <c r="Q322" s="98">
        <f t="shared" si="32"/>
        <v>-2.0320980017716896E-2</v>
      </c>
      <c r="R322" s="8"/>
      <c r="S322" s="63"/>
      <c r="T322" s="8"/>
      <c r="U322" s="101">
        <f t="shared" si="33"/>
        <v>0</v>
      </c>
      <c r="V322" s="8"/>
      <c r="W322" s="63"/>
      <c r="X322" s="8"/>
      <c r="Y322" s="104">
        <f t="shared" si="34"/>
        <v>0</v>
      </c>
      <c r="Z322" s="8"/>
      <c r="AA322" s="63"/>
      <c r="AB322" s="8"/>
      <c r="AC322" s="98">
        <f t="shared" si="35"/>
        <v>0</v>
      </c>
    </row>
    <row r="323" spans="14:29" x14ac:dyDescent="0.45">
      <c r="N323" s="8">
        <v>72.888494151827501</v>
      </c>
      <c r="O323" s="63"/>
      <c r="P323" s="82">
        <v>-2.5159898E-2</v>
      </c>
      <c r="Q323" s="98">
        <f t="shared" si="32"/>
        <v>-1.6855657224194614E-2</v>
      </c>
      <c r="R323" s="8"/>
      <c r="S323" s="63"/>
      <c r="T323" s="8"/>
      <c r="U323" s="101">
        <f t="shared" si="33"/>
        <v>0</v>
      </c>
      <c r="V323" s="8"/>
      <c r="W323" s="63"/>
      <c r="X323" s="8"/>
      <c r="Y323" s="104">
        <f t="shared" si="34"/>
        <v>0</v>
      </c>
      <c r="Z323" s="8"/>
      <c r="AA323" s="63"/>
      <c r="AB323" s="8"/>
      <c r="AC323" s="98">
        <f t="shared" si="35"/>
        <v>0</v>
      </c>
    </row>
    <row r="324" spans="14:29" x14ac:dyDescent="0.45">
      <c r="N324" s="8">
        <v>72.888504151927506</v>
      </c>
      <c r="O324" s="63"/>
      <c r="P324" s="82">
        <v>-3.3242048000000003E-2</v>
      </c>
      <c r="Q324" s="98">
        <f t="shared" ref="Q324:Q384" si="36">P324/$Q$2</f>
        <v>-2.2270224089073181E-2</v>
      </c>
      <c r="R324" s="8"/>
      <c r="S324" s="63"/>
      <c r="T324" s="8"/>
      <c r="U324" s="101">
        <f t="shared" ref="U324:U384" si="37">T324/$U$2</f>
        <v>0</v>
      </c>
      <c r="V324" s="8"/>
      <c r="W324" s="63"/>
      <c r="X324" s="8"/>
      <c r="Y324" s="104">
        <f t="shared" ref="Y324:Y384" si="38">X324/$Y$2</f>
        <v>0</v>
      </c>
      <c r="Z324" s="8"/>
      <c r="AA324" s="63"/>
      <c r="AB324" s="8"/>
      <c r="AC324" s="98">
        <f t="shared" si="35"/>
        <v>0</v>
      </c>
    </row>
    <row r="325" spans="14:29" x14ac:dyDescent="0.45">
      <c r="N325" s="8">
        <v>72.888514152027497</v>
      </c>
      <c r="O325" s="63"/>
      <c r="P325" s="82">
        <v>-1.9664035999999999E-2</v>
      </c>
      <c r="Q325" s="98">
        <f t="shared" si="36"/>
        <v>-1.3173751756077188E-2</v>
      </c>
      <c r="R325" s="8"/>
      <c r="S325" s="63"/>
      <c r="T325" s="8"/>
      <c r="U325" s="101">
        <f t="shared" si="37"/>
        <v>0</v>
      </c>
      <c r="V325" s="8"/>
      <c r="W325" s="63"/>
      <c r="X325" s="8"/>
      <c r="Y325" s="104">
        <f t="shared" si="38"/>
        <v>0</v>
      </c>
      <c r="Z325" s="8"/>
      <c r="AA325" s="63"/>
      <c r="AB325" s="8"/>
      <c r="AC325" s="98">
        <f t="shared" ref="AC325:AC384" si="39">AB325/$AD$2</f>
        <v>0</v>
      </c>
    </row>
    <row r="326" spans="14:29" x14ac:dyDescent="0.45">
      <c r="N326" s="8">
        <v>72.888524152127502</v>
      </c>
      <c r="O326" s="63"/>
      <c r="P326" s="82">
        <v>-3.6151622000000001E-2</v>
      </c>
      <c r="Q326" s="98">
        <f t="shared" si="36"/>
        <v>-2.4219468160429462E-2</v>
      </c>
      <c r="R326" s="8"/>
      <c r="S326" s="63"/>
      <c r="T326" s="8"/>
      <c r="U326" s="101">
        <f t="shared" si="37"/>
        <v>0</v>
      </c>
      <c r="V326" s="8"/>
      <c r="W326" s="63"/>
      <c r="X326" s="8"/>
      <c r="Y326" s="104">
        <f t="shared" si="38"/>
        <v>0</v>
      </c>
      <c r="Z326" s="8"/>
      <c r="AA326" s="63"/>
      <c r="AB326" s="8"/>
      <c r="AC326" s="98">
        <f t="shared" si="39"/>
        <v>0</v>
      </c>
    </row>
    <row r="327" spans="14:29" x14ac:dyDescent="0.45">
      <c r="N327" s="8">
        <v>72.888534152227507</v>
      </c>
      <c r="O327" s="63"/>
      <c r="P327" s="82">
        <v>-2.74229E-2</v>
      </c>
      <c r="Q327" s="98">
        <f t="shared" si="36"/>
        <v>-1.8371735946360612E-2</v>
      </c>
      <c r="R327" s="8"/>
      <c r="S327" s="63"/>
      <c r="T327" s="8"/>
      <c r="U327" s="101">
        <f t="shared" si="37"/>
        <v>0</v>
      </c>
      <c r="V327" s="8"/>
      <c r="W327" s="63"/>
      <c r="X327" s="8"/>
      <c r="Y327" s="104">
        <f t="shared" si="38"/>
        <v>0</v>
      </c>
      <c r="Z327" s="8"/>
      <c r="AA327" s="63"/>
      <c r="AB327" s="8"/>
      <c r="AC327" s="98">
        <f t="shared" si="39"/>
        <v>0</v>
      </c>
    </row>
    <row r="328" spans="14:29" x14ac:dyDescent="0.45">
      <c r="N328" s="8">
        <v>72.888544152327498</v>
      </c>
      <c r="O328" s="63"/>
      <c r="P328" s="82">
        <v>-3.2272189999999999E-2</v>
      </c>
      <c r="Q328" s="98">
        <f t="shared" si="36"/>
        <v>-2.162047606528775E-2</v>
      </c>
      <c r="R328" s="8"/>
      <c r="S328" s="63"/>
      <c r="T328" s="8"/>
      <c r="U328" s="101">
        <f t="shared" si="37"/>
        <v>0</v>
      </c>
      <c r="V328" s="8"/>
      <c r="W328" s="63"/>
      <c r="X328" s="8"/>
      <c r="Y328" s="104">
        <f t="shared" si="38"/>
        <v>0</v>
      </c>
      <c r="Z328" s="8"/>
      <c r="AA328" s="63"/>
      <c r="AB328" s="8"/>
      <c r="AC328" s="98">
        <f t="shared" si="39"/>
        <v>0</v>
      </c>
    </row>
    <row r="329" spans="14:29" x14ac:dyDescent="0.45">
      <c r="N329" s="8">
        <v>72.888554152427503</v>
      </c>
      <c r="O329" s="63"/>
      <c r="P329" s="82">
        <v>-2.4836612000000001E-2</v>
      </c>
      <c r="Q329" s="98">
        <f t="shared" si="36"/>
        <v>-1.663907454959947E-2</v>
      </c>
      <c r="R329" s="8"/>
      <c r="S329" s="63"/>
      <c r="T329" s="8"/>
      <c r="U329" s="101">
        <f t="shared" si="37"/>
        <v>0</v>
      </c>
      <c r="V329" s="8"/>
      <c r="W329" s="63"/>
      <c r="X329" s="8"/>
      <c r="Y329" s="104">
        <f t="shared" si="38"/>
        <v>0</v>
      </c>
      <c r="Z329" s="8"/>
      <c r="AA329" s="63"/>
      <c r="AB329" s="8"/>
      <c r="AC329" s="98">
        <f t="shared" si="39"/>
        <v>0</v>
      </c>
    </row>
    <row r="330" spans="14:29" x14ac:dyDescent="0.45">
      <c r="N330" s="8">
        <v>72.888564152527493</v>
      </c>
      <c r="O330" s="63"/>
      <c r="P330" s="82">
        <v>-3.5828336000000002E-2</v>
      </c>
      <c r="Q330" s="98">
        <f t="shared" si="36"/>
        <v>-2.4002885485834322E-2</v>
      </c>
      <c r="R330" s="8"/>
      <c r="S330" s="63"/>
      <c r="T330" s="8"/>
      <c r="U330" s="101">
        <f t="shared" si="37"/>
        <v>0</v>
      </c>
      <c r="V330" s="8"/>
      <c r="W330" s="63"/>
      <c r="X330" s="8"/>
      <c r="Y330" s="104">
        <f t="shared" si="38"/>
        <v>0</v>
      </c>
      <c r="Z330" s="8"/>
      <c r="AA330" s="63"/>
      <c r="AB330" s="8"/>
      <c r="AC330" s="98">
        <f t="shared" si="39"/>
        <v>0</v>
      </c>
    </row>
    <row r="331" spans="14:29" x14ac:dyDescent="0.45">
      <c r="N331" s="8">
        <v>72.888574152627498</v>
      </c>
      <c r="O331" s="63"/>
      <c r="P331" s="82">
        <v>-2.5483183999999999E-2</v>
      </c>
      <c r="Q331" s="98">
        <f t="shared" si="36"/>
        <v>-1.7072239898789754E-2</v>
      </c>
      <c r="R331" s="8"/>
      <c r="S331" s="63"/>
      <c r="T331" s="8"/>
      <c r="U331" s="101">
        <f t="shared" si="37"/>
        <v>0</v>
      </c>
      <c r="V331" s="8"/>
      <c r="W331" s="63"/>
      <c r="X331" s="8"/>
      <c r="Y331" s="104">
        <f t="shared" si="38"/>
        <v>0</v>
      </c>
      <c r="Z331" s="8"/>
      <c r="AA331" s="63"/>
      <c r="AB331" s="8"/>
      <c r="AC331" s="98">
        <f t="shared" si="39"/>
        <v>0</v>
      </c>
    </row>
    <row r="332" spans="14:29" x14ac:dyDescent="0.45">
      <c r="N332" s="8">
        <v>72.888584152727503</v>
      </c>
      <c r="O332" s="63"/>
      <c r="P332" s="82">
        <v>-2.8069472000000002E-2</v>
      </c>
      <c r="Q332" s="98">
        <f t="shared" si="36"/>
        <v>-1.8804901295550899E-2</v>
      </c>
      <c r="R332" s="8"/>
      <c r="S332" s="63"/>
      <c r="T332" s="8"/>
      <c r="U332" s="101">
        <f t="shared" si="37"/>
        <v>0</v>
      </c>
      <c r="V332" s="8"/>
      <c r="W332" s="63"/>
      <c r="X332" s="8"/>
      <c r="Y332" s="104">
        <f t="shared" si="38"/>
        <v>0</v>
      </c>
      <c r="Z332" s="8"/>
      <c r="AA332" s="63"/>
      <c r="AB332" s="8"/>
      <c r="AC332" s="98">
        <f t="shared" si="39"/>
        <v>0</v>
      </c>
    </row>
    <row r="333" spans="14:29" x14ac:dyDescent="0.45">
      <c r="N333" s="8">
        <v>72.888594152827494</v>
      </c>
      <c r="O333" s="63"/>
      <c r="P333" s="82">
        <v>-2.9685902E-2</v>
      </c>
      <c r="Q333" s="98">
        <f t="shared" si="36"/>
        <v>-1.9887814668526609E-2</v>
      </c>
      <c r="R333" s="8"/>
      <c r="S333" s="63"/>
      <c r="T333" s="8"/>
      <c r="U333" s="101">
        <f t="shared" si="37"/>
        <v>0</v>
      </c>
      <c r="V333" s="8"/>
      <c r="W333" s="63"/>
      <c r="X333" s="8"/>
      <c r="Y333" s="104">
        <f t="shared" si="38"/>
        <v>0</v>
      </c>
      <c r="Z333" s="8"/>
      <c r="AA333" s="63"/>
      <c r="AB333" s="8"/>
      <c r="AC333" s="98">
        <f t="shared" si="39"/>
        <v>0</v>
      </c>
    </row>
    <row r="334" spans="14:29" x14ac:dyDescent="0.45">
      <c r="N334" s="8">
        <v>72.888604152927499</v>
      </c>
      <c r="O334" s="63"/>
      <c r="P334" s="82">
        <v>-2.2896896E-2</v>
      </c>
      <c r="Q334" s="98">
        <f t="shared" si="36"/>
        <v>-1.5339578502028614E-2</v>
      </c>
      <c r="R334" s="8"/>
      <c r="S334" s="63"/>
      <c r="T334" s="8"/>
      <c r="U334" s="101">
        <f t="shared" si="37"/>
        <v>0</v>
      </c>
      <c r="V334" s="8"/>
      <c r="W334" s="63"/>
      <c r="X334" s="8"/>
      <c r="Y334" s="104">
        <f t="shared" si="38"/>
        <v>0</v>
      </c>
      <c r="Z334" s="8"/>
      <c r="AA334" s="63"/>
      <c r="AB334" s="8"/>
      <c r="AC334" s="98">
        <f t="shared" si="39"/>
        <v>0</v>
      </c>
    </row>
    <row r="335" spans="14:29" x14ac:dyDescent="0.45">
      <c r="N335" s="8">
        <v>72.888614153027504</v>
      </c>
      <c r="O335" s="63"/>
      <c r="P335" s="82">
        <v>-3.3242048000000003E-2</v>
      </c>
      <c r="Q335" s="98">
        <f t="shared" si="36"/>
        <v>-2.2270224089073181E-2</v>
      </c>
      <c r="R335" s="8"/>
      <c r="S335" s="63"/>
      <c r="T335" s="8"/>
      <c r="U335" s="101">
        <f t="shared" si="37"/>
        <v>0</v>
      </c>
      <c r="V335" s="8"/>
      <c r="W335" s="63"/>
      <c r="X335" s="8"/>
      <c r="Y335" s="104">
        <f t="shared" si="38"/>
        <v>0</v>
      </c>
      <c r="Z335" s="8"/>
      <c r="AA335" s="63"/>
      <c r="AB335" s="8"/>
      <c r="AC335" s="98">
        <f t="shared" si="39"/>
        <v>0</v>
      </c>
    </row>
    <row r="336" spans="14:29" x14ac:dyDescent="0.45">
      <c r="N336" s="8">
        <v>72.888624153127495</v>
      </c>
      <c r="O336" s="63"/>
      <c r="P336" s="82">
        <v>-2.4190039999999999E-2</v>
      </c>
      <c r="Q336" s="98">
        <f t="shared" si="36"/>
        <v>-1.6205909200409187E-2</v>
      </c>
      <c r="R336" s="8"/>
      <c r="S336" s="63"/>
      <c r="T336" s="8"/>
      <c r="U336" s="101">
        <f t="shared" si="37"/>
        <v>0</v>
      </c>
      <c r="V336" s="8"/>
      <c r="W336" s="63"/>
      <c r="X336" s="8"/>
      <c r="Y336" s="104">
        <f t="shared" si="38"/>
        <v>0</v>
      </c>
      <c r="Z336" s="8"/>
      <c r="AA336" s="63"/>
      <c r="AB336" s="8"/>
      <c r="AC336" s="98">
        <f t="shared" si="39"/>
        <v>0</v>
      </c>
    </row>
    <row r="337" spans="14:29" x14ac:dyDescent="0.45">
      <c r="N337" s="8">
        <v>72.8886341532275</v>
      </c>
      <c r="O337" s="63"/>
      <c r="P337" s="82">
        <v>-2.8392758000000001E-2</v>
      </c>
      <c r="Q337" s="98">
        <f t="shared" si="36"/>
        <v>-1.9021483970146039E-2</v>
      </c>
      <c r="R337" s="8"/>
      <c r="S337" s="63"/>
      <c r="T337" s="8"/>
      <c r="U337" s="101">
        <f t="shared" si="37"/>
        <v>0</v>
      </c>
      <c r="V337" s="8"/>
      <c r="W337" s="63"/>
      <c r="X337" s="8"/>
      <c r="Y337" s="104">
        <f t="shared" si="38"/>
        <v>0</v>
      </c>
      <c r="Z337" s="8"/>
      <c r="AA337" s="63"/>
      <c r="AB337" s="8"/>
      <c r="AC337" s="98">
        <f t="shared" si="39"/>
        <v>0</v>
      </c>
    </row>
    <row r="338" spans="14:29" x14ac:dyDescent="0.45">
      <c r="N338" s="8">
        <v>72.888644153327505</v>
      </c>
      <c r="O338" s="63"/>
      <c r="P338" s="82">
        <v>-2.8716044E-2</v>
      </c>
      <c r="Q338" s="98">
        <f t="shared" si="36"/>
        <v>-1.9238066644741182E-2</v>
      </c>
      <c r="R338" s="8"/>
      <c r="S338" s="63"/>
      <c r="T338" s="8"/>
      <c r="U338" s="101">
        <f t="shared" si="37"/>
        <v>0</v>
      </c>
      <c r="V338" s="8"/>
      <c r="W338" s="63"/>
      <c r="X338" s="8"/>
      <c r="Y338" s="104">
        <f t="shared" si="38"/>
        <v>0</v>
      </c>
      <c r="Z338" s="8"/>
      <c r="AA338" s="63"/>
      <c r="AB338" s="8"/>
      <c r="AC338" s="98">
        <f t="shared" si="39"/>
        <v>0</v>
      </c>
    </row>
    <row r="339" spans="14:29" x14ac:dyDescent="0.45">
      <c r="N339" s="8">
        <v>72.888654153427495</v>
      </c>
      <c r="O339" s="63"/>
      <c r="P339" s="82">
        <v>-2.7746185999999999E-2</v>
      </c>
      <c r="Q339" s="98">
        <f t="shared" si="36"/>
        <v>-1.8588318620955755E-2</v>
      </c>
      <c r="R339" s="8"/>
      <c r="S339" s="63"/>
      <c r="T339" s="8"/>
      <c r="U339" s="101">
        <f t="shared" si="37"/>
        <v>0</v>
      </c>
      <c r="V339" s="8"/>
      <c r="W339" s="63"/>
      <c r="X339" s="8"/>
      <c r="Y339" s="104">
        <f t="shared" si="38"/>
        <v>0</v>
      </c>
      <c r="Z339" s="8"/>
      <c r="AA339" s="63"/>
      <c r="AB339" s="8"/>
      <c r="AC339" s="98">
        <f t="shared" si="39"/>
        <v>0</v>
      </c>
    </row>
    <row r="340" spans="14:29" x14ac:dyDescent="0.45">
      <c r="N340" s="8">
        <v>72.8886641535275</v>
      </c>
      <c r="O340" s="63"/>
      <c r="P340" s="82">
        <v>-2.5483183999999999E-2</v>
      </c>
      <c r="Q340" s="98">
        <f t="shared" si="36"/>
        <v>-1.7072239898789754E-2</v>
      </c>
      <c r="R340" s="8"/>
      <c r="S340" s="63"/>
      <c r="T340" s="8"/>
      <c r="U340" s="101">
        <f t="shared" si="37"/>
        <v>0</v>
      </c>
      <c r="V340" s="8"/>
      <c r="W340" s="63"/>
      <c r="X340" s="8"/>
      <c r="Y340" s="104">
        <f t="shared" si="38"/>
        <v>0</v>
      </c>
      <c r="Z340" s="8"/>
      <c r="AA340" s="63"/>
      <c r="AB340" s="8"/>
      <c r="AC340" s="98">
        <f t="shared" si="39"/>
        <v>0</v>
      </c>
    </row>
    <row r="341" spans="14:29" x14ac:dyDescent="0.45">
      <c r="N341" s="8">
        <v>72.888674153627505</v>
      </c>
      <c r="O341" s="63"/>
      <c r="P341" s="82">
        <v>-2.4190039999999999E-2</v>
      </c>
      <c r="Q341" s="98">
        <f t="shared" si="36"/>
        <v>-1.6205909200409187E-2</v>
      </c>
      <c r="R341" s="8"/>
      <c r="S341" s="63"/>
      <c r="T341" s="8"/>
      <c r="U341" s="101">
        <f t="shared" si="37"/>
        <v>0</v>
      </c>
      <c r="V341" s="8"/>
      <c r="W341" s="63"/>
      <c r="X341" s="8"/>
      <c r="Y341" s="104">
        <f t="shared" si="38"/>
        <v>0</v>
      </c>
      <c r="Z341" s="8"/>
      <c r="AA341" s="63"/>
      <c r="AB341" s="8"/>
      <c r="AC341" s="98">
        <f t="shared" si="39"/>
        <v>0</v>
      </c>
    </row>
    <row r="342" spans="14:29" x14ac:dyDescent="0.45">
      <c r="N342" s="8">
        <v>72.888684153727496</v>
      </c>
      <c r="O342" s="63"/>
      <c r="P342" s="82">
        <v>-2.1927037999999999E-2</v>
      </c>
      <c r="Q342" s="98">
        <f t="shared" si="36"/>
        <v>-1.4689830478243187E-2</v>
      </c>
      <c r="R342" s="8"/>
      <c r="S342" s="63"/>
      <c r="T342" s="8"/>
      <c r="U342" s="101">
        <f t="shared" si="37"/>
        <v>0</v>
      </c>
      <c r="V342" s="8"/>
      <c r="W342" s="63"/>
      <c r="X342" s="8"/>
      <c r="Y342" s="104">
        <f t="shared" si="38"/>
        <v>0</v>
      </c>
      <c r="Z342" s="8"/>
      <c r="AA342" s="63"/>
      <c r="AB342" s="8"/>
      <c r="AC342" s="98">
        <f t="shared" si="39"/>
        <v>0</v>
      </c>
    </row>
    <row r="343" spans="14:29" x14ac:dyDescent="0.45">
      <c r="N343" s="8">
        <v>72.888694153827501</v>
      </c>
      <c r="O343" s="63"/>
      <c r="P343" s="82">
        <v>-9.9654559999999993E-3</v>
      </c>
      <c r="Q343" s="98">
        <f t="shared" si="36"/>
        <v>-6.6762715182229091E-3</v>
      </c>
      <c r="R343" s="8"/>
      <c r="S343" s="63"/>
      <c r="T343" s="8"/>
      <c r="U343" s="101">
        <f t="shared" si="37"/>
        <v>0</v>
      </c>
      <c r="V343" s="8"/>
      <c r="W343" s="63"/>
      <c r="X343" s="8"/>
      <c r="Y343" s="104">
        <f t="shared" si="38"/>
        <v>0</v>
      </c>
      <c r="Z343" s="8"/>
      <c r="AA343" s="63"/>
      <c r="AB343" s="8"/>
      <c r="AC343" s="98">
        <f t="shared" si="39"/>
        <v>0</v>
      </c>
    </row>
    <row r="344" spans="14:29" x14ac:dyDescent="0.45">
      <c r="N344" s="8">
        <v>72.888704153927506</v>
      </c>
      <c r="O344" s="63"/>
      <c r="P344" s="82">
        <v>3.28927E-3</v>
      </c>
      <c r="Q344" s="98">
        <f t="shared" si="36"/>
        <v>2.2036181401779379E-3</v>
      </c>
      <c r="R344" s="8"/>
      <c r="S344" s="63"/>
      <c r="T344" s="8"/>
      <c r="U344" s="101">
        <f t="shared" si="37"/>
        <v>0</v>
      </c>
      <c r="V344" s="8"/>
      <c r="W344" s="63"/>
      <c r="X344" s="8"/>
      <c r="Y344" s="104">
        <f t="shared" si="38"/>
        <v>0</v>
      </c>
      <c r="Z344" s="8"/>
      <c r="AA344" s="63"/>
      <c r="AB344" s="8"/>
      <c r="AC344" s="98">
        <f t="shared" si="39"/>
        <v>0</v>
      </c>
    </row>
    <row r="345" spans="14:29" x14ac:dyDescent="0.45">
      <c r="N345" s="8">
        <v>72.888714154027497</v>
      </c>
      <c r="O345" s="63"/>
      <c r="P345" s="82">
        <v>-4.4695940000000003E-3</v>
      </c>
      <c r="Q345" s="98">
        <f t="shared" si="36"/>
        <v>-2.9943660501054853E-3</v>
      </c>
      <c r="R345" s="8"/>
      <c r="S345" s="63"/>
      <c r="T345" s="8"/>
      <c r="U345" s="101">
        <f t="shared" si="37"/>
        <v>0</v>
      </c>
      <c r="V345" s="8"/>
      <c r="W345" s="63"/>
      <c r="X345" s="8"/>
      <c r="Y345" s="104">
        <f t="shared" si="38"/>
        <v>0</v>
      </c>
      <c r="Z345" s="8"/>
      <c r="AA345" s="63"/>
      <c r="AB345" s="8"/>
      <c r="AC345" s="98">
        <f t="shared" si="39"/>
        <v>0</v>
      </c>
    </row>
    <row r="346" spans="14:29" x14ac:dyDescent="0.45">
      <c r="N346" s="8">
        <v>72.888724154127502</v>
      </c>
      <c r="O346" s="63"/>
      <c r="P346" s="82">
        <v>3.9358420000000002E-3</v>
      </c>
      <c r="Q346" s="98">
        <f t="shared" si="36"/>
        <v>2.6367834893682232E-3</v>
      </c>
      <c r="R346" s="8"/>
      <c r="S346" s="63"/>
      <c r="T346" s="8"/>
      <c r="U346" s="101">
        <f t="shared" si="37"/>
        <v>0</v>
      </c>
      <c r="V346" s="8"/>
      <c r="W346" s="63"/>
      <c r="X346" s="8"/>
      <c r="Y346" s="104">
        <f t="shared" si="38"/>
        <v>0</v>
      </c>
      <c r="Z346" s="8"/>
      <c r="AA346" s="63"/>
      <c r="AB346" s="8"/>
      <c r="AC346" s="98">
        <f t="shared" si="39"/>
        <v>0</v>
      </c>
    </row>
    <row r="347" spans="14:29" x14ac:dyDescent="0.45">
      <c r="N347" s="8">
        <v>72.888734154227606</v>
      </c>
      <c r="O347" s="63"/>
      <c r="P347" s="82">
        <v>3.9358420000000002E-3</v>
      </c>
      <c r="Q347" s="98">
        <f t="shared" si="36"/>
        <v>2.6367834893682232E-3</v>
      </c>
      <c r="R347" s="8"/>
      <c r="S347" s="63"/>
      <c r="T347" s="8"/>
      <c r="U347" s="101">
        <f t="shared" si="37"/>
        <v>0</v>
      </c>
      <c r="V347" s="8"/>
      <c r="W347" s="63"/>
      <c r="X347" s="8"/>
      <c r="Y347" s="104">
        <f t="shared" si="38"/>
        <v>0</v>
      </c>
      <c r="Z347" s="8"/>
      <c r="AA347" s="63"/>
      <c r="AB347" s="8"/>
      <c r="AC347" s="98">
        <f t="shared" si="39"/>
        <v>0</v>
      </c>
    </row>
    <row r="348" spans="14:29" x14ac:dyDescent="0.45">
      <c r="N348" s="8">
        <v>72.888744154327497</v>
      </c>
      <c r="O348" s="63"/>
      <c r="P348" s="82">
        <v>1.349554E-3</v>
      </c>
      <c r="Q348" s="98">
        <f t="shared" si="36"/>
        <v>9.0412209260708198E-4</v>
      </c>
      <c r="R348" s="8"/>
      <c r="S348" s="63"/>
      <c r="T348" s="8"/>
      <c r="U348" s="101">
        <f t="shared" si="37"/>
        <v>0</v>
      </c>
      <c r="V348" s="8"/>
      <c r="W348" s="63"/>
      <c r="X348" s="8"/>
      <c r="Y348" s="104">
        <f t="shared" si="38"/>
        <v>0</v>
      </c>
      <c r="Z348" s="8"/>
      <c r="AA348" s="63"/>
      <c r="AB348" s="8"/>
      <c r="AC348" s="98">
        <f t="shared" si="39"/>
        <v>0</v>
      </c>
    </row>
    <row r="349" spans="14:29" x14ac:dyDescent="0.45">
      <c r="N349" s="8">
        <v>72.888754154427602</v>
      </c>
      <c r="O349" s="63"/>
      <c r="P349" s="82">
        <v>-1.1581886E-2</v>
      </c>
      <c r="Q349" s="98">
        <f t="shared" si="36"/>
        <v>-7.7591848911986233E-3</v>
      </c>
      <c r="R349" s="8"/>
      <c r="S349" s="63"/>
      <c r="T349" s="8"/>
      <c r="U349" s="101">
        <f t="shared" si="37"/>
        <v>0</v>
      </c>
      <c r="V349" s="8"/>
      <c r="W349" s="63"/>
      <c r="X349" s="8"/>
      <c r="Y349" s="104">
        <f t="shared" si="38"/>
        <v>0</v>
      </c>
      <c r="Z349" s="8"/>
      <c r="AA349" s="63"/>
      <c r="AB349" s="8"/>
      <c r="AC349" s="98">
        <f t="shared" si="39"/>
        <v>0</v>
      </c>
    </row>
    <row r="350" spans="14:29" x14ac:dyDescent="0.45">
      <c r="N350" s="8">
        <v>72.888764154527607</v>
      </c>
      <c r="O350" s="63"/>
      <c r="P350" s="82">
        <v>-6.7325960000000004E-3</v>
      </c>
      <c r="Q350" s="98">
        <f t="shared" si="36"/>
        <v>-4.5104447722714843E-3</v>
      </c>
      <c r="R350" s="8"/>
      <c r="S350" s="63"/>
      <c r="T350" s="8"/>
      <c r="U350" s="101">
        <f t="shared" si="37"/>
        <v>0</v>
      </c>
      <c r="V350" s="8"/>
      <c r="W350" s="63"/>
      <c r="X350" s="8"/>
      <c r="Y350" s="104">
        <f t="shared" si="38"/>
        <v>0</v>
      </c>
      <c r="Z350" s="8"/>
      <c r="AA350" s="63"/>
      <c r="AB350" s="8"/>
      <c r="AC350" s="98">
        <f t="shared" si="39"/>
        <v>0</v>
      </c>
    </row>
    <row r="351" spans="14:29" x14ac:dyDescent="0.45">
      <c r="N351" s="8">
        <v>72.888774154627498</v>
      </c>
      <c r="O351" s="63"/>
      <c r="P351" s="82">
        <v>-1.5138031999999999E-2</v>
      </c>
      <c r="Q351" s="98">
        <f t="shared" si="36"/>
        <v>-1.0141594311745191E-2</v>
      </c>
      <c r="R351" s="8"/>
      <c r="S351" s="63"/>
      <c r="T351" s="8"/>
      <c r="U351" s="101">
        <f t="shared" si="37"/>
        <v>0</v>
      </c>
      <c r="V351" s="8"/>
      <c r="W351" s="63"/>
      <c r="X351" s="8"/>
      <c r="Y351" s="104">
        <f t="shared" si="38"/>
        <v>0</v>
      </c>
      <c r="Z351" s="8"/>
      <c r="AA351" s="63"/>
      <c r="AB351" s="8"/>
      <c r="AC351" s="98">
        <f t="shared" si="39"/>
        <v>0</v>
      </c>
    </row>
    <row r="352" spans="14:29" x14ac:dyDescent="0.45">
      <c r="N352" s="8">
        <v>72.888784154727603</v>
      </c>
      <c r="O352" s="63"/>
      <c r="P352" s="82">
        <v>-2.2250323999999998E-2</v>
      </c>
      <c r="Q352" s="98">
        <f t="shared" si="36"/>
        <v>-1.4906413152838329E-2</v>
      </c>
      <c r="R352" s="8"/>
      <c r="S352" s="63"/>
      <c r="T352" s="8"/>
      <c r="U352" s="101">
        <f t="shared" si="37"/>
        <v>0</v>
      </c>
      <c r="V352" s="8"/>
      <c r="W352" s="63"/>
      <c r="X352" s="8"/>
      <c r="Y352" s="104">
        <f t="shared" si="38"/>
        <v>0</v>
      </c>
      <c r="Z352" s="8"/>
      <c r="AA352" s="63"/>
      <c r="AB352" s="8"/>
      <c r="AC352" s="98">
        <f t="shared" si="39"/>
        <v>0</v>
      </c>
    </row>
    <row r="353" spans="14:29" x14ac:dyDescent="0.45">
      <c r="N353" s="8">
        <v>72.888794154827593</v>
      </c>
      <c r="O353" s="63"/>
      <c r="P353" s="82">
        <v>-2.9039329999999999E-2</v>
      </c>
      <c r="Q353" s="98">
        <f t="shared" si="36"/>
        <v>-1.9454649319336326E-2</v>
      </c>
      <c r="R353" s="8"/>
      <c r="S353" s="63"/>
      <c r="T353" s="8"/>
      <c r="U353" s="101">
        <f t="shared" si="37"/>
        <v>0</v>
      </c>
      <c r="V353" s="8"/>
      <c r="W353" s="63"/>
      <c r="X353" s="8"/>
      <c r="Y353" s="104">
        <f t="shared" si="38"/>
        <v>0</v>
      </c>
      <c r="Z353" s="8"/>
      <c r="AA353" s="63"/>
      <c r="AB353" s="8"/>
      <c r="AC353" s="98">
        <f t="shared" si="39"/>
        <v>0</v>
      </c>
    </row>
    <row r="354" spans="14:29" x14ac:dyDescent="0.45">
      <c r="N354" s="8">
        <v>72.888804154927598</v>
      </c>
      <c r="O354" s="63"/>
      <c r="P354" s="82">
        <v>-2.3866754E-2</v>
      </c>
      <c r="Q354" s="98">
        <f t="shared" si="36"/>
        <v>-1.5989326525814043E-2</v>
      </c>
      <c r="R354" s="8"/>
      <c r="S354" s="63"/>
      <c r="T354" s="8"/>
      <c r="U354" s="101">
        <f t="shared" si="37"/>
        <v>0</v>
      </c>
      <c r="V354" s="8"/>
      <c r="W354" s="63"/>
      <c r="X354" s="8"/>
      <c r="Y354" s="104">
        <f t="shared" si="38"/>
        <v>0</v>
      </c>
      <c r="Z354" s="8"/>
      <c r="AA354" s="63"/>
      <c r="AB354" s="8"/>
      <c r="AC354" s="98">
        <f t="shared" si="39"/>
        <v>0</v>
      </c>
    </row>
    <row r="355" spans="14:29" x14ac:dyDescent="0.45">
      <c r="N355" s="8">
        <v>72.888814155027603</v>
      </c>
      <c r="O355" s="63"/>
      <c r="P355" s="82">
        <v>-3.1302332000000002E-2</v>
      </c>
      <c r="Q355" s="98">
        <f t="shared" si="36"/>
        <v>-2.0970728041502323E-2</v>
      </c>
      <c r="R355" s="8"/>
      <c r="S355" s="63"/>
      <c r="T355" s="8"/>
      <c r="U355" s="101">
        <f t="shared" si="37"/>
        <v>0</v>
      </c>
      <c r="V355" s="8"/>
      <c r="W355" s="63"/>
      <c r="X355" s="8"/>
      <c r="Y355" s="104">
        <f t="shared" si="38"/>
        <v>0</v>
      </c>
      <c r="Z355" s="8"/>
      <c r="AA355" s="63"/>
      <c r="AB355" s="8"/>
      <c r="AC355" s="98">
        <f t="shared" si="39"/>
        <v>0</v>
      </c>
    </row>
    <row r="356" spans="14:29" x14ac:dyDescent="0.45">
      <c r="N356" s="8">
        <v>72.888824155127594</v>
      </c>
      <c r="O356" s="63"/>
      <c r="P356" s="82">
        <v>-2.0633894E-2</v>
      </c>
      <c r="Q356" s="98">
        <f t="shared" si="36"/>
        <v>-1.3823499779862617E-2</v>
      </c>
      <c r="R356" s="8"/>
      <c r="S356" s="63"/>
      <c r="T356" s="8"/>
      <c r="U356" s="101">
        <f t="shared" si="37"/>
        <v>0</v>
      </c>
      <c r="V356" s="8"/>
      <c r="W356" s="63"/>
      <c r="X356" s="8"/>
      <c r="Y356" s="104">
        <f t="shared" si="38"/>
        <v>0</v>
      </c>
      <c r="Z356" s="8"/>
      <c r="AA356" s="63"/>
      <c r="AB356" s="8"/>
      <c r="AC356" s="98">
        <f t="shared" si="39"/>
        <v>0</v>
      </c>
    </row>
    <row r="357" spans="14:29" x14ac:dyDescent="0.45">
      <c r="N357" s="8">
        <v>72.888834155227599</v>
      </c>
      <c r="O357" s="63"/>
      <c r="P357" s="82">
        <v>-2.5483183999999999E-2</v>
      </c>
      <c r="Q357" s="98">
        <f t="shared" si="36"/>
        <v>-1.7072239898789754E-2</v>
      </c>
      <c r="R357" s="8"/>
      <c r="S357" s="63"/>
      <c r="T357" s="8"/>
      <c r="U357" s="101">
        <f t="shared" si="37"/>
        <v>0</v>
      </c>
      <c r="V357" s="8"/>
      <c r="W357" s="63"/>
      <c r="X357" s="8"/>
      <c r="Y357" s="104">
        <f t="shared" si="38"/>
        <v>0</v>
      </c>
      <c r="Z357" s="8"/>
      <c r="AA357" s="63"/>
      <c r="AB357" s="8"/>
      <c r="AC357" s="98">
        <f t="shared" si="39"/>
        <v>0</v>
      </c>
    </row>
    <row r="358" spans="14:29" x14ac:dyDescent="0.45">
      <c r="N358" s="8">
        <v>72.888844155327604</v>
      </c>
      <c r="O358" s="63"/>
      <c r="P358" s="82">
        <v>-2.7099614000000001E-2</v>
      </c>
      <c r="Q358" s="98">
        <f t="shared" si="36"/>
        <v>-1.8155153271765472E-2</v>
      </c>
      <c r="R358" s="8"/>
      <c r="S358" s="63"/>
      <c r="T358" s="8"/>
      <c r="U358" s="101">
        <f t="shared" si="37"/>
        <v>0</v>
      </c>
      <c r="V358" s="8"/>
      <c r="W358" s="63"/>
      <c r="X358" s="8"/>
      <c r="Y358" s="104">
        <f t="shared" si="38"/>
        <v>0</v>
      </c>
      <c r="Z358" s="8"/>
      <c r="AA358" s="63"/>
      <c r="AB358" s="8"/>
      <c r="AC358" s="98">
        <f t="shared" si="39"/>
        <v>0</v>
      </c>
    </row>
    <row r="359" spans="14:29" x14ac:dyDescent="0.45">
      <c r="N359" s="8">
        <v>72.888854155427595</v>
      </c>
      <c r="O359" s="63"/>
      <c r="P359" s="82">
        <v>-2.8392758000000001E-2</v>
      </c>
      <c r="Q359" s="98">
        <f t="shared" si="36"/>
        <v>-1.9021483970146039E-2</v>
      </c>
      <c r="R359" s="8"/>
      <c r="S359" s="63"/>
      <c r="T359" s="8"/>
      <c r="U359" s="101">
        <f t="shared" si="37"/>
        <v>0</v>
      </c>
      <c r="V359" s="8"/>
      <c r="W359" s="63"/>
      <c r="X359" s="8"/>
      <c r="Y359" s="104">
        <f t="shared" si="38"/>
        <v>0</v>
      </c>
      <c r="Z359" s="8"/>
      <c r="AA359" s="63"/>
      <c r="AB359" s="8"/>
      <c r="AC359" s="98">
        <f t="shared" si="39"/>
        <v>0</v>
      </c>
    </row>
    <row r="360" spans="14:29" x14ac:dyDescent="0.45">
      <c r="N360" s="8">
        <v>72.8888641555276</v>
      </c>
      <c r="O360" s="63"/>
      <c r="P360" s="82">
        <v>-2.6129756000000001E-2</v>
      </c>
      <c r="Q360" s="98">
        <f t="shared" si="36"/>
        <v>-1.7505405247980041E-2</v>
      </c>
      <c r="R360" s="8"/>
      <c r="S360" s="63"/>
      <c r="T360" s="8"/>
      <c r="U360" s="101">
        <f t="shared" si="37"/>
        <v>0</v>
      </c>
      <c r="V360" s="8"/>
      <c r="W360" s="63"/>
      <c r="X360" s="8"/>
      <c r="Y360" s="104">
        <f t="shared" si="38"/>
        <v>0</v>
      </c>
      <c r="Z360" s="8"/>
      <c r="AA360" s="63"/>
      <c r="AB360" s="8"/>
      <c r="AC360" s="98">
        <f t="shared" si="39"/>
        <v>0</v>
      </c>
    </row>
    <row r="361" spans="14:29" x14ac:dyDescent="0.45">
      <c r="N361" s="8">
        <v>72.888874155627605</v>
      </c>
      <c r="O361" s="63"/>
      <c r="P361" s="82">
        <v>-2.7746185999999999E-2</v>
      </c>
      <c r="Q361" s="98">
        <f t="shared" si="36"/>
        <v>-1.8588318620955755E-2</v>
      </c>
      <c r="R361" s="8"/>
      <c r="S361" s="63"/>
      <c r="T361" s="8"/>
      <c r="U361" s="101">
        <f t="shared" si="37"/>
        <v>0</v>
      </c>
      <c r="V361" s="8"/>
      <c r="W361" s="63"/>
      <c r="X361" s="8"/>
      <c r="Y361" s="104">
        <f t="shared" si="38"/>
        <v>0</v>
      </c>
      <c r="Z361" s="8"/>
      <c r="AA361" s="63"/>
      <c r="AB361" s="8"/>
      <c r="AC361" s="98">
        <f t="shared" si="39"/>
        <v>0</v>
      </c>
    </row>
    <row r="362" spans="14:29" x14ac:dyDescent="0.45">
      <c r="N362" s="8">
        <v>72.888884155727595</v>
      </c>
      <c r="O362" s="63"/>
      <c r="P362" s="82">
        <v>-3.1625618000000001E-2</v>
      </c>
      <c r="Q362" s="98">
        <f t="shared" si="36"/>
        <v>-2.1187310716097467E-2</v>
      </c>
      <c r="R362" s="8"/>
      <c r="S362" s="63"/>
      <c r="T362" s="8"/>
      <c r="U362" s="101">
        <f t="shared" si="37"/>
        <v>0</v>
      </c>
      <c r="V362" s="8"/>
      <c r="W362" s="63"/>
      <c r="X362" s="8"/>
      <c r="Y362" s="104">
        <f t="shared" si="38"/>
        <v>0</v>
      </c>
      <c r="Z362" s="8"/>
      <c r="AA362" s="63"/>
      <c r="AB362" s="8"/>
      <c r="AC362" s="98">
        <f t="shared" si="39"/>
        <v>0</v>
      </c>
    </row>
    <row r="363" spans="14:29" x14ac:dyDescent="0.45">
      <c r="N363" s="8">
        <v>72.8888941558276</v>
      </c>
      <c r="O363" s="63"/>
      <c r="P363" s="82">
        <v>-2.2896896E-2</v>
      </c>
      <c r="Q363" s="98">
        <f t="shared" si="36"/>
        <v>-1.5339578502028614E-2</v>
      </c>
      <c r="R363" s="8"/>
      <c r="S363" s="63"/>
      <c r="T363" s="8"/>
      <c r="U363" s="101">
        <f t="shared" si="37"/>
        <v>0</v>
      </c>
      <c r="V363" s="8"/>
      <c r="W363" s="63"/>
      <c r="X363" s="8"/>
      <c r="Y363" s="104">
        <f t="shared" si="38"/>
        <v>0</v>
      </c>
      <c r="Z363" s="8"/>
      <c r="AA363" s="63"/>
      <c r="AB363" s="8"/>
      <c r="AC363" s="98">
        <f t="shared" si="39"/>
        <v>0</v>
      </c>
    </row>
    <row r="364" spans="14:29" x14ac:dyDescent="0.45">
      <c r="N364" s="8">
        <v>72.888904155927605</v>
      </c>
      <c r="O364" s="63"/>
      <c r="P364" s="82">
        <v>-2.8392758000000001E-2</v>
      </c>
      <c r="Q364" s="98">
        <f t="shared" si="36"/>
        <v>-1.9021483970146039E-2</v>
      </c>
      <c r="R364" s="8"/>
      <c r="S364" s="63"/>
      <c r="T364" s="8"/>
      <c r="U364" s="101">
        <f t="shared" si="37"/>
        <v>0</v>
      </c>
      <c r="V364" s="8"/>
      <c r="W364" s="63"/>
      <c r="X364" s="8"/>
      <c r="Y364" s="104">
        <f t="shared" si="38"/>
        <v>0</v>
      </c>
      <c r="Z364" s="8"/>
      <c r="AA364" s="63"/>
      <c r="AB364" s="8"/>
      <c r="AC364" s="98">
        <f t="shared" si="39"/>
        <v>0</v>
      </c>
    </row>
    <row r="365" spans="14:29" x14ac:dyDescent="0.45">
      <c r="N365" s="8">
        <v>72.888914156027596</v>
      </c>
      <c r="O365" s="63"/>
      <c r="P365" s="82">
        <v>-2.6453042E-2</v>
      </c>
      <c r="Q365" s="98">
        <f t="shared" si="36"/>
        <v>-1.7721987922575184E-2</v>
      </c>
      <c r="R365" s="8"/>
      <c r="S365" s="63"/>
      <c r="T365" s="8"/>
      <c r="U365" s="101">
        <f t="shared" si="37"/>
        <v>0</v>
      </c>
      <c r="V365" s="8"/>
      <c r="W365" s="63"/>
      <c r="X365" s="8"/>
      <c r="Y365" s="104">
        <f t="shared" si="38"/>
        <v>0</v>
      </c>
      <c r="Z365" s="8"/>
      <c r="AA365" s="63"/>
      <c r="AB365" s="8"/>
      <c r="AC365" s="98">
        <f t="shared" si="39"/>
        <v>0</v>
      </c>
    </row>
    <row r="366" spans="14:29" x14ac:dyDescent="0.45">
      <c r="N366" s="8">
        <v>72.888924156127601</v>
      </c>
      <c r="O366" s="63"/>
      <c r="P366" s="82">
        <v>-2.1603752E-2</v>
      </c>
      <c r="Q366" s="98">
        <f t="shared" si="36"/>
        <v>-1.4473247803648046E-2</v>
      </c>
      <c r="R366" s="8"/>
      <c r="S366" s="63"/>
      <c r="T366" s="8"/>
      <c r="U366" s="101">
        <f t="shared" si="37"/>
        <v>0</v>
      </c>
      <c r="V366" s="8"/>
      <c r="W366" s="63"/>
      <c r="X366" s="8"/>
      <c r="Y366" s="104">
        <f t="shared" si="38"/>
        <v>0</v>
      </c>
      <c r="Z366" s="8"/>
      <c r="AA366" s="63"/>
      <c r="AB366" s="8"/>
      <c r="AC366" s="98">
        <f t="shared" si="39"/>
        <v>0</v>
      </c>
    </row>
    <row r="367" spans="14:29" x14ac:dyDescent="0.45">
      <c r="N367" s="8">
        <v>72.888934156227606</v>
      </c>
      <c r="O367" s="63"/>
      <c r="P367" s="82">
        <v>-3.1625618000000001E-2</v>
      </c>
      <c r="Q367" s="98">
        <f t="shared" si="36"/>
        <v>-2.1187310716097467E-2</v>
      </c>
      <c r="R367" s="8"/>
      <c r="S367" s="63"/>
      <c r="T367" s="8"/>
      <c r="U367" s="101">
        <f t="shared" si="37"/>
        <v>0</v>
      </c>
      <c r="V367" s="8"/>
      <c r="W367" s="63"/>
      <c r="X367" s="8"/>
      <c r="Y367" s="104">
        <f t="shared" si="38"/>
        <v>0</v>
      </c>
      <c r="Z367" s="8"/>
      <c r="AA367" s="63"/>
      <c r="AB367" s="8"/>
      <c r="AC367" s="98">
        <f t="shared" si="39"/>
        <v>0</v>
      </c>
    </row>
    <row r="368" spans="14:29" x14ac:dyDescent="0.45">
      <c r="N368" s="8">
        <v>72.888944156327597</v>
      </c>
      <c r="O368" s="63"/>
      <c r="P368" s="82">
        <v>-3.5828336000000002E-2</v>
      </c>
      <c r="Q368" s="98">
        <f t="shared" si="36"/>
        <v>-2.4002885485834322E-2</v>
      </c>
      <c r="R368" s="8"/>
      <c r="S368" s="63"/>
      <c r="T368" s="8"/>
      <c r="U368" s="101">
        <f t="shared" si="37"/>
        <v>0</v>
      </c>
      <c r="V368" s="8"/>
      <c r="W368" s="63"/>
      <c r="X368" s="8"/>
      <c r="Y368" s="104">
        <f t="shared" si="38"/>
        <v>0</v>
      </c>
      <c r="Z368" s="8"/>
      <c r="AA368" s="63"/>
      <c r="AB368" s="8"/>
      <c r="AC368" s="98">
        <f t="shared" si="39"/>
        <v>0</v>
      </c>
    </row>
    <row r="369" spans="14:29" x14ac:dyDescent="0.45">
      <c r="N369" s="8">
        <v>72.888954156427602</v>
      </c>
      <c r="O369" s="63"/>
      <c r="P369" s="82">
        <v>-2.8716044E-2</v>
      </c>
      <c r="Q369" s="98">
        <f t="shared" si="36"/>
        <v>-1.9238066644741182E-2</v>
      </c>
      <c r="R369" s="8"/>
      <c r="S369" s="63"/>
      <c r="T369" s="8"/>
      <c r="U369" s="101">
        <f t="shared" si="37"/>
        <v>0</v>
      </c>
      <c r="V369" s="8"/>
      <c r="W369" s="63"/>
      <c r="X369" s="8"/>
      <c r="Y369" s="104">
        <f t="shared" si="38"/>
        <v>0</v>
      </c>
      <c r="Z369" s="8"/>
      <c r="AA369" s="63"/>
      <c r="AB369" s="8"/>
      <c r="AC369" s="98">
        <f t="shared" si="39"/>
        <v>0</v>
      </c>
    </row>
    <row r="370" spans="14:29" x14ac:dyDescent="0.45">
      <c r="N370" s="8">
        <v>72.888964156527607</v>
      </c>
      <c r="O370" s="63"/>
      <c r="P370" s="82">
        <v>-2.8392758000000001E-2</v>
      </c>
      <c r="Q370" s="98">
        <f t="shared" si="36"/>
        <v>-1.9021483970146039E-2</v>
      </c>
      <c r="R370" s="8"/>
      <c r="S370" s="63"/>
      <c r="T370" s="8"/>
      <c r="U370" s="101">
        <f t="shared" si="37"/>
        <v>0</v>
      </c>
      <c r="V370" s="8"/>
      <c r="W370" s="63"/>
      <c r="X370" s="8"/>
      <c r="Y370" s="104">
        <f t="shared" si="38"/>
        <v>0</v>
      </c>
      <c r="Z370" s="8"/>
      <c r="AA370" s="63"/>
      <c r="AB370" s="8"/>
      <c r="AC370" s="98">
        <f t="shared" si="39"/>
        <v>0</v>
      </c>
    </row>
    <row r="371" spans="14:29" x14ac:dyDescent="0.45">
      <c r="N371" s="8">
        <v>72.888974156627597</v>
      </c>
      <c r="O371" s="63"/>
      <c r="P371" s="82">
        <v>-3.0332474000000002E-2</v>
      </c>
      <c r="Q371" s="98">
        <f t="shared" si="36"/>
        <v>-2.0320980017716896E-2</v>
      </c>
      <c r="R371" s="8"/>
      <c r="S371" s="63"/>
      <c r="T371" s="8"/>
      <c r="U371" s="101">
        <f t="shared" si="37"/>
        <v>0</v>
      </c>
      <c r="V371" s="8"/>
      <c r="W371" s="63"/>
      <c r="X371" s="8"/>
      <c r="Y371" s="104">
        <f t="shared" si="38"/>
        <v>0</v>
      </c>
      <c r="Z371" s="8"/>
      <c r="AA371" s="63"/>
      <c r="AB371" s="8"/>
      <c r="AC371" s="98">
        <f t="shared" si="39"/>
        <v>0</v>
      </c>
    </row>
    <row r="372" spans="14:29" x14ac:dyDescent="0.45">
      <c r="N372" s="8">
        <v>72.888984156727602</v>
      </c>
      <c r="O372" s="63"/>
      <c r="P372" s="82">
        <v>-3.1625618000000001E-2</v>
      </c>
      <c r="Q372" s="98">
        <f t="shared" si="36"/>
        <v>-2.1187310716097467E-2</v>
      </c>
      <c r="R372" s="8"/>
      <c r="S372" s="63"/>
      <c r="T372" s="8"/>
      <c r="U372" s="101">
        <f t="shared" si="37"/>
        <v>0</v>
      </c>
      <c r="V372" s="8"/>
      <c r="W372" s="63"/>
      <c r="X372" s="8"/>
      <c r="Y372" s="104">
        <f t="shared" si="38"/>
        <v>0</v>
      </c>
      <c r="Z372" s="8"/>
      <c r="AA372" s="63"/>
      <c r="AB372" s="8"/>
      <c r="AC372" s="98">
        <f t="shared" si="39"/>
        <v>0</v>
      </c>
    </row>
    <row r="373" spans="14:29" x14ac:dyDescent="0.45">
      <c r="N373" s="8">
        <v>72.888994156827593</v>
      </c>
      <c r="O373" s="63"/>
      <c r="P373" s="82">
        <v>-2.74229E-2</v>
      </c>
      <c r="Q373" s="98">
        <f t="shared" si="36"/>
        <v>-1.8371735946360612E-2</v>
      </c>
      <c r="R373" s="8"/>
      <c r="S373" s="63"/>
      <c r="T373" s="8"/>
      <c r="U373" s="101">
        <f t="shared" si="37"/>
        <v>0</v>
      </c>
      <c r="V373" s="8"/>
      <c r="W373" s="63"/>
      <c r="X373" s="8"/>
      <c r="Y373" s="104">
        <f t="shared" si="38"/>
        <v>0</v>
      </c>
      <c r="Z373" s="8"/>
      <c r="AA373" s="63"/>
      <c r="AB373" s="8"/>
      <c r="AC373" s="98">
        <f t="shared" si="39"/>
        <v>0</v>
      </c>
    </row>
    <row r="374" spans="14:29" x14ac:dyDescent="0.45">
      <c r="N374" s="8">
        <v>72.889004156927598</v>
      </c>
      <c r="O374" s="63"/>
      <c r="P374" s="82">
        <v>-3.0979046E-2</v>
      </c>
      <c r="Q374" s="98">
        <f t="shared" si="36"/>
        <v>-2.075414536690718E-2</v>
      </c>
      <c r="R374" s="8"/>
      <c r="S374" s="63"/>
      <c r="T374" s="8"/>
      <c r="U374" s="101">
        <f t="shared" si="37"/>
        <v>0</v>
      </c>
      <c r="V374" s="8"/>
      <c r="W374" s="63"/>
      <c r="X374" s="8"/>
      <c r="Y374" s="104">
        <f t="shared" si="38"/>
        <v>0</v>
      </c>
      <c r="Z374" s="8"/>
      <c r="AA374" s="63"/>
      <c r="AB374" s="8"/>
      <c r="AC374" s="98">
        <f t="shared" si="39"/>
        <v>0</v>
      </c>
    </row>
    <row r="375" spans="14:29" x14ac:dyDescent="0.45">
      <c r="N375" s="8">
        <v>72.889014157027603</v>
      </c>
      <c r="O375" s="63"/>
      <c r="P375" s="82">
        <v>-2.8716044E-2</v>
      </c>
      <c r="Q375" s="98">
        <f t="shared" si="36"/>
        <v>-1.9238066644741182E-2</v>
      </c>
      <c r="R375" s="8"/>
      <c r="S375" s="63"/>
      <c r="T375" s="8"/>
      <c r="U375" s="101">
        <f t="shared" si="37"/>
        <v>0</v>
      </c>
      <c r="V375" s="8"/>
      <c r="W375" s="63"/>
      <c r="X375" s="8"/>
      <c r="Y375" s="104">
        <f t="shared" si="38"/>
        <v>0</v>
      </c>
      <c r="Z375" s="8"/>
      <c r="AA375" s="63"/>
      <c r="AB375" s="8"/>
      <c r="AC375" s="98">
        <f t="shared" si="39"/>
        <v>0</v>
      </c>
    </row>
    <row r="376" spans="14:29" x14ac:dyDescent="0.45">
      <c r="N376" s="8">
        <v>72.889024157127594</v>
      </c>
      <c r="O376" s="63"/>
      <c r="P376" s="82">
        <v>-2.9362616000000001E-2</v>
      </c>
      <c r="Q376" s="98">
        <f t="shared" si="36"/>
        <v>-1.9671231993931469E-2</v>
      </c>
      <c r="R376" s="8"/>
      <c r="S376" s="63"/>
      <c r="T376" s="8"/>
      <c r="U376" s="101">
        <f t="shared" si="37"/>
        <v>0</v>
      </c>
      <c r="V376" s="8"/>
      <c r="W376" s="63"/>
      <c r="X376" s="8"/>
      <c r="Y376" s="104">
        <f t="shared" si="38"/>
        <v>0</v>
      </c>
      <c r="Z376" s="8"/>
      <c r="AA376" s="63"/>
      <c r="AB376" s="8"/>
      <c r="AC376" s="98">
        <f t="shared" si="39"/>
        <v>0</v>
      </c>
    </row>
    <row r="377" spans="14:29" x14ac:dyDescent="0.45">
      <c r="N377" s="8">
        <v>72.889034157227599</v>
      </c>
      <c r="O377" s="63"/>
      <c r="P377" s="82">
        <v>-2.8069472000000002E-2</v>
      </c>
      <c r="Q377" s="98">
        <f t="shared" si="36"/>
        <v>-1.8804901295550899E-2</v>
      </c>
      <c r="R377" s="8"/>
      <c r="S377" s="63"/>
      <c r="T377" s="8"/>
      <c r="U377" s="101">
        <f t="shared" si="37"/>
        <v>0</v>
      </c>
      <c r="V377" s="8"/>
      <c r="W377" s="63"/>
      <c r="X377" s="8"/>
      <c r="Y377" s="104">
        <f t="shared" si="38"/>
        <v>0</v>
      </c>
      <c r="Z377" s="8"/>
      <c r="AA377" s="63"/>
      <c r="AB377" s="8"/>
      <c r="AC377" s="98">
        <f t="shared" si="39"/>
        <v>0</v>
      </c>
    </row>
    <row r="378" spans="14:29" x14ac:dyDescent="0.45">
      <c r="N378" s="8">
        <v>72.889044157327604</v>
      </c>
      <c r="O378" s="63"/>
      <c r="P378" s="82">
        <v>-3.1302332000000002E-2</v>
      </c>
      <c r="Q378" s="98">
        <f t="shared" si="36"/>
        <v>-2.0970728041502323E-2</v>
      </c>
      <c r="R378" s="8"/>
      <c r="S378" s="63"/>
      <c r="T378" s="8"/>
      <c r="U378" s="101">
        <f t="shared" si="37"/>
        <v>0</v>
      </c>
      <c r="V378" s="8"/>
      <c r="W378" s="63"/>
      <c r="X378" s="8"/>
      <c r="Y378" s="104">
        <f t="shared" si="38"/>
        <v>0</v>
      </c>
      <c r="Z378" s="8"/>
      <c r="AA378" s="63"/>
      <c r="AB378" s="8"/>
      <c r="AC378" s="98">
        <f t="shared" si="39"/>
        <v>0</v>
      </c>
    </row>
    <row r="379" spans="14:29" x14ac:dyDescent="0.45">
      <c r="N379" s="8">
        <v>72.889054157427594</v>
      </c>
      <c r="O379" s="63"/>
      <c r="P379" s="82">
        <v>-2.7099614000000001E-2</v>
      </c>
      <c r="Q379" s="98">
        <f t="shared" si="36"/>
        <v>-1.8155153271765472E-2</v>
      </c>
      <c r="R379" s="8"/>
      <c r="S379" s="63"/>
      <c r="T379" s="8"/>
      <c r="U379" s="101">
        <f t="shared" si="37"/>
        <v>0</v>
      </c>
      <c r="V379" s="8"/>
      <c r="W379" s="63"/>
      <c r="X379" s="8"/>
      <c r="Y379" s="104">
        <f t="shared" si="38"/>
        <v>0</v>
      </c>
      <c r="Z379" s="8"/>
      <c r="AA379" s="63"/>
      <c r="AB379" s="8"/>
      <c r="AC379" s="98">
        <f t="shared" si="39"/>
        <v>0</v>
      </c>
    </row>
    <row r="380" spans="14:29" x14ac:dyDescent="0.45">
      <c r="N380" s="8">
        <v>72.889064157527599</v>
      </c>
      <c r="O380" s="63"/>
      <c r="P380" s="82">
        <v>-2.1927037999999999E-2</v>
      </c>
      <c r="Q380" s="98">
        <f t="shared" si="36"/>
        <v>-1.4689830478243187E-2</v>
      </c>
      <c r="R380" s="8"/>
      <c r="S380" s="63"/>
      <c r="T380" s="8"/>
      <c r="U380" s="101">
        <f t="shared" si="37"/>
        <v>0</v>
      </c>
      <c r="V380" s="8"/>
      <c r="W380" s="63"/>
      <c r="X380" s="8"/>
      <c r="Y380" s="104">
        <f t="shared" si="38"/>
        <v>0</v>
      </c>
      <c r="Z380" s="8"/>
      <c r="AA380" s="63"/>
      <c r="AB380" s="8"/>
      <c r="AC380" s="98">
        <f t="shared" si="39"/>
        <v>0</v>
      </c>
    </row>
    <row r="381" spans="14:29" x14ac:dyDescent="0.45">
      <c r="N381" s="8">
        <v>72.889074157627604</v>
      </c>
      <c r="O381" s="63"/>
      <c r="P381" s="82">
        <v>-1.9987321999999998E-2</v>
      </c>
      <c r="Q381" s="98">
        <f t="shared" si="36"/>
        <v>-1.339033443067233E-2</v>
      </c>
      <c r="R381" s="8"/>
      <c r="S381" s="63"/>
      <c r="T381" s="8"/>
      <c r="U381" s="101">
        <f t="shared" si="37"/>
        <v>0</v>
      </c>
      <c r="V381" s="8"/>
      <c r="W381" s="63"/>
      <c r="X381" s="8"/>
      <c r="Y381" s="104">
        <f t="shared" si="38"/>
        <v>0</v>
      </c>
      <c r="Z381" s="8"/>
      <c r="AA381" s="63"/>
      <c r="AB381" s="8"/>
      <c r="AC381" s="98">
        <f t="shared" si="39"/>
        <v>0</v>
      </c>
    </row>
    <row r="382" spans="14:29" x14ac:dyDescent="0.45">
      <c r="N382" s="8">
        <v>72.889084157727595</v>
      </c>
      <c r="O382" s="63"/>
      <c r="P382" s="82">
        <v>-1.7077748E-2</v>
      </c>
      <c r="Q382" s="98">
        <f t="shared" si="36"/>
        <v>-1.1441090359316048E-2</v>
      </c>
      <c r="R382" s="8"/>
      <c r="S382" s="63"/>
      <c r="T382" s="8"/>
      <c r="U382" s="101">
        <f t="shared" si="37"/>
        <v>0</v>
      </c>
      <c r="V382" s="8"/>
      <c r="W382" s="63"/>
      <c r="X382" s="8"/>
      <c r="Y382" s="104">
        <f t="shared" si="38"/>
        <v>0</v>
      </c>
      <c r="Z382" s="8"/>
      <c r="AA382" s="63"/>
      <c r="AB382" s="8"/>
      <c r="AC382" s="98">
        <f t="shared" si="39"/>
        <v>0</v>
      </c>
    </row>
    <row r="383" spans="14:29" x14ac:dyDescent="0.45">
      <c r="N383" s="8">
        <v>72.8890941578276</v>
      </c>
      <c r="O383" s="63"/>
      <c r="P383" s="82">
        <v>-1.3198316E-2</v>
      </c>
      <c r="Q383" s="98">
        <f t="shared" si="36"/>
        <v>-8.8420982641743365E-3</v>
      </c>
      <c r="R383" s="8"/>
      <c r="S383" s="63"/>
      <c r="T383" s="8"/>
      <c r="U383" s="101">
        <f t="shared" si="37"/>
        <v>0</v>
      </c>
      <c r="V383" s="8"/>
      <c r="W383" s="63"/>
      <c r="X383" s="8"/>
      <c r="Y383" s="104">
        <f t="shared" si="38"/>
        <v>0</v>
      </c>
      <c r="Z383" s="8"/>
      <c r="AA383" s="63"/>
      <c r="AB383" s="8"/>
      <c r="AC383" s="98">
        <f t="shared" si="39"/>
        <v>0</v>
      </c>
    </row>
    <row r="384" spans="14:29" x14ac:dyDescent="0.45">
      <c r="N384" s="8">
        <v>72.889104157927605</v>
      </c>
      <c r="O384" s="63"/>
      <c r="P384" s="82">
        <v>-1.2875030000000001E-2</v>
      </c>
      <c r="Q384" s="98">
        <f t="shared" si="36"/>
        <v>-8.6255155895791948E-3</v>
      </c>
      <c r="R384" s="8"/>
      <c r="S384" s="63"/>
      <c r="T384" s="8"/>
      <c r="U384" s="101">
        <f t="shared" si="37"/>
        <v>0</v>
      </c>
      <c r="V384" s="8"/>
      <c r="W384" s="63"/>
      <c r="X384" s="8"/>
      <c r="Y384" s="104">
        <f t="shared" si="38"/>
        <v>0</v>
      </c>
      <c r="Z384" s="8"/>
      <c r="AA384" s="63"/>
      <c r="AB384" s="8"/>
      <c r="AC384" s="98">
        <f t="shared" si="39"/>
        <v>0</v>
      </c>
    </row>
  </sheetData>
  <mergeCells count="5">
    <mergeCell ref="R3:T3"/>
    <mergeCell ref="V3:X3"/>
    <mergeCell ref="Z3:AB3"/>
    <mergeCell ref="N3:P3"/>
    <mergeCell ref="F5:I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9B5F1-E5D4-4E03-BE55-09CCA5568386}">
  <dimension ref="F3:AC385"/>
  <sheetViews>
    <sheetView zoomScale="81" zoomScaleNormal="100" workbookViewId="0">
      <selection activeCell="K31" sqref="K31"/>
    </sheetView>
  </sheetViews>
  <sheetFormatPr defaultColWidth="9" defaultRowHeight="14.25" x14ac:dyDescent="0.45"/>
  <cols>
    <col min="1" max="14" width="9" style="6"/>
    <col min="15" max="15" width="10.1328125" style="6" bestFit="1" customWidth="1"/>
    <col min="16" max="16" width="12.33203125" style="6" bestFit="1" customWidth="1"/>
    <col min="17" max="17" width="12.33203125" style="6" customWidth="1"/>
    <col min="18" max="20" width="9" style="6"/>
    <col min="21" max="21" width="11.73046875" style="6" bestFit="1" customWidth="1"/>
    <col min="22" max="24" width="9" style="6"/>
    <col min="25" max="25" width="11.73046875" style="6" bestFit="1" customWidth="1"/>
    <col min="26" max="28" width="9" style="6"/>
    <col min="29" max="29" width="12.33203125" style="6" bestFit="1" customWidth="1"/>
    <col min="30" max="16384" width="9" style="6"/>
  </cols>
  <sheetData>
    <row r="3" spans="6:29" x14ac:dyDescent="0.45">
      <c r="P3" s="9" t="s">
        <v>132</v>
      </c>
      <c r="Q3" s="9">
        <f>MAX(P5:P385)</f>
        <v>1.3022524179999999</v>
      </c>
      <c r="T3" s="9" t="s">
        <v>132</v>
      </c>
      <c r="U3" s="9">
        <f>MAX(T5:T385)</f>
        <v>1.5799550920000001</v>
      </c>
      <c r="X3" s="9" t="s">
        <v>132</v>
      </c>
      <c r="Y3" s="9">
        <f>MAX(X5:X385)</f>
        <v>1.478766574</v>
      </c>
      <c r="AB3" s="9" t="s">
        <v>132</v>
      </c>
      <c r="AC3" s="9">
        <f>MAX(AB5:AB385)</f>
        <v>1.4664817059999999</v>
      </c>
    </row>
    <row r="4" spans="6:29" x14ac:dyDescent="0.45">
      <c r="N4" s="144" t="s">
        <v>46</v>
      </c>
      <c r="O4" s="144"/>
      <c r="P4" s="144"/>
      <c r="Q4" s="97" t="s">
        <v>133</v>
      </c>
      <c r="R4" s="144" t="s">
        <v>47</v>
      </c>
      <c r="S4" s="144"/>
      <c r="T4" s="144"/>
      <c r="U4" s="97" t="s">
        <v>133</v>
      </c>
      <c r="V4" s="144" t="s">
        <v>48</v>
      </c>
      <c r="W4" s="144"/>
      <c r="X4" s="144"/>
      <c r="Y4" s="97" t="s">
        <v>133</v>
      </c>
      <c r="Z4" s="144" t="s">
        <v>49</v>
      </c>
      <c r="AA4" s="144"/>
      <c r="AB4" s="144"/>
      <c r="AC4" s="97" t="s">
        <v>133</v>
      </c>
    </row>
    <row r="5" spans="6:29" x14ac:dyDescent="0.45">
      <c r="N5" s="8">
        <v>7.3542044219752203</v>
      </c>
      <c r="O5" s="100">
        <f t="shared" ref="O5:O68" si="0">N5-$N$5</f>
        <v>0</v>
      </c>
      <c r="P5" s="8">
        <v>-8.3490260000000007E-3</v>
      </c>
      <c r="Q5" s="98">
        <f>P5/$Q$3</f>
        <v>-6.4112194261251136E-3</v>
      </c>
      <c r="R5" s="8">
        <v>17.6028061446804</v>
      </c>
      <c r="S5" s="102">
        <f>R5-$R$5</f>
        <v>0</v>
      </c>
      <c r="T5" s="8">
        <v>1.1048133999999999E-2</v>
      </c>
      <c r="U5" s="101">
        <f>T5/$U$3</f>
        <v>6.9926886251017563E-3</v>
      </c>
      <c r="V5" s="8">
        <v>41.955256039794399</v>
      </c>
      <c r="W5" s="103">
        <f>V5-$V$5</f>
        <v>0</v>
      </c>
      <c r="X5" s="8">
        <v>4.9056999999999998E-3</v>
      </c>
      <c r="Y5" s="104">
        <f>X5/$Y$3</f>
        <v>3.3174268922851646E-3</v>
      </c>
      <c r="Z5" s="8">
        <v>51.133556567114702</v>
      </c>
      <c r="AA5" s="106">
        <f>Z5-$Z$5</f>
        <v>0</v>
      </c>
      <c r="AB5" s="8">
        <v>-2.2065919999999998E-3</v>
      </c>
      <c r="AC5" s="107">
        <f>AB5/$AC$3</f>
        <v>-1.5046843005077351E-3</v>
      </c>
    </row>
    <row r="6" spans="6:29" x14ac:dyDescent="0.45">
      <c r="F6" s="144" t="s">
        <v>51</v>
      </c>
      <c r="G6" s="144"/>
      <c r="H6" s="144"/>
      <c r="I6" s="144"/>
      <c r="N6" s="8">
        <v>7.3542144220752199</v>
      </c>
      <c r="O6" s="100">
        <f t="shared" si="0"/>
        <v>1.0000099999629697E-5</v>
      </c>
      <c r="P6" s="8">
        <v>-2.6687599999999901E-4</v>
      </c>
      <c r="Q6" s="98">
        <f t="shared" ref="Q6:Q69" si="1">P6/$Q$3</f>
        <v>-2.0493415586040326E-4</v>
      </c>
      <c r="R6" s="8">
        <v>17.602816144780402</v>
      </c>
      <c r="S6" s="102">
        <f t="shared" ref="S6:S69" si="2">R6-$R$5</f>
        <v>1.0000100001406054E-5</v>
      </c>
      <c r="T6" s="8">
        <v>4.5824139999999999E-3</v>
      </c>
      <c r="U6" s="101">
        <f t="shared" ref="U6:U69" si="3">T6/$U$3</f>
        <v>2.9003444611829508E-3</v>
      </c>
      <c r="V6" s="8">
        <v>41.955266039894397</v>
      </c>
      <c r="W6" s="103">
        <f t="shared" ref="W6:W69" si="4">V6-$V$5</f>
        <v>1.000009999785334E-5</v>
      </c>
      <c r="X6" s="8">
        <v>-2.853164E-3</v>
      </c>
      <c r="Y6" s="104">
        <f t="shared" ref="Y6:Y69" si="5">X6/$Y$3</f>
        <v>-1.9294214855575982E-3</v>
      </c>
      <c r="Z6" s="8">
        <v>51.1335665672147</v>
      </c>
      <c r="AA6" s="106">
        <f t="shared" ref="AA6:AA69" si="6">Z6-$Z$5</f>
        <v>1.000009999785334E-5</v>
      </c>
      <c r="AB6" s="8">
        <v>-2.5298780000000002E-3</v>
      </c>
      <c r="AC6" s="107">
        <f t="shared" ref="AC6:AC69" si="7">AB6/$AC$3</f>
        <v>-1.7251343740935833E-3</v>
      </c>
    </row>
    <row r="7" spans="6:29" x14ac:dyDescent="0.45">
      <c r="N7" s="8">
        <v>7.3542244221752204</v>
      </c>
      <c r="O7" s="100">
        <f t="shared" si="0"/>
        <v>2.0000200000147572E-5</v>
      </c>
      <c r="P7" s="8">
        <v>-1.0612028000000001E-2</v>
      </c>
      <c r="Q7" s="98">
        <f t="shared" si="1"/>
        <v>-8.1489793017992321E-3</v>
      </c>
      <c r="R7" s="8">
        <v>17.6028261448804</v>
      </c>
      <c r="S7" s="102">
        <f t="shared" si="2"/>
        <v>2.0000199999259394E-5</v>
      </c>
      <c r="T7" s="8">
        <v>3.28927E-3</v>
      </c>
      <c r="U7" s="101">
        <f t="shared" si="3"/>
        <v>2.0818756283991898E-3</v>
      </c>
      <c r="V7" s="8">
        <v>41.955276039994402</v>
      </c>
      <c r="W7" s="103">
        <f t="shared" si="4"/>
        <v>2.0000200002812107E-5</v>
      </c>
      <c r="X7" s="8">
        <v>-2.853164E-3</v>
      </c>
      <c r="Y7" s="104">
        <f t="shared" si="5"/>
        <v>-1.9294214855575982E-3</v>
      </c>
      <c r="Z7" s="8">
        <v>51.133576567314698</v>
      </c>
      <c r="AA7" s="106">
        <f t="shared" si="6"/>
        <v>2.000019999570668E-5</v>
      </c>
      <c r="AB7" s="8">
        <v>1.6728400000000001E-3</v>
      </c>
      <c r="AC7" s="107">
        <f t="shared" si="7"/>
        <v>1.1407165825224417E-3</v>
      </c>
    </row>
    <row r="8" spans="6:29" x14ac:dyDescent="0.45">
      <c r="N8" s="8">
        <v>7.3542344222752201</v>
      </c>
      <c r="O8" s="100">
        <f t="shared" si="0"/>
        <v>3.0000299999777269E-5</v>
      </c>
      <c r="P8" s="8">
        <v>-7.3791680000000002E-3</v>
      </c>
      <c r="Q8" s="98">
        <f t="shared" si="1"/>
        <v>-5.6664651936933477E-3</v>
      </c>
      <c r="R8" s="8">
        <v>17.602836144980401</v>
      </c>
      <c r="S8" s="102">
        <f t="shared" si="2"/>
        <v>3.0000300000665447E-5</v>
      </c>
      <c r="T8" s="8">
        <v>1.0078276000000001E-2</v>
      </c>
      <c r="U8" s="101">
        <f t="shared" si="3"/>
        <v>6.3788370005139362E-3</v>
      </c>
      <c r="V8" s="8">
        <v>41.9552860400944</v>
      </c>
      <c r="W8" s="103">
        <f t="shared" si="4"/>
        <v>3.0000300000665447E-5</v>
      </c>
      <c r="X8" s="8">
        <v>1.6728400000000001E-3</v>
      </c>
      <c r="Y8" s="104">
        <f t="shared" si="5"/>
        <v>1.1312400681840135E-3</v>
      </c>
      <c r="Z8" s="8">
        <v>51.133586567414703</v>
      </c>
      <c r="AA8" s="106">
        <f t="shared" si="6"/>
        <v>3.0000300000665447E-5</v>
      </c>
      <c r="AB8" s="8">
        <v>2.6426980000000002E-3</v>
      </c>
      <c r="AC8" s="107">
        <f t="shared" si="7"/>
        <v>1.8020668032799861E-3</v>
      </c>
    </row>
    <row r="9" spans="6:29" x14ac:dyDescent="0.45">
      <c r="N9" s="8">
        <v>7.3542444223752197</v>
      </c>
      <c r="O9" s="100">
        <f t="shared" si="0"/>
        <v>4.0000399999406966E-5</v>
      </c>
      <c r="P9" s="8">
        <v>-7.3791680000000002E-3</v>
      </c>
      <c r="Q9" s="98">
        <f t="shared" si="1"/>
        <v>-5.6664651936933477E-3</v>
      </c>
      <c r="R9" s="8">
        <v>17.602846145080498</v>
      </c>
      <c r="S9" s="102">
        <f t="shared" si="2"/>
        <v>4.000040009799477E-5</v>
      </c>
      <c r="T9" s="8">
        <v>-3.1764499999999999E-3</v>
      </c>
      <c r="U9" s="101">
        <f t="shared" si="3"/>
        <v>-2.0104685355196157E-3</v>
      </c>
      <c r="V9" s="8">
        <v>41.955296040194398</v>
      </c>
      <c r="W9" s="103">
        <f t="shared" si="4"/>
        <v>4.0000399998518787E-5</v>
      </c>
      <c r="X9" s="8">
        <v>1.6728400000000001E-3</v>
      </c>
      <c r="Y9" s="104">
        <f t="shared" si="5"/>
        <v>1.1312400681840135E-3</v>
      </c>
      <c r="Z9" s="8">
        <v>51.133596567514701</v>
      </c>
      <c r="AA9" s="106">
        <f t="shared" si="6"/>
        <v>4.0000399998518787E-5</v>
      </c>
      <c r="AB9" s="8">
        <v>5.8755580000000003E-3</v>
      </c>
      <c r="AC9" s="107">
        <f t="shared" si="7"/>
        <v>4.0065675391384665E-3</v>
      </c>
    </row>
    <row r="10" spans="6:29" x14ac:dyDescent="0.45">
      <c r="N10" s="8">
        <v>7.35425442247523</v>
      </c>
      <c r="O10" s="100">
        <f t="shared" si="0"/>
        <v>5.0000500009694804E-5</v>
      </c>
      <c r="P10" s="8">
        <v>-7.0558820000000003E-3</v>
      </c>
      <c r="Q10" s="98">
        <f t="shared" si="1"/>
        <v>-5.4182137828827593E-3</v>
      </c>
      <c r="R10" s="8">
        <v>17.6028561451805</v>
      </c>
      <c r="S10" s="102">
        <f t="shared" si="2"/>
        <v>5.0000500099400824E-5</v>
      </c>
      <c r="T10" s="8">
        <v>7.4919879999999998E-3</v>
      </c>
      <c r="U10" s="101">
        <f t="shared" si="3"/>
        <v>4.7418993349464134E-3</v>
      </c>
      <c r="V10" s="8">
        <v>41.955306040294403</v>
      </c>
      <c r="W10" s="103">
        <f t="shared" si="4"/>
        <v>5.0000500003477555E-5</v>
      </c>
      <c r="X10" s="8">
        <v>-1.5600200000000001E-3</v>
      </c>
      <c r="Y10" s="104">
        <f t="shared" si="5"/>
        <v>-1.0549467559171379E-3</v>
      </c>
      <c r="Z10" s="8">
        <v>51.133606567614699</v>
      </c>
      <c r="AA10" s="106">
        <f t="shared" si="6"/>
        <v>5.0000499996372127E-5</v>
      </c>
      <c r="AB10" s="8">
        <v>2.6426980000000002E-3</v>
      </c>
      <c r="AC10" s="107">
        <f t="shared" si="7"/>
        <v>1.8020668032799861E-3</v>
      </c>
    </row>
    <row r="11" spans="6:29" x14ac:dyDescent="0.45">
      <c r="N11" s="8">
        <v>7.3542644225752296</v>
      </c>
      <c r="O11" s="100">
        <f t="shared" si="0"/>
        <v>6.0000600009324501E-5</v>
      </c>
      <c r="P11" s="8">
        <v>3.7969600000000098E-4</v>
      </c>
      <c r="Q11" s="98">
        <f t="shared" si="1"/>
        <v>2.9156866576077341E-4</v>
      </c>
      <c r="R11" s="8">
        <v>17.602866145280501</v>
      </c>
      <c r="S11" s="102">
        <f t="shared" si="2"/>
        <v>6.0000600100806878E-5</v>
      </c>
      <c r="T11" s="8">
        <v>3.6125559999999998E-3</v>
      </c>
      <c r="U11" s="101">
        <f t="shared" si="3"/>
        <v>2.2864928365951302E-3</v>
      </c>
      <c r="V11" s="8">
        <v>41.955316040394401</v>
      </c>
      <c r="W11" s="103">
        <f t="shared" si="4"/>
        <v>6.0000600001330895E-5</v>
      </c>
      <c r="X11" s="8">
        <v>-2.853164E-3</v>
      </c>
      <c r="Y11" s="104">
        <f t="shared" si="5"/>
        <v>-1.9294214855575982E-3</v>
      </c>
      <c r="Z11" s="8">
        <v>51.133616567714697</v>
      </c>
      <c r="AA11" s="106">
        <f t="shared" si="6"/>
        <v>6.0000599994225468E-5</v>
      </c>
      <c r="AB11" s="8">
        <v>1.0262680000000001E-3</v>
      </c>
      <c r="AC11" s="107">
        <f t="shared" si="7"/>
        <v>6.998164353507456E-4</v>
      </c>
    </row>
    <row r="12" spans="6:29" x14ac:dyDescent="0.45">
      <c r="N12" s="8">
        <v>7.3542744226752301</v>
      </c>
      <c r="O12" s="100">
        <f t="shared" si="0"/>
        <v>7.0000700009842376E-5</v>
      </c>
      <c r="P12" s="8">
        <v>-5.439452E-3</v>
      </c>
      <c r="Q12" s="98">
        <f t="shared" si="1"/>
        <v>-4.1769567288298176E-3</v>
      </c>
      <c r="R12" s="8">
        <v>17.602876145380499</v>
      </c>
      <c r="S12" s="102">
        <f t="shared" si="2"/>
        <v>7.0000700098660218E-5</v>
      </c>
      <c r="T12" s="8">
        <v>2.3194119999999999E-3</v>
      </c>
      <c r="U12" s="101">
        <f t="shared" si="3"/>
        <v>1.468024003811369E-3</v>
      </c>
      <c r="V12" s="8">
        <v>41.955326040494398</v>
      </c>
      <c r="W12" s="103">
        <f t="shared" si="4"/>
        <v>7.0000699999184235E-5</v>
      </c>
      <c r="X12" s="8">
        <v>-2.6687599999999901E-4</v>
      </c>
      <c r="Y12" s="104">
        <f t="shared" si="5"/>
        <v>-1.8047202627667657E-4</v>
      </c>
      <c r="Z12" s="8">
        <v>51.133626567814702</v>
      </c>
      <c r="AA12" s="106">
        <f t="shared" si="6"/>
        <v>7.0000699999184235E-5</v>
      </c>
      <c r="AB12" s="64">
        <v>1.349554E-3</v>
      </c>
      <c r="AC12" s="107">
        <f t="shared" si="7"/>
        <v>9.2026650893659359E-4</v>
      </c>
    </row>
    <row r="13" spans="6:29" x14ac:dyDescent="0.45">
      <c r="N13" s="8">
        <v>7.3542844227752298</v>
      </c>
      <c r="O13" s="100">
        <f t="shared" si="0"/>
        <v>8.0000800009472073E-5</v>
      </c>
      <c r="P13" s="8">
        <v>-5.439452E-3</v>
      </c>
      <c r="Q13" s="98">
        <f t="shared" si="1"/>
        <v>-4.1769567288298176E-3</v>
      </c>
      <c r="R13" s="8">
        <v>17.6028861454805</v>
      </c>
      <c r="S13" s="102">
        <f t="shared" si="2"/>
        <v>8.0000800100066272E-5</v>
      </c>
      <c r="T13" s="8">
        <v>-1.883306E-3</v>
      </c>
      <c r="U13" s="101">
        <f t="shared" si="3"/>
        <v>-1.1919997027358545E-3</v>
      </c>
      <c r="V13" s="8">
        <v>41.955336040594403</v>
      </c>
      <c r="W13" s="103">
        <f t="shared" si="4"/>
        <v>8.0000800004143002E-5</v>
      </c>
      <c r="X13" s="8">
        <v>1.996126E-3</v>
      </c>
      <c r="Y13" s="104">
        <f t="shared" si="5"/>
        <v>1.3498587505941285E-3</v>
      </c>
      <c r="Z13" s="8">
        <v>51.133636567914699</v>
      </c>
      <c r="AA13" s="106">
        <f t="shared" si="6"/>
        <v>8.0000799997037575E-5</v>
      </c>
      <c r="AB13" s="8">
        <v>3.7969600000000098E-4</v>
      </c>
      <c r="AC13" s="107">
        <f t="shared" si="7"/>
        <v>2.5891628817905011E-4</v>
      </c>
    </row>
    <row r="14" spans="6:29" x14ac:dyDescent="0.45">
      <c r="N14" s="8">
        <v>7.3542944228752303</v>
      </c>
      <c r="O14" s="100">
        <f t="shared" si="0"/>
        <v>9.0000900009989948E-5</v>
      </c>
      <c r="P14" s="8">
        <v>-8.9955980000000005E-3</v>
      </c>
      <c r="Q14" s="98">
        <f t="shared" si="1"/>
        <v>-6.9077222477462903E-3</v>
      </c>
      <c r="R14" s="8">
        <v>17.602896145580502</v>
      </c>
      <c r="S14" s="102">
        <f t="shared" si="2"/>
        <v>9.0000900101472325E-5</v>
      </c>
      <c r="T14" s="8">
        <v>-2.6687599999999901E-4</v>
      </c>
      <c r="U14" s="101">
        <f t="shared" si="3"/>
        <v>-1.6891366175615262E-4</v>
      </c>
      <c r="V14" s="8">
        <v>41.955346040694401</v>
      </c>
      <c r="W14" s="103">
        <f t="shared" si="4"/>
        <v>9.0000900001996342E-5</v>
      </c>
      <c r="X14" s="8">
        <v>-2.2065919999999998E-3</v>
      </c>
      <c r="Y14" s="104">
        <f t="shared" si="5"/>
        <v>-1.4921841207373679E-3</v>
      </c>
      <c r="Z14" s="8">
        <v>51.133646568014697</v>
      </c>
      <c r="AA14" s="106">
        <f t="shared" si="6"/>
        <v>9.0000899994890915E-5</v>
      </c>
      <c r="AB14" s="8">
        <v>1.349554E-3</v>
      </c>
      <c r="AC14" s="107">
        <f t="shared" si="7"/>
        <v>9.2026650893659359E-4</v>
      </c>
    </row>
    <row r="15" spans="6:29" x14ac:dyDescent="0.45">
      <c r="N15" s="8">
        <v>7.3543044229752299</v>
      </c>
      <c r="O15" s="100">
        <f t="shared" si="0"/>
        <v>1.0000100000961964E-4</v>
      </c>
      <c r="P15" s="8">
        <v>-8.02574E-3</v>
      </c>
      <c r="Q15" s="98">
        <f t="shared" si="1"/>
        <v>-6.1629680153145244E-3</v>
      </c>
      <c r="R15" s="8">
        <v>17.6029061456805</v>
      </c>
      <c r="S15" s="102">
        <f t="shared" si="2"/>
        <v>1.0000100009932567E-4</v>
      </c>
      <c r="T15" s="8">
        <v>1.0401562E-2</v>
      </c>
      <c r="U15" s="101">
        <f t="shared" si="3"/>
        <v>6.5834542087098756E-3</v>
      </c>
      <c r="V15" s="8">
        <v>41.955356040794399</v>
      </c>
      <c r="W15" s="103">
        <f t="shared" si="4"/>
        <v>1.0000099999984968E-4</v>
      </c>
      <c r="X15" s="8">
        <v>-4.1463079999999996E-3</v>
      </c>
      <c r="Y15" s="104">
        <f t="shared" si="5"/>
        <v>-2.8038962151980583E-3</v>
      </c>
      <c r="Z15" s="8">
        <v>51.133656568114702</v>
      </c>
      <c r="AA15" s="106">
        <f t="shared" si="6"/>
        <v>1.0000099999984968E-4</v>
      </c>
      <c r="AB15" s="8">
        <v>1.0262680000000001E-3</v>
      </c>
      <c r="AC15" s="107">
        <f t="shared" si="7"/>
        <v>6.998164353507456E-4</v>
      </c>
    </row>
    <row r="16" spans="6:29" x14ac:dyDescent="0.45">
      <c r="N16" s="8">
        <v>7.3543144230752304</v>
      </c>
      <c r="O16" s="100">
        <f t="shared" si="0"/>
        <v>1.1000110001013752E-4</v>
      </c>
      <c r="P16" s="8">
        <v>-9.6421700000000003E-3</v>
      </c>
      <c r="Q16" s="98">
        <f t="shared" si="1"/>
        <v>-7.4042250693674662E-3</v>
      </c>
      <c r="R16" s="8">
        <v>17.602916145780501</v>
      </c>
      <c r="S16" s="102">
        <f t="shared" si="2"/>
        <v>1.1000110010073172E-4</v>
      </c>
      <c r="T16" s="8">
        <v>8.4618460000000003E-3</v>
      </c>
      <c r="U16" s="101">
        <f t="shared" si="3"/>
        <v>5.3557509595342345E-3</v>
      </c>
      <c r="V16" s="8">
        <v>41.955366040894397</v>
      </c>
      <c r="W16" s="103">
        <f t="shared" si="4"/>
        <v>1.1000109999770302E-4</v>
      </c>
      <c r="X16" s="8">
        <v>-1.5600200000000001E-3</v>
      </c>
      <c r="Y16" s="104">
        <f t="shared" si="5"/>
        <v>-1.0549467559171379E-3</v>
      </c>
      <c r="Z16" s="8">
        <v>51.1336665682147</v>
      </c>
      <c r="AA16" s="106">
        <f t="shared" si="6"/>
        <v>1.1000109999770302E-4</v>
      </c>
      <c r="AB16" s="8">
        <v>1.6728400000000001E-3</v>
      </c>
      <c r="AC16" s="107">
        <f t="shared" si="7"/>
        <v>1.1407165825224417E-3</v>
      </c>
    </row>
    <row r="17" spans="14:29" x14ac:dyDescent="0.45">
      <c r="N17" s="8">
        <v>7.3543244231752301</v>
      </c>
      <c r="O17" s="100">
        <f t="shared" si="0"/>
        <v>1.2000120000976722E-4</v>
      </c>
      <c r="P17" s="8">
        <v>-6.4093099999999997E-3</v>
      </c>
      <c r="Q17" s="98">
        <f t="shared" si="1"/>
        <v>-4.9217109612615826E-3</v>
      </c>
      <c r="R17" s="8">
        <v>17.602926145880499</v>
      </c>
      <c r="S17" s="102">
        <f t="shared" si="2"/>
        <v>1.2000120009858506E-4</v>
      </c>
      <c r="T17" s="8">
        <v>1.996126E-3</v>
      </c>
      <c r="U17" s="101">
        <f t="shared" si="3"/>
        <v>1.2634067956154287E-3</v>
      </c>
      <c r="V17" s="8">
        <v>41.955376040994402</v>
      </c>
      <c r="W17" s="103">
        <f t="shared" si="4"/>
        <v>1.2000120000266179E-4</v>
      </c>
      <c r="X17" s="8">
        <v>-1.5600200000000001E-3</v>
      </c>
      <c r="Y17" s="104">
        <f t="shared" si="5"/>
        <v>-1.0549467559171379E-3</v>
      </c>
      <c r="Z17" s="8">
        <v>51.133676568314698</v>
      </c>
      <c r="AA17" s="106">
        <f t="shared" si="6"/>
        <v>1.2000119999555636E-4</v>
      </c>
      <c r="AB17" s="8">
        <v>1.0262680000000001E-3</v>
      </c>
      <c r="AC17" s="107">
        <f t="shared" si="7"/>
        <v>6.998164353507456E-4</v>
      </c>
    </row>
    <row r="18" spans="14:29" x14ac:dyDescent="0.45">
      <c r="N18" s="8">
        <v>7.3543344232752297</v>
      </c>
      <c r="O18" s="100">
        <f t="shared" si="0"/>
        <v>1.3000130000939691E-4</v>
      </c>
      <c r="P18" s="64">
        <v>-4.1463079999999996E-3</v>
      </c>
      <c r="Q18" s="98">
        <f t="shared" si="1"/>
        <v>-3.1839510855874637E-3</v>
      </c>
      <c r="R18" s="8">
        <v>17.6029361459805</v>
      </c>
      <c r="S18" s="102">
        <f t="shared" si="2"/>
        <v>1.3000130009999111E-4</v>
      </c>
      <c r="T18" s="64">
        <v>2.9659840000000001E-3</v>
      </c>
      <c r="U18" s="101">
        <f t="shared" si="3"/>
        <v>1.8772584202032497E-3</v>
      </c>
      <c r="V18" s="8">
        <v>41.9553860410944</v>
      </c>
      <c r="W18" s="103">
        <f t="shared" si="4"/>
        <v>1.3000130000051513E-4</v>
      </c>
      <c r="X18" s="64">
        <v>-4.7928800000000002E-3</v>
      </c>
      <c r="Y18" s="104">
        <f t="shared" si="5"/>
        <v>-3.2411335800182892E-3</v>
      </c>
      <c r="Z18" s="8">
        <v>51.133686568414703</v>
      </c>
      <c r="AA18" s="106">
        <f t="shared" si="6"/>
        <v>1.3000130000051513E-4</v>
      </c>
      <c r="AB18" s="64">
        <v>1.349554E-3</v>
      </c>
      <c r="AC18" s="107">
        <f t="shared" si="7"/>
        <v>9.2026650893659359E-4</v>
      </c>
    </row>
    <row r="19" spans="14:29" x14ac:dyDescent="0.45">
      <c r="N19" s="8">
        <v>7.3543444233752302</v>
      </c>
      <c r="O19" s="100">
        <f t="shared" si="0"/>
        <v>1.4000140000991479E-4</v>
      </c>
      <c r="P19" s="64">
        <v>-3.8230220000000001E-3</v>
      </c>
      <c r="Q19" s="98">
        <f t="shared" si="1"/>
        <v>-2.9356996747768758E-3</v>
      </c>
      <c r="R19" s="8">
        <v>17.602946146080502</v>
      </c>
      <c r="S19" s="102">
        <f t="shared" si="2"/>
        <v>1.4000140010139717E-4</v>
      </c>
      <c r="T19" s="64">
        <v>4.9056999999999998E-3</v>
      </c>
      <c r="U19" s="101">
        <f t="shared" si="3"/>
        <v>3.1049616693788911E-3</v>
      </c>
      <c r="V19" s="8">
        <v>41.955396041194398</v>
      </c>
      <c r="W19" s="103">
        <f t="shared" si="4"/>
        <v>1.4000139999836847E-4</v>
      </c>
      <c r="X19" s="64">
        <v>-4.7928800000000002E-3</v>
      </c>
      <c r="Y19" s="104">
        <f t="shared" si="5"/>
        <v>-3.2411335800182892E-3</v>
      </c>
      <c r="Z19" s="8">
        <v>51.133696568514701</v>
      </c>
      <c r="AA19" s="106">
        <f t="shared" si="6"/>
        <v>1.4000139999836847E-4</v>
      </c>
      <c r="AB19" s="64">
        <v>-5.90161999999999E-4</v>
      </c>
      <c r="AC19" s="107">
        <f t="shared" si="7"/>
        <v>-4.0243393257849414E-4</v>
      </c>
    </row>
    <row r="20" spans="14:29" x14ac:dyDescent="0.45">
      <c r="N20" s="8">
        <v>7.3543544234752396</v>
      </c>
      <c r="O20" s="100">
        <f t="shared" si="0"/>
        <v>1.5000150001931445E-4</v>
      </c>
      <c r="P20" s="8">
        <v>-6.7325960000000004E-3</v>
      </c>
      <c r="Q20" s="98">
        <f t="shared" si="1"/>
        <v>-5.169962372072171E-3</v>
      </c>
      <c r="R20" s="8">
        <v>17.6029561461805</v>
      </c>
      <c r="S20" s="102">
        <f t="shared" si="2"/>
        <v>1.5000150009925051E-4</v>
      </c>
      <c r="T20" s="8">
        <v>9.4317040000000008E-3</v>
      </c>
      <c r="U20" s="101">
        <f t="shared" si="3"/>
        <v>5.9696025841220555E-3</v>
      </c>
      <c r="V20" s="8">
        <v>41.955406041294403</v>
      </c>
      <c r="W20" s="103">
        <f t="shared" si="4"/>
        <v>1.5000150000332724E-4</v>
      </c>
      <c r="X20" s="8">
        <v>-1.883306E-3</v>
      </c>
      <c r="Y20" s="104">
        <f t="shared" si="5"/>
        <v>-1.2735654383272529E-3</v>
      </c>
      <c r="Z20" s="8">
        <v>51.133706568614699</v>
      </c>
      <c r="AA20" s="106">
        <f t="shared" si="6"/>
        <v>1.5000149999622181E-4</v>
      </c>
      <c r="AB20" s="8">
        <v>1.6728400000000001E-3</v>
      </c>
      <c r="AC20" s="107">
        <f t="shared" si="7"/>
        <v>1.1407165825224417E-3</v>
      </c>
    </row>
    <row r="21" spans="14:29" x14ac:dyDescent="0.45">
      <c r="N21" s="8">
        <v>7.3543644235752401</v>
      </c>
      <c r="O21" s="100">
        <f t="shared" si="0"/>
        <v>1.6000160001983232E-4</v>
      </c>
      <c r="P21" s="8">
        <v>-6.7325960000000004E-3</v>
      </c>
      <c r="Q21" s="98">
        <f t="shared" si="1"/>
        <v>-5.169962372072171E-3</v>
      </c>
      <c r="R21" s="8">
        <v>17.602966146280501</v>
      </c>
      <c r="S21" s="102">
        <f t="shared" si="2"/>
        <v>1.6000160010065656E-4</v>
      </c>
      <c r="T21" s="8">
        <v>2.3194119999999999E-3</v>
      </c>
      <c r="U21" s="101">
        <f t="shared" si="3"/>
        <v>1.468024003811369E-3</v>
      </c>
      <c r="V21" s="8">
        <v>41.9554160413944</v>
      </c>
      <c r="W21" s="103">
        <f t="shared" si="4"/>
        <v>1.6000160000118058E-4</v>
      </c>
      <c r="X21" s="8">
        <v>-2.6687599999999901E-4</v>
      </c>
      <c r="Y21" s="104">
        <f t="shared" si="5"/>
        <v>-1.8047202627667657E-4</v>
      </c>
      <c r="Z21" s="8">
        <v>51.133716568714703</v>
      </c>
      <c r="AA21" s="106">
        <f t="shared" si="6"/>
        <v>1.6000160000118058E-4</v>
      </c>
      <c r="AB21" s="8">
        <v>7.02982E-4</v>
      </c>
      <c r="AC21" s="107">
        <f t="shared" si="7"/>
        <v>4.793663617648975E-4</v>
      </c>
    </row>
    <row r="22" spans="14:29" x14ac:dyDescent="0.45">
      <c r="N22" s="8">
        <v>7.3543744236752397</v>
      </c>
      <c r="O22" s="100">
        <f t="shared" si="0"/>
        <v>1.7000170001946202E-4</v>
      </c>
      <c r="P22" s="8">
        <v>-8.6723119999999997E-3</v>
      </c>
      <c r="Q22" s="98">
        <f t="shared" si="1"/>
        <v>-6.6594708369357011E-3</v>
      </c>
      <c r="R22" s="8">
        <v>17.602976146380499</v>
      </c>
      <c r="S22" s="102">
        <f t="shared" si="2"/>
        <v>1.700017000985099E-4</v>
      </c>
      <c r="T22" s="8">
        <v>1.6728400000000001E-3</v>
      </c>
      <c r="U22" s="101">
        <f t="shared" si="3"/>
        <v>1.0587895874194886E-3</v>
      </c>
      <c r="V22" s="8">
        <v>41.955426041494398</v>
      </c>
      <c r="W22" s="103">
        <f t="shared" si="4"/>
        <v>1.7000169999903392E-4</v>
      </c>
      <c r="X22" s="8">
        <v>-2.853164E-3</v>
      </c>
      <c r="Y22" s="104">
        <f t="shared" si="5"/>
        <v>-1.9294214855575982E-3</v>
      </c>
      <c r="Z22" s="8">
        <v>51.133726568814701</v>
      </c>
      <c r="AA22" s="106">
        <f t="shared" si="6"/>
        <v>1.7000169999903392E-4</v>
      </c>
      <c r="AB22" s="8">
        <v>7.02982E-4</v>
      </c>
      <c r="AC22" s="107">
        <f t="shared" si="7"/>
        <v>4.793663617648975E-4</v>
      </c>
    </row>
    <row r="23" spans="14:29" x14ac:dyDescent="0.45">
      <c r="N23" s="8">
        <v>7.3543844237752403</v>
      </c>
      <c r="O23" s="100">
        <f t="shared" si="0"/>
        <v>1.800018000199799E-4</v>
      </c>
      <c r="P23" s="8">
        <v>-5.1161660000000001E-3</v>
      </c>
      <c r="Q23" s="98">
        <f t="shared" si="1"/>
        <v>-3.9287053180192292E-3</v>
      </c>
      <c r="R23" s="8">
        <v>17.6029861464805</v>
      </c>
      <c r="S23" s="102">
        <f t="shared" si="2"/>
        <v>1.8000180009991595E-4</v>
      </c>
      <c r="T23" s="64">
        <v>5.6410000000000702E-5</v>
      </c>
      <c r="U23" s="101">
        <f t="shared" si="3"/>
        <v>3.5703546439787482E-5</v>
      </c>
      <c r="V23" s="8">
        <v>41.955436041594403</v>
      </c>
      <c r="W23" s="103">
        <f t="shared" si="4"/>
        <v>1.8000180000399268E-4</v>
      </c>
      <c r="X23" s="8">
        <v>-3.8230220000000001E-3</v>
      </c>
      <c r="Y23" s="104">
        <f t="shared" si="5"/>
        <v>-2.5852775327879435E-3</v>
      </c>
      <c r="Z23" s="8">
        <v>51.133736568914699</v>
      </c>
      <c r="AA23" s="106">
        <f t="shared" si="6"/>
        <v>1.8000179999688726E-4</v>
      </c>
      <c r="AB23" s="8">
        <v>-1.883306E-3</v>
      </c>
      <c r="AC23" s="107">
        <f t="shared" si="7"/>
        <v>-1.2842342269218871E-3</v>
      </c>
    </row>
    <row r="24" spans="14:29" x14ac:dyDescent="0.45">
      <c r="N24" s="8">
        <v>7.3543944238752399</v>
      </c>
      <c r="O24" s="100">
        <f t="shared" si="0"/>
        <v>1.9000190001960959E-4</v>
      </c>
      <c r="P24" s="8">
        <v>-3.4997359999999998E-3</v>
      </c>
      <c r="Q24" s="98">
        <f t="shared" si="1"/>
        <v>-2.6874482639662875E-3</v>
      </c>
      <c r="R24" s="8">
        <v>17.602996146580502</v>
      </c>
      <c r="S24" s="102">
        <f t="shared" si="2"/>
        <v>1.9000190010132201E-4</v>
      </c>
      <c r="T24" s="8">
        <v>7.02982E-4</v>
      </c>
      <c r="U24" s="101">
        <f t="shared" si="3"/>
        <v>4.449379628316676E-4</v>
      </c>
      <c r="V24" s="8">
        <v>41.955446041694401</v>
      </c>
      <c r="W24" s="103">
        <f t="shared" si="4"/>
        <v>1.9000190000184602E-4</v>
      </c>
      <c r="X24" s="8">
        <v>-1.1905172E-2</v>
      </c>
      <c r="Y24" s="104">
        <f t="shared" si="5"/>
        <v>-8.0507445930408216E-3</v>
      </c>
      <c r="Z24" s="8">
        <v>51.133746569014697</v>
      </c>
      <c r="AA24" s="106">
        <f t="shared" si="6"/>
        <v>1.900018999947406E-4</v>
      </c>
      <c r="AB24" s="8">
        <v>2.6426980000000002E-3</v>
      </c>
      <c r="AC24" s="107">
        <f t="shared" si="7"/>
        <v>1.8020668032799861E-3</v>
      </c>
    </row>
    <row r="25" spans="14:29" x14ac:dyDescent="0.45">
      <c r="N25" s="8">
        <v>7.3544044239752404</v>
      </c>
      <c r="O25" s="100">
        <f t="shared" si="0"/>
        <v>2.0000200002012747E-4</v>
      </c>
      <c r="P25" s="8">
        <v>-3.1764499999999999E-3</v>
      </c>
      <c r="Q25" s="98">
        <f t="shared" si="1"/>
        <v>-2.4391968531556991E-3</v>
      </c>
      <c r="R25" s="8">
        <v>17.603006146680499</v>
      </c>
      <c r="S25" s="102">
        <f t="shared" si="2"/>
        <v>2.0000200009917535E-4</v>
      </c>
      <c r="T25" s="8">
        <v>-2.5298780000000002E-3</v>
      </c>
      <c r="U25" s="101">
        <f t="shared" si="3"/>
        <v>-1.6012341191277354E-3</v>
      </c>
      <c r="V25" s="8">
        <v>41.955456041794399</v>
      </c>
      <c r="W25" s="103">
        <f t="shared" si="4"/>
        <v>2.0000199999969936E-4</v>
      </c>
      <c r="X25" s="8">
        <v>-3.4997359999999998E-3</v>
      </c>
      <c r="Y25" s="104">
        <f t="shared" si="5"/>
        <v>-2.3666588503778283E-3</v>
      </c>
      <c r="Z25" s="8">
        <v>51.133756569114702</v>
      </c>
      <c r="AA25" s="106">
        <f t="shared" si="6"/>
        <v>2.0000199999969936E-4</v>
      </c>
      <c r="AB25" s="8">
        <v>2.3194119999999999E-3</v>
      </c>
      <c r="AC25" s="107">
        <f t="shared" si="7"/>
        <v>1.5816167296941377E-3</v>
      </c>
    </row>
    <row r="26" spans="14:29" x14ac:dyDescent="0.45">
      <c r="N26" s="8">
        <v>7.35441442407524</v>
      </c>
      <c r="O26" s="100">
        <f t="shared" si="0"/>
        <v>2.1000210001975717E-4</v>
      </c>
      <c r="P26" s="8">
        <v>-4.7928800000000002E-3</v>
      </c>
      <c r="Q26" s="98">
        <f t="shared" si="1"/>
        <v>-3.6804539072086413E-3</v>
      </c>
      <c r="R26" s="8">
        <v>17.603016146780501</v>
      </c>
      <c r="S26" s="102">
        <f t="shared" si="2"/>
        <v>2.100021001005814E-4</v>
      </c>
      <c r="T26" s="8">
        <v>-2.6687599999999901E-4</v>
      </c>
      <c r="U26" s="101">
        <f t="shared" si="3"/>
        <v>-1.6891366175615262E-4</v>
      </c>
      <c r="V26" s="8">
        <v>41.955466041894397</v>
      </c>
      <c r="W26" s="103">
        <f t="shared" si="4"/>
        <v>2.100020999975527E-4</v>
      </c>
      <c r="X26" s="8">
        <v>-9.13447999999999E-4</v>
      </c>
      <c r="Y26" s="104">
        <f t="shared" si="5"/>
        <v>-6.1770939109690684E-4</v>
      </c>
      <c r="Z26" s="8">
        <v>51.1337665692147</v>
      </c>
      <c r="AA26" s="106">
        <f t="shared" si="6"/>
        <v>2.100020999975527E-4</v>
      </c>
      <c r="AB26" s="8">
        <v>3.6125559999999998E-3</v>
      </c>
      <c r="AC26" s="107">
        <f t="shared" si="7"/>
        <v>2.4634170240375301E-3</v>
      </c>
    </row>
    <row r="27" spans="14:29" x14ac:dyDescent="0.45">
      <c r="N27" s="8">
        <v>7.3544244241752397</v>
      </c>
      <c r="O27" s="100">
        <f t="shared" si="0"/>
        <v>2.2000220001938686E-4</v>
      </c>
      <c r="P27" s="8">
        <v>-6.7325960000000004E-3</v>
      </c>
      <c r="Q27" s="98">
        <f t="shared" si="1"/>
        <v>-5.169962372072171E-3</v>
      </c>
      <c r="R27" s="8">
        <v>17.603026146880499</v>
      </c>
      <c r="S27" s="102">
        <f t="shared" si="2"/>
        <v>2.2000220009843474E-4</v>
      </c>
      <c r="T27" s="8">
        <v>3.6125559999999998E-3</v>
      </c>
      <c r="U27" s="101">
        <f t="shared" si="3"/>
        <v>2.2864928365951302E-3</v>
      </c>
      <c r="V27" s="8">
        <v>41.955476041994402</v>
      </c>
      <c r="W27" s="103">
        <f t="shared" si="4"/>
        <v>2.2000220000251147E-4</v>
      </c>
      <c r="X27" s="8">
        <v>-1.5600200000000001E-3</v>
      </c>
      <c r="Y27" s="104">
        <f t="shared" si="5"/>
        <v>-1.0549467559171379E-3</v>
      </c>
      <c r="Z27" s="8">
        <v>51.133776569314698</v>
      </c>
      <c r="AA27" s="106">
        <f t="shared" si="6"/>
        <v>2.2000219999540604E-4</v>
      </c>
      <c r="AB27" s="8">
        <v>3.6125559999999998E-3</v>
      </c>
      <c r="AC27" s="107">
        <f t="shared" si="7"/>
        <v>2.4634170240375301E-3</v>
      </c>
    </row>
    <row r="28" spans="14:29" x14ac:dyDescent="0.45">
      <c r="N28" s="8">
        <v>7.3544344242752402</v>
      </c>
      <c r="O28" s="100">
        <f t="shared" si="0"/>
        <v>2.3000230001990474E-4</v>
      </c>
      <c r="P28" s="8">
        <v>-4.7928800000000002E-3</v>
      </c>
      <c r="Q28" s="98">
        <f t="shared" si="1"/>
        <v>-3.6804539072086413E-3</v>
      </c>
      <c r="R28" s="8">
        <v>17.6030361469805</v>
      </c>
      <c r="S28" s="102">
        <f t="shared" si="2"/>
        <v>2.300023000998408E-4</v>
      </c>
      <c r="T28" s="8">
        <v>1.0262680000000001E-3</v>
      </c>
      <c r="U28" s="101">
        <f t="shared" si="3"/>
        <v>6.4955517102760799E-4</v>
      </c>
      <c r="V28" s="8">
        <v>41.9554860420944</v>
      </c>
      <c r="W28" s="103">
        <f t="shared" si="4"/>
        <v>2.3000230000036481E-4</v>
      </c>
      <c r="X28" s="8">
        <v>-5.90161999999999E-4</v>
      </c>
      <c r="Y28" s="104">
        <f t="shared" si="5"/>
        <v>-3.9909070868679171E-4</v>
      </c>
      <c r="Z28" s="8">
        <v>51.133786569414703</v>
      </c>
      <c r="AA28" s="106">
        <f t="shared" si="6"/>
        <v>2.3000230000036481E-4</v>
      </c>
      <c r="AB28" s="8">
        <v>7.8152740000000005E-3</v>
      </c>
      <c r="AC28" s="107">
        <f t="shared" si="7"/>
        <v>5.3292679806535553E-3</v>
      </c>
    </row>
    <row r="29" spans="14:29" x14ac:dyDescent="0.45">
      <c r="N29" s="8">
        <v>7.3544444243752398</v>
      </c>
      <c r="O29" s="100">
        <f t="shared" si="0"/>
        <v>2.4000240001953443E-4</v>
      </c>
      <c r="P29" s="8">
        <v>-5.7627379999999999E-3</v>
      </c>
      <c r="Q29" s="98">
        <f t="shared" si="1"/>
        <v>-4.4252081396404059E-3</v>
      </c>
      <c r="R29" s="8">
        <v>17.603046147080502</v>
      </c>
      <c r="S29" s="102">
        <f t="shared" si="2"/>
        <v>2.4000240010124685E-4</v>
      </c>
      <c r="T29" s="8">
        <v>2.3194119999999999E-3</v>
      </c>
      <c r="U29" s="101">
        <f t="shared" si="3"/>
        <v>1.468024003811369E-3</v>
      </c>
      <c r="V29" s="8">
        <v>41.955496042194397</v>
      </c>
      <c r="W29" s="103">
        <f t="shared" si="4"/>
        <v>2.4000239999821815E-4</v>
      </c>
      <c r="X29" s="8">
        <v>-1.5600200000000001E-3</v>
      </c>
      <c r="Y29" s="104">
        <f t="shared" si="5"/>
        <v>-1.0549467559171379E-3</v>
      </c>
      <c r="Z29" s="8">
        <v>51.133796569514701</v>
      </c>
      <c r="AA29" s="106">
        <f t="shared" si="6"/>
        <v>2.4000239999821815E-4</v>
      </c>
      <c r="AB29" s="8">
        <v>7.1687019999999999E-3</v>
      </c>
      <c r="AC29" s="107">
        <f t="shared" si="7"/>
        <v>4.8883678334818584E-3</v>
      </c>
    </row>
    <row r="30" spans="14:29" x14ac:dyDescent="0.45">
      <c r="N30" s="8">
        <v>7.3544544244752501</v>
      </c>
      <c r="O30" s="100">
        <f t="shared" si="0"/>
        <v>2.5000250002982227E-4</v>
      </c>
      <c r="P30" s="64">
        <v>-3.8230220000000001E-3</v>
      </c>
      <c r="Q30" s="98">
        <f t="shared" si="1"/>
        <v>-2.9356996747768758E-3</v>
      </c>
      <c r="R30" s="8">
        <v>17.603056147180499</v>
      </c>
      <c r="S30" s="102">
        <f t="shared" si="2"/>
        <v>2.5000250009910019E-4</v>
      </c>
      <c r="T30" s="64">
        <v>1.0262680000000001E-3</v>
      </c>
      <c r="U30" s="101">
        <f t="shared" si="3"/>
        <v>6.4955517102760799E-4</v>
      </c>
      <c r="V30" s="8">
        <v>41.955506042294402</v>
      </c>
      <c r="W30" s="103">
        <f t="shared" si="4"/>
        <v>2.5000250000317692E-4</v>
      </c>
      <c r="X30" s="64">
        <v>2.6426980000000002E-3</v>
      </c>
      <c r="Y30" s="104">
        <f t="shared" si="5"/>
        <v>1.787096115414359E-3</v>
      </c>
      <c r="Z30" s="8">
        <v>51.133806569614698</v>
      </c>
      <c r="AA30" s="106">
        <f t="shared" si="6"/>
        <v>2.5000249999607149E-4</v>
      </c>
      <c r="AB30" s="64">
        <v>1.6728400000000001E-3</v>
      </c>
      <c r="AC30" s="107">
        <f t="shared" si="7"/>
        <v>1.1407165825224417E-3</v>
      </c>
    </row>
    <row r="31" spans="14:29" x14ac:dyDescent="0.45">
      <c r="N31" s="8">
        <v>7.3544644245752497</v>
      </c>
      <c r="O31" s="100">
        <f t="shared" si="0"/>
        <v>2.6000260002945197E-4</v>
      </c>
      <c r="P31" s="8">
        <v>-3.1764499999999999E-3</v>
      </c>
      <c r="Q31" s="98">
        <f t="shared" si="1"/>
        <v>-2.4391968531556991E-3</v>
      </c>
      <c r="R31" s="8">
        <v>17.603066147280501</v>
      </c>
      <c r="S31" s="102">
        <f t="shared" si="2"/>
        <v>2.6000260010050624E-4</v>
      </c>
      <c r="T31" s="8">
        <v>3.7969600000000098E-4</v>
      </c>
      <c r="U31" s="101">
        <f t="shared" si="3"/>
        <v>2.4032075463572793E-4</v>
      </c>
      <c r="V31" s="8">
        <v>41.9555160423944</v>
      </c>
      <c r="W31" s="103">
        <f t="shared" si="4"/>
        <v>2.6000260000103026E-4</v>
      </c>
      <c r="X31" s="8">
        <v>-1.236734E-3</v>
      </c>
      <c r="Y31" s="104">
        <f t="shared" si="5"/>
        <v>-8.3632807350702263E-4</v>
      </c>
      <c r="Z31" s="8">
        <v>51.133816569714703</v>
      </c>
      <c r="AA31" s="106">
        <f t="shared" si="6"/>
        <v>2.6000260000103026E-4</v>
      </c>
      <c r="AB31" s="8">
        <v>1.0262680000000001E-3</v>
      </c>
      <c r="AC31" s="107">
        <f t="shared" si="7"/>
        <v>6.998164353507456E-4</v>
      </c>
    </row>
    <row r="32" spans="14:29" x14ac:dyDescent="0.45">
      <c r="N32" s="8">
        <v>7.3544744246752503</v>
      </c>
      <c r="O32" s="100">
        <f t="shared" si="0"/>
        <v>2.7000270002996984E-4</v>
      </c>
      <c r="P32" s="8">
        <v>-5.90161999999999E-4</v>
      </c>
      <c r="Q32" s="98">
        <f t="shared" si="1"/>
        <v>-4.5318556667099159E-4</v>
      </c>
      <c r="R32" s="8">
        <v>17.603076147380499</v>
      </c>
      <c r="S32" s="102">
        <f t="shared" si="2"/>
        <v>2.7000270009835958E-4</v>
      </c>
      <c r="T32" s="8">
        <v>-3.1764499999999999E-3</v>
      </c>
      <c r="U32" s="101">
        <f t="shared" si="3"/>
        <v>-2.0104685355196157E-3</v>
      </c>
      <c r="V32" s="8">
        <v>41.955526042494398</v>
      </c>
      <c r="W32" s="103">
        <f t="shared" si="4"/>
        <v>2.700026999988836E-4</v>
      </c>
      <c r="X32" s="8">
        <v>-5.90161999999999E-4</v>
      </c>
      <c r="Y32" s="104">
        <f t="shared" si="5"/>
        <v>-3.9909070868679171E-4</v>
      </c>
      <c r="Z32" s="8">
        <v>51.133826569814701</v>
      </c>
      <c r="AA32" s="106">
        <f t="shared" si="6"/>
        <v>2.700026999988836E-4</v>
      </c>
      <c r="AB32" s="8">
        <v>4.9056999999999998E-3</v>
      </c>
      <c r="AC32" s="107">
        <f t="shared" si="7"/>
        <v>3.345217318380922E-3</v>
      </c>
    </row>
    <row r="33" spans="14:29" x14ac:dyDescent="0.45">
      <c r="N33" s="8">
        <v>7.3544844247752499</v>
      </c>
      <c r="O33" s="100">
        <f t="shared" si="0"/>
        <v>2.8000280002959954E-4</v>
      </c>
      <c r="P33" s="8">
        <v>-7.7024540000000001E-3</v>
      </c>
      <c r="Q33" s="98">
        <f t="shared" si="1"/>
        <v>-5.914716604503936E-3</v>
      </c>
      <c r="R33" s="8">
        <v>17.6030861474805</v>
      </c>
      <c r="S33" s="102">
        <f t="shared" si="2"/>
        <v>2.8000280009976564E-4</v>
      </c>
      <c r="T33" s="8">
        <v>-1.883306E-3</v>
      </c>
      <c r="U33" s="101">
        <f t="shared" si="3"/>
        <v>-1.1919997027358545E-3</v>
      </c>
      <c r="V33" s="8">
        <v>41.955536042594403</v>
      </c>
      <c r="W33" s="103">
        <f t="shared" si="4"/>
        <v>2.8000280000384237E-4</v>
      </c>
      <c r="X33" s="8">
        <v>6.1988440000000002E-3</v>
      </c>
      <c r="Y33" s="104">
        <f t="shared" si="5"/>
        <v>4.1919016219256252E-3</v>
      </c>
      <c r="Z33" s="8">
        <v>51.133836569914699</v>
      </c>
      <c r="AA33" s="106">
        <f t="shared" si="6"/>
        <v>2.8000279999673694E-4</v>
      </c>
      <c r="AB33" s="8">
        <v>-7.7024540000000001E-3</v>
      </c>
      <c r="AC33" s="107">
        <f t="shared" si="7"/>
        <v>-5.2523355514671527E-3</v>
      </c>
    </row>
    <row r="34" spans="14:29" x14ac:dyDescent="0.45">
      <c r="N34" s="8">
        <v>7.3544944248752504</v>
      </c>
      <c r="O34" s="100">
        <f t="shared" si="0"/>
        <v>2.9000290003011742E-4</v>
      </c>
      <c r="P34" s="64">
        <v>5.6410000000000702E-5</v>
      </c>
      <c r="Q34" s="98">
        <f t="shared" si="1"/>
        <v>4.3317254950184864E-5</v>
      </c>
      <c r="R34" s="8">
        <v>17.603096147580501</v>
      </c>
      <c r="S34" s="102">
        <f t="shared" si="2"/>
        <v>2.9000290010117169E-4</v>
      </c>
      <c r="T34" s="8">
        <v>-3.4997359999999998E-3</v>
      </c>
      <c r="U34" s="101">
        <f t="shared" si="3"/>
        <v>-2.215085743715556E-3</v>
      </c>
      <c r="V34" s="8">
        <v>41.955546042694401</v>
      </c>
      <c r="W34" s="103">
        <f t="shared" si="4"/>
        <v>2.9000290000169571E-4</v>
      </c>
      <c r="X34" s="8">
        <v>-1.883306E-3</v>
      </c>
      <c r="Y34" s="104">
        <f t="shared" si="5"/>
        <v>-1.2735654383272529E-3</v>
      </c>
      <c r="Z34" s="8">
        <v>51.133846570014697</v>
      </c>
      <c r="AA34" s="106">
        <f t="shared" si="6"/>
        <v>2.9000289999459028E-4</v>
      </c>
      <c r="AB34" s="8">
        <v>-1.5600200000000001E-3</v>
      </c>
      <c r="AC34" s="107">
        <f t="shared" si="7"/>
        <v>-1.0637841533360391E-3</v>
      </c>
    </row>
    <row r="35" spans="14:29" x14ac:dyDescent="0.45">
      <c r="N35" s="8">
        <v>7.35450442497525</v>
      </c>
      <c r="O35" s="100">
        <f t="shared" si="0"/>
        <v>3.0000300002974711E-4</v>
      </c>
      <c r="P35" s="8">
        <v>-2.853164E-3</v>
      </c>
      <c r="Q35" s="98">
        <f t="shared" si="1"/>
        <v>-2.1909454423451108E-3</v>
      </c>
      <c r="R35" s="8">
        <v>17.603106147680499</v>
      </c>
      <c r="S35" s="102">
        <f t="shared" si="2"/>
        <v>3.0000300009902503E-4</v>
      </c>
      <c r="T35" s="8">
        <v>-3.4997359999999998E-3</v>
      </c>
      <c r="U35" s="101">
        <f t="shared" si="3"/>
        <v>-2.215085743715556E-3</v>
      </c>
      <c r="V35" s="8">
        <v>41.955556042794399</v>
      </c>
      <c r="W35" s="103">
        <f t="shared" si="4"/>
        <v>3.0000299999954905E-4</v>
      </c>
      <c r="X35" s="8">
        <v>-5.439452E-3</v>
      </c>
      <c r="Y35" s="104">
        <f t="shared" si="5"/>
        <v>-3.6783709448385193E-3</v>
      </c>
      <c r="Z35" s="8">
        <v>51.133856570114702</v>
      </c>
      <c r="AA35" s="106">
        <f t="shared" si="6"/>
        <v>3.0000299999954905E-4</v>
      </c>
      <c r="AB35" s="8">
        <v>-3.1764499999999999E-3</v>
      </c>
      <c r="AC35" s="107">
        <f t="shared" si="7"/>
        <v>-2.1660345212652795E-3</v>
      </c>
    </row>
    <row r="36" spans="14:29" x14ac:dyDescent="0.45">
      <c r="N36" s="8">
        <v>7.3545144250752497</v>
      </c>
      <c r="O36" s="100">
        <f t="shared" si="0"/>
        <v>3.1000310002937681E-4</v>
      </c>
      <c r="P36" s="8">
        <v>-2.5298780000000002E-3</v>
      </c>
      <c r="Q36" s="98">
        <f t="shared" si="1"/>
        <v>-1.9426940315345226E-3</v>
      </c>
      <c r="R36" s="8">
        <v>17.603116147780501</v>
      </c>
      <c r="S36" s="102">
        <f t="shared" si="2"/>
        <v>3.1000310010043108E-4</v>
      </c>
      <c r="T36" s="8">
        <v>2.9659840000000001E-3</v>
      </c>
      <c r="U36" s="101">
        <f t="shared" si="3"/>
        <v>1.8772584202032497E-3</v>
      </c>
      <c r="V36" s="8">
        <v>41.955566042894397</v>
      </c>
      <c r="W36" s="103">
        <f t="shared" si="4"/>
        <v>3.1000309999740239E-4</v>
      </c>
      <c r="X36" s="8">
        <v>-3.1764499999999999E-3</v>
      </c>
      <c r="Y36" s="104">
        <f t="shared" si="5"/>
        <v>-2.1480401679677135E-3</v>
      </c>
      <c r="Z36" s="8">
        <v>51.1338665702147</v>
      </c>
      <c r="AA36" s="106">
        <f t="shared" si="6"/>
        <v>3.1000309999740239E-4</v>
      </c>
      <c r="AB36" s="8">
        <v>3.6125559999999998E-3</v>
      </c>
      <c r="AC36" s="107">
        <f t="shared" si="7"/>
        <v>2.4634170240375301E-3</v>
      </c>
    </row>
    <row r="37" spans="14:29" x14ac:dyDescent="0.45">
      <c r="N37" s="8">
        <v>7.3545244251752502</v>
      </c>
      <c r="O37" s="100">
        <f t="shared" si="0"/>
        <v>3.2000320002989469E-4</v>
      </c>
      <c r="P37" s="8">
        <v>-2.2065919999999998E-3</v>
      </c>
      <c r="Q37" s="98">
        <f t="shared" si="1"/>
        <v>-1.6944426207239341E-3</v>
      </c>
      <c r="R37" s="8">
        <v>17.603126147880499</v>
      </c>
      <c r="S37" s="102">
        <f t="shared" si="2"/>
        <v>3.2000320009828442E-4</v>
      </c>
      <c r="T37" s="8">
        <v>-2.2065919999999998E-3</v>
      </c>
      <c r="U37" s="101">
        <f t="shared" si="3"/>
        <v>-1.3966169109317949E-3</v>
      </c>
      <c r="V37" s="8">
        <v>41.955576042994402</v>
      </c>
      <c r="W37" s="103">
        <f t="shared" si="4"/>
        <v>3.2000320000236115E-4</v>
      </c>
      <c r="X37" s="8">
        <v>-5.90161999999999E-4</v>
      </c>
      <c r="Y37" s="104">
        <f t="shared" si="5"/>
        <v>-3.9909070868679171E-4</v>
      </c>
      <c r="Z37" s="8">
        <v>51.133876570314698</v>
      </c>
      <c r="AA37" s="106">
        <f t="shared" si="6"/>
        <v>3.2000319999525573E-4</v>
      </c>
      <c r="AB37" s="8">
        <v>1.349554E-3</v>
      </c>
      <c r="AC37" s="107">
        <f t="shared" si="7"/>
        <v>9.2026650893659359E-4</v>
      </c>
    </row>
    <row r="38" spans="14:29" x14ac:dyDescent="0.45">
      <c r="N38" s="8">
        <v>7.3545344252752498</v>
      </c>
      <c r="O38" s="100">
        <f t="shared" si="0"/>
        <v>3.3000330002952438E-4</v>
      </c>
      <c r="P38" s="8">
        <v>1.0262680000000001E-3</v>
      </c>
      <c r="Q38" s="98">
        <f t="shared" si="1"/>
        <v>7.8807148738194947E-4</v>
      </c>
      <c r="R38" s="8">
        <v>17.6031361479805</v>
      </c>
      <c r="S38" s="102">
        <f t="shared" si="2"/>
        <v>3.3000330009969048E-4</v>
      </c>
      <c r="T38" s="8">
        <v>5.5522719999999996E-3</v>
      </c>
      <c r="U38" s="101">
        <f t="shared" si="3"/>
        <v>3.5141960857707718E-3</v>
      </c>
      <c r="V38" s="8">
        <v>41.955586043094399</v>
      </c>
      <c r="W38" s="103">
        <f t="shared" si="4"/>
        <v>3.3000330000021449E-4</v>
      </c>
      <c r="X38" s="8">
        <v>-4.1463079999999996E-3</v>
      </c>
      <c r="Y38" s="104">
        <f t="shared" si="5"/>
        <v>-2.8038962151980583E-3</v>
      </c>
      <c r="Z38" s="8">
        <v>51.133886570414703</v>
      </c>
      <c r="AA38" s="106">
        <f t="shared" si="6"/>
        <v>3.3000330000021449E-4</v>
      </c>
      <c r="AB38" s="8">
        <v>1.996126E-3</v>
      </c>
      <c r="AC38" s="107">
        <f t="shared" si="7"/>
        <v>1.3611666561082897E-3</v>
      </c>
    </row>
    <row r="39" spans="14:29" x14ac:dyDescent="0.45">
      <c r="N39" s="8">
        <v>7.3545444253752503</v>
      </c>
      <c r="O39" s="100">
        <f t="shared" si="0"/>
        <v>3.4000340003004226E-4</v>
      </c>
      <c r="P39" s="8">
        <v>-2.6687599999999901E-4</v>
      </c>
      <c r="Q39" s="98">
        <f t="shared" si="1"/>
        <v>-2.0493415586040326E-4</v>
      </c>
      <c r="R39" s="8">
        <v>17.603146148080501</v>
      </c>
      <c r="S39" s="102">
        <f t="shared" si="2"/>
        <v>3.4000340010109653E-4</v>
      </c>
      <c r="T39" s="8">
        <v>4.259128E-3</v>
      </c>
      <c r="U39" s="101">
        <f t="shared" si="3"/>
        <v>2.6957272529870109E-3</v>
      </c>
      <c r="V39" s="8">
        <v>41.955596043194397</v>
      </c>
      <c r="W39" s="103">
        <f t="shared" si="4"/>
        <v>3.4000339999806783E-4</v>
      </c>
      <c r="X39" s="8">
        <v>-5.7627379999999999E-3</v>
      </c>
      <c r="Y39" s="104">
        <f t="shared" si="5"/>
        <v>-3.8969896272486341E-3</v>
      </c>
      <c r="Z39" s="8">
        <v>51.1338965705147</v>
      </c>
      <c r="AA39" s="106">
        <f t="shared" si="6"/>
        <v>3.4000339999806783E-4</v>
      </c>
      <c r="AB39" s="64">
        <v>1.349554E-3</v>
      </c>
      <c r="AC39" s="107">
        <f t="shared" si="7"/>
        <v>9.2026650893659359E-4</v>
      </c>
    </row>
    <row r="40" spans="14:29" x14ac:dyDescent="0.45">
      <c r="N40" s="8">
        <v>7.3545544254752597</v>
      </c>
      <c r="O40" s="100">
        <f t="shared" si="0"/>
        <v>3.5000350003944192E-4</v>
      </c>
      <c r="P40" s="8">
        <v>-2.5298780000000002E-3</v>
      </c>
      <c r="Q40" s="98">
        <f t="shared" si="1"/>
        <v>-1.9426940315345226E-3</v>
      </c>
      <c r="R40" s="8">
        <v>17.603156148180499</v>
      </c>
      <c r="S40" s="102">
        <f t="shared" si="2"/>
        <v>3.5000350009894987E-4</v>
      </c>
      <c r="T40" s="8">
        <v>9.7549899999999998E-3</v>
      </c>
      <c r="U40" s="101">
        <f t="shared" si="3"/>
        <v>6.1742197923179958E-3</v>
      </c>
      <c r="V40" s="8">
        <v>41.955606043294402</v>
      </c>
      <c r="W40" s="103">
        <f t="shared" si="4"/>
        <v>3.500035000030266E-4</v>
      </c>
      <c r="X40" s="8">
        <v>-5.90161999999999E-4</v>
      </c>
      <c r="Y40" s="104">
        <f t="shared" si="5"/>
        <v>-3.9909070868679171E-4</v>
      </c>
      <c r="Z40" s="8">
        <v>51.133906570614698</v>
      </c>
      <c r="AA40" s="106">
        <f t="shared" si="6"/>
        <v>3.5000349999592117E-4</v>
      </c>
      <c r="AB40" s="8">
        <v>7.02982E-4</v>
      </c>
      <c r="AC40" s="107">
        <f t="shared" si="7"/>
        <v>4.793663617648975E-4</v>
      </c>
    </row>
    <row r="41" spans="14:29" x14ac:dyDescent="0.45">
      <c r="N41" s="8">
        <v>7.3545644255752602</v>
      </c>
      <c r="O41" s="100">
        <f t="shared" si="0"/>
        <v>3.6000360003995979E-4</v>
      </c>
      <c r="P41" s="64">
        <v>-8.6723119999999997E-3</v>
      </c>
      <c r="Q41" s="98">
        <f t="shared" si="1"/>
        <v>-6.6594708369357011E-3</v>
      </c>
      <c r="R41" s="8">
        <v>17.603166148280501</v>
      </c>
      <c r="S41" s="102">
        <f t="shared" si="2"/>
        <v>3.6000360010035592E-4</v>
      </c>
      <c r="T41" s="64">
        <v>1.996126E-3</v>
      </c>
      <c r="U41" s="101">
        <f t="shared" si="3"/>
        <v>1.2634067956154287E-3</v>
      </c>
      <c r="V41" s="8">
        <v>41.9556160433944</v>
      </c>
      <c r="W41" s="103">
        <f t="shared" si="4"/>
        <v>3.6000360000087994E-4</v>
      </c>
      <c r="X41" s="64">
        <v>1.996126E-3</v>
      </c>
      <c r="Y41" s="104">
        <f t="shared" si="5"/>
        <v>1.3498587505941285E-3</v>
      </c>
      <c r="Z41" s="8">
        <v>51.133916570714703</v>
      </c>
      <c r="AA41" s="106">
        <f t="shared" si="6"/>
        <v>3.6000360000087994E-4</v>
      </c>
      <c r="AB41" s="64">
        <v>1.349554E-3</v>
      </c>
      <c r="AC41" s="107">
        <f t="shared" si="7"/>
        <v>9.2026650893659359E-4</v>
      </c>
    </row>
    <row r="42" spans="14:29" x14ac:dyDescent="0.45">
      <c r="N42" s="8">
        <v>7.3545744256752599</v>
      </c>
      <c r="O42" s="100">
        <f t="shared" si="0"/>
        <v>3.7000370003958949E-4</v>
      </c>
      <c r="P42" s="8">
        <v>-3.4997359999999998E-3</v>
      </c>
      <c r="Q42" s="98">
        <f t="shared" si="1"/>
        <v>-2.6874482639662875E-3</v>
      </c>
      <c r="R42" s="8">
        <v>17.603176148380498</v>
      </c>
      <c r="S42" s="102">
        <f t="shared" si="2"/>
        <v>3.7000370009820926E-4</v>
      </c>
      <c r="T42" s="8">
        <v>-4.1463079999999996E-3</v>
      </c>
      <c r="U42" s="101">
        <f t="shared" si="3"/>
        <v>-2.6243201601074363E-3</v>
      </c>
      <c r="V42" s="8">
        <v>41.955626043494398</v>
      </c>
      <c r="W42" s="103">
        <f t="shared" si="4"/>
        <v>3.7000369999873328E-4</v>
      </c>
      <c r="X42" s="8">
        <v>-5.1161660000000001E-3</v>
      </c>
      <c r="Y42" s="104">
        <f t="shared" si="5"/>
        <v>-3.4597522624284041E-3</v>
      </c>
      <c r="Z42" s="8">
        <v>51.133926570814701</v>
      </c>
      <c r="AA42" s="106">
        <f t="shared" si="6"/>
        <v>3.7000369999873328E-4</v>
      </c>
      <c r="AB42" s="8">
        <v>3.28927E-3</v>
      </c>
      <c r="AC42" s="107">
        <f t="shared" si="7"/>
        <v>2.2429669504516821E-3</v>
      </c>
    </row>
    <row r="43" spans="14:29" x14ac:dyDescent="0.45">
      <c r="N43" s="8">
        <v>7.3545844257752604</v>
      </c>
      <c r="O43" s="100">
        <f t="shared" si="0"/>
        <v>3.8000380004010736E-4</v>
      </c>
      <c r="P43" s="8">
        <v>-1.236734E-3</v>
      </c>
      <c r="Q43" s="98">
        <f t="shared" si="1"/>
        <v>-9.4968838829216911E-4</v>
      </c>
      <c r="R43" s="8">
        <v>17.6031861484805</v>
      </c>
      <c r="S43" s="102">
        <f t="shared" si="2"/>
        <v>3.8000380009961532E-4</v>
      </c>
      <c r="T43" s="8">
        <v>-3.8230220000000001E-3</v>
      </c>
      <c r="U43" s="101">
        <f t="shared" si="3"/>
        <v>-2.4197029519114964E-3</v>
      </c>
      <c r="V43" s="8">
        <v>41.955636043594403</v>
      </c>
      <c r="W43" s="103">
        <f t="shared" si="4"/>
        <v>3.8000380000369205E-4</v>
      </c>
      <c r="X43" s="8">
        <v>-3.8230220000000001E-3</v>
      </c>
      <c r="Y43" s="104">
        <f t="shared" si="5"/>
        <v>-2.5852775327879435E-3</v>
      </c>
      <c r="Z43" s="8">
        <v>51.133936570914699</v>
      </c>
      <c r="AA43" s="106">
        <f t="shared" si="6"/>
        <v>3.8000379999658662E-4</v>
      </c>
      <c r="AB43" s="8">
        <v>1.6728400000000001E-3</v>
      </c>
      <c r="AC43" s="107">
        <f t="shared" si="7"/>
        <v>1.1407165825224417E-3</v>
      </c>
    </row>
    <row r="44" spans="14:29" x14ac:dyDescent="0.45">
      <c r="N44" s="8">
        <v>7.35459442587526</v>
      </c>
      <c r="O44" s="100">
        <f t="shared" si="0"/>
        <v>3.9000390003973706E-4</v>
      </c>
      <c r="P44" s="8">
        <v>-1.236734E-3</v>
      </c>
      <c r="Q44" s="98">
        <f t="shared" si="1"/>
        <v>-9.4968838829216911E-4</v>
      </c>
      <c r="R44" s="8">
        <v>17.603196148580501</v>
      </c>
      <c r="S44" s="102">
        <f t="shared" si="2"/>
        <v>3.9000390010102137E-4</v>
      </c>
      <c r="T44" s="8">
        <v>1.996126E-3</v>
      </c>
      <c r="U44" s="101">
        <f t="shared" si="3"/>
        <v>1.2634067956154287E-3</v>
      </c>
      <c r="V44" s="8">
        <v>41.955646043694401</v>
      </c>
      <c r="W44" s="103">
        <f t="shared" si="4"/>
        <v>3.9000390000154539E-4</v>
      </c>
      <c r="X44" s="8">
        <v>3.7969600000000098E-4</v>
      </c>
      <c r="Y44" s="104">
        <f t="shared" si="5"/>
        <v>2.5676533854355365E-4</v>
      </c>
      <c r="Z44" s="8">
        <v>51.133946571014697</v>
      </c>
      <c r="AA44" s="106">
        <f t="shared" si="6"/>
        <v>3.9000389999443996E-4</v>
      </c>
      <c r="AB44" s="8">
        <v>2.3194119999999999E-3</v>
      </c>
      <c r="AC44" s="107">
        <f t="shared" si="7"/>
        <v>1.5816167296941377E-3</v>
      </c>
    </row>
    <row r="45" spans="14:29" x14ac:dyDescent="0.45">
      <c r="N45" s="8">
        <v>7.3546044259752597</v>
      </c>
      <c r="O45" s="100">
        <f t="shared" si="0"/>
        <v>4.0000400003936676E-4</v>
      </c>
      <c r="P45" s="8">
        <v>1.6728400000000001E-3</v>
      </c>
      <c r="Q45" s="98">
        <f t="shared" si="1"/>
        <v>1.2845743090031262E-3</v>
      </c>
      <c r="R45" s="8">
        <v>17.603206148680499</v>
      </c>
      <c r="S45" s="102">
        <f t="shared" si="2"/>
        <v>4.0000400009887471E-4</v>
      </c>
      <c r="T45" s="8">
        <v>-3.1764499999999999E-3</v>
      </c>
      <c r="U45" s="101">
        <f t="shared" si="3"/>
        <v>-2.0104685355196157E-3</v>
      </c>
      <c r="V45" s="8">
        <v>41.955656043794399</v>
      </c>
      <c r="W45" s="103">
        <f t="shared" si="4"/>
        <v>4.0000399999939873E-4</v>
      </c>
      <c r="X45" s="8">
        <v>1.996126E-3</v>
      </c>
      <c r="Y45" s="104">
        <f t="shared" si="5"/>
        <v>1.3498587505941285E-3</v>
      </c>
      <c r="Z45" s="8">
        <v>51.133956571114702</v>
      </c>
      <c r="AA45" s="106">
        <f t="shared" si="6"/>
        <v>4.0000399999939873E-4</v>
      </c>
      <c r="AB45" s="8">
        <v>3.9358420000000002E-3</v>
      </c>
      <c r="AC45" s="107">
        <f t="shared" si="7"/>
        <v>2.6838670976233781E-3</v>
      </c>
    </row>
    <row r="46" spans="14:29" x14ac:dyDescent="0.45">
      <c r="N46" s="8">
        <v>7.3546144260752602</v>
      </c>
      <c r="O46" s="100">
        <f t="shared" si="0"/>
        <v>4.1000410003988463E-4</v>
      </c>
      <c r="P46" s="64">
        <v>5.6410000000000702E-5</v>
      </c>
      <c r="Q46" s="98">
        <f t="shared" si="1"/>
        <v>4.3317254950184864E-5</v>
      </c>
      <c r="R46" s="8">
        <v>17.603216148780501</v>
      </c>
      <c r="S46" s="102">
        <f t="shared" si="2"/>
        <v>4.1000410010028077E-4</v>
      </c>
      <c r="T46" s="8">
        <v>1.6728400000000001E-3</v>
      </c>
      <c r="U46" s="101">
        <f t="shared" si="3"/>
        <v>1.0587895874194886E-3</v>
      </c>
      <c r="V46" s="8">
        <v>41.955666043894396</v>
      </c>
      <c r="W46" s="103">
        <f t="shared" si="4"/>
        <v>4.1000409999725207E-4</v>
      </c>
      <c r="X46" s="8">
        <v>-1.3844888E-2</v>
      </c>
      <c r="Y46" s="104">
        <f t="shared" si="5"/>
        <v>-9.3624566875015122E-3</v>
      </c>
      <c r="Z46" s="8">
        <v>51.1339665712147</v>
      </c>
      <c r="AA46" s="106">
        <f t="shared" si="6"/>
        <v>4.1000409999725207E-4</v>
      </c>
      <c r="AB46" s="8">
        <v>1.996126E-3</v>
      </c>
      <c r="AC46" s="107">
        <f t="shared" si="7"/>
        <v>1.3611666561082897E-3</v>
      </c>
    </row>
    <row r="47" spans="14:29" x14ac:dyDescent="0.45">
      <c r="N47" s="8">
        <v>7.3546244261752598</v>
      </c>
      <c r="O47" s="100">
        <f t="shared" si="0"/>
        <v>4.2000420003951433E-4</v>
      </c>
      <c r="P47" s="8">
        <v>-2.853164E-3</v>
      </c>
      <c r="Q47" s="98">
        <f t="shared" si="1"/>
        <v>-2.1909454423451108E-3</v>
      </c>
      <c r="R47" s="8">
        <v>17.603226148880498</v>
      </c>
      <c r="S47" s="102">
        <f t="shared" si="2"/>
        <v>4.2000420009813411E-4</v>
      </c>
      <c r="T47" s="8">
        <v>-3.4997359999999998E-3</v>
      </c>
      <c r="U47" s="101">
        <f t="shared" si="3"/>
        <v>-2.215085743715556E-3</v>
      </c>
      <c r="V47" s="8">
        <v>41.955676043994401</v>
      </c>
      <c r="W47" s="103">
        <f t="shared" si="4"/>
        <v>4.2000420000221084E-4</v>
      </c>
      <c r="X47" s="8">
        <v>-1.883306E-3</v>
      </c>
      <c r="Y47" s="104">
        <f t="shared" si="5"/>
        <v>-1.2735654383272529E-3</v>
      </c>
      <c r="Z47" s="8">
        <v>51.133976571314697</v>
      </c>
      <c r="AA47" s="106">
        <f t="shared" si="6"/>
        <v>4.2000419999510541E-4</v>
      </c>
      <c r="AB47" s="8">
        <v>1.0262680000000001E-3</v>
      </c>
      <c r="AC47" s="107">
        <f t="shared" si="7"/>
        <v>6.998164353507456E-4</v>
      </c>
    </row>
    <row r="48" spans="14:29" x14ac:dyDescent="0.45">
      <c r="N48" s="8">
        <v>7.3546344262752603</v>
      </c>
      <c r="O48" s="100">
        <f t="shared" si="0"/>
        <v>4.3000430004003221E-4</v>
      </c>
      <c r="P48" s="8">
        <v>-3.4997359999999998E-3</v>
      </c>
      <c r="Q48" s="98">
        <f t="shared" si="1"/>
        <v>-2.6874482639662875E-3</v>
      </c>
      <c r="R48" s="8">
        <v>17.6032361489805</v>
      </c>
      <c r="S48" s="102">
        <f t="shared" si="2"/>
        <v>4.3000430009954016E-4</v>
      </c>
      <c r="T48" s="8">
        <v>7.02982E-4</v>
      </c>
      <c r="U48" s="101">
        <f t="shared" si="3"/>
        <v>4.449379628316676E-4</v>
      </c>
      <c r="V48" s="8">
        <v>41.955686044094399</v>
      </c>
      <c r="W48" s="103">
        <f t="shared" si="4"/>
        <v>4.3000430000006418E-4</v>
      </c>
      <c r="X48" s="8">
        <v>3.7969600000000098E-4</v>
      </c>
      <c r="Y48" s="104">
        <f t="shared" si="5"/>
        <v>2.5676533854355365E-4</v>
      </c>
      <c r="Z48" s="8">
        <v>51.133986571414702</v>
      </c>
      <c r="AA48" s="106">
        <f t="shared" si="6"/>
        <v>4.3000430000006418E-4</v>
      </c>
      <c r="AB48" s="8">
        <v>3.7969600000000098E-4</v>
      </c>
      <c r="AC48" s="107">
        <f t="shared" si="7"/>
        <v>2.5891628817905011E-4</v>
      </c>
    </row>
    <row r="49" spans="14:29" x14ac:dyDescent="0.45">
      <c r="N49" s="8">
        <v>7.3546444263752599</v>
      </c>
      <c r="O49" s="100">
        <f t="shared" si="0"/>
        <v>4.400044000396619E-4</v>
      </c>
      <c r="P49" s="8">
        <v>7.02982E-4</v>
      </c>
      <c r="Q49" s="98">
        <f t="shared" si="1"/>
        <v>5.3982007657136101E-4</v>
      </c>
      <c r="R49" s="8">
        <v>17.603246149080501</v>
      </c>
      <c r="S49" s="102">
        <f t="shared" si="2"/>
        <v>4.4000440010094621E-4</v>
      </c>
      <c r="T49" s="8">
        <v>-5.439452E-3</v>
      </c>
      <c r="U49" s="101">
        <f t="shared" si="3"/>
        <v>-3.4427889928911977E-3</v>
      </c>
      <c r="V49" s="8">
        <v>41.955696044194497</v>
      </c>
      <c r="W49" s="103">
        <f t="shared" si="4"/>
        <v>4.400044000973935E-4</v>
      </c>
      <c r="X49" s="8">
        <v>-2.6687599999999901E-4</v>
      </c>
      <c r="Y49" s="104">
        <f t="shared" si="5"/>
        <v>-1.8047202627667657E-4</v>
      </c>
      <c r="Z49" s="8">
        <v>51.1339965715147</v>
      </c>
      <c r="AA49" s="106">
        <f t="shared" si="6"/>
        <v>4.4000439999791752E-4</v>
      </c>
      <c r="AB49" s="8">
        <v>-9.13447999999999E-4</v>
      </c>
      <c r="AC49" s="107">
        <f t="shared" si="7"/>
        <v>-6.2288400616434213E-4</v>
      </c>
    </row>
    <row r="50" spans="14:29" x14ac:dyDescent="0.45">
      <c r="N50" s="8">
        <v>7.3546544264752702</v>
      </c>
      <c r="O50" s="100">
        <f t="shared" si="0"/>
        <v>4.5000450004994974E-4</v>
      </c>
      <c r="P50" s="8">
        <v>3.7969600000000098E-4</v>
      </c>
      <c r="Q50" s="98">
        <f t="shared" si="1"/>
        <v>2.9156866576077341E-4</v>
      </c>
      <c r="R50" s="8">
        <v>17.603256149180499</v>
      </c>
      <c r="S50" s="102">
        <f t="shared" si="2"/>
        <v>4.5000450009879955E-4</v>
      </c>
      <c r="T50" s="8">
        <v>3.6125559999999998E-3</v>
      </c>
      <c r="U50" s="101">
        <f t="shared" si="3"/>
        <v>2.2864928365951302E-3</v>
      </c>
      <c r="V50" s="8">
        <v>41.955706044294402</v>
      </c>
      <c r="W50" s="103">
        <f t="shared" si="4"/>
        <v>4.5000450000287628E-4</v>
      </c>
      <c r="X50" s="8">
        <v>3.7969600000000098E-4</v>
      </c>
      <c r="Y50" s="104">
        <f t="shared" si="5"/>
        <v>2.5676533854355365E-4</v>
      </c>
      <c r="Z50" s="8">
        <v>51.134006571614698</v>
      </c>
      <c r="AA50" s="106">
        <f t="shared" si="6"/>
        <v>4.5000449999577086E-4</v>
      </c>
      <c r="AB50" s="8">
        <v>-1.5600200000000001E-3</v>
      </c>
      <c r="AC50" s="107">
        <f t="shared" si="7"/>
        <v>-1.0637841533360391E-3</v>
      </c>
    </row>
    <row r="51" spans="14:29" x14ac:dyDescent="0.45">
      <c r="N51" s="8">
        <v>7.3546644265752699</v>
      </c>
      <c r="O51" s="100">
        <f t="shared" si="0"/>
        <v>4.6000460004957944E-4</v>
      </c>
      <c r="P51" s="8">
        <v>8.1385599999999995E-3</v>
      </c>
      <c r="Q51" s="98">
        <f t="shared" si="1"/>
        <v>6.2496025252148932E-3</v>
      </c>
      <c r="R51" s="8">
        <v>17.6032661492805</v>
      </c>
      <c r="S51" s="102">
        <f t="shared" si="2"/>
        <v>4.6000460010020561E-4</v>
      </c>
      <c r="T51" s="8">
        <v>3.6125559999999998E-3</v>
      </c>
      <c r="U51" s="101">
        <f t="shared" si="3"/>
        <v>2.2864928365951302E-3</v>
      </c>
      <c r="V51" s="8">
        <v>41.955716044394499</v>
      </c>
      <c r="W51" s="103">
        <f t="shared" si="4"/>
        <v>4.6000460010020561E-4</v>
      </c>
      <c r="X51" s="8">
        <v>4.9056999999999998E-3</v>
      </c>
      <c r="Y51" s="104">
        <f t="shared" si="5"/>
        <v>3.3174268922851646E-3</v>
      </c>
      <c r="Z51" s="8">
        <v>51.134016571714703</v>
      </c>
      <c r="AA51" s="106">
        <f t="shared" si="6"/>
        <v>4.6000460000072962E-4</v>
      </c>
      <c r="AB51" s="8">
        <v>1.0262680000000001E-3</v>
      </c>
      <c r="AC51" s="107">
        <f t="shared" si="7"/>
        <v>6.998164353507456E-4</v>
      </c>
    </row>
    <row r="52" spans="14:29" x14ac:dyDescent="0.45">
      <c r="N52" s="8">
        <v>7.3546744266752704</v>
      </c>
      <c r="O52" s="100">
        <f t="shared" si="0"/>
        <v>4.7000470005009731E-4</v>
      </c>
      <c r="P52" s="8">
        <v>-2.2065919999999998E-3</v>
      </c>
      <c r="Q52" s="98">
        <f t="shared" si="1"/>
        <v>-1.6944426207239341E-3</v>
      </c>
      <c r="R52" s="8">
        <v>17.603276149380498</v>
      </c>
      <c r="S52" s="102">
        <f t="shared" si="2"/>
        <v>4.7000470009805895E-4</v>
      </c>
      <c r="T52" s="8">
        <v>4.5824139999999999E-3</v>
      </c>
      <c r="U52" s="101">
        <f t="shared" si="3"/>
        <v>2.9003444611829508E-3</v>
      </c>
      <c r="V52" s="8">
        <v>41.955726044494497</v>
      </c>
      <c r="W52" s="103">
        <f t="shared" si="4"/>
        <v>4.7000470009805895E-4</v>
      </c>
      <c r="X52" s="8">
        <v>-1.883306E-3</v>
      </c>
      <c r="Y52" s="104">
        <f t="shared" si="5"/>
        <v>-1.2735654383272529E-3</v>
      </c>
      <c r="Z52" s="8">
        <v>51.134026571814701</v>
      </c>
      <c r="AA52" s="106">
        <f t="shared" si="6"/>
        <v>4.7000469999858296E-4</v>
      </c>
      <c r="AB52" s="8">
        <v>9.4317040000000008E-3</v>
      </c>
      <c r="AC52" s="107">
        <f t="shared" si="7"/>
        <v>6.4315183485827961E-3</v>
      </c>
    </row>
    <row r="53" spans="14:29" x14ac:dyDescent="0.45">
      <c r="N53" s="8">
        <v>7.35468442677527</v>
      </c>
      <c r="O53" s="100">
        <f t="shared" si="0"/>
        <v>4.8000480004972701E-4</v>
      </c>
      <c r="P53" s="8">
        <v>-4.7928800000000002E-3</v>
      </c>
      <c r="Q53" s="98">
        <f t="shared" si="1"/>
        <v>-3.6804539072086413E-3</v>
      </c>
      <c r="R53" s="8">
        <v>17.6032861494805</v>
      </c>
      <c r="S53" s="102">
        <f t="shared" si="2"/>
        <v>4.80004800099465E-4</v>
      </c>
      <c r="T53" s="8">
        <v>4.5824139999999999E-3</v>
      </c>
      <c r="U53" s="101">
        <f t="shared" si="3"/>
        <v>2.9003444611829508E-3</v>
      </c>
      <c r="V53" s="8">
        <v>41.955736044594403</v>
      </c>
      <c r="W53" s="103">
        <f t="shared" si="4"/>
        <v>4.8000480000354173E-4</v>
      </c>
      <c r="X53" s="8">
        <v>-9.13447999999999E-4</v>
      </c>
      <c r="Y53" s="104">
        <f t="shared" si="5"/>
        <v>-6.1770939109690684E-4</v>
      </c>
      <c r="Z53" s="8">
        <v>51.134036571914699</v>
      </c>
      <c r="AA53" s="106">
        <f t="shared" si="6"/>
        <v>4.800047999964363E-4</v>
      </c>
      <c r="AB53" s="8">
        <v>-5.7627379999999999E-3</v>
      </c>
      <c r="AC53" s="107">
        <f t="shared" si="7"/>
        <v>-3.9296351099520638E-3</v>
      </c>
    </row>
    <row r="54" spans="14:29" x14ac:dyDescent="0.45">
      <c r="N54" s="8">
        <v>7.3546944268752696</v>
      </c>
      <c r="O54" s="100">
        <f t="shared" si="0"/>
        <v>4.9000490004935671E-4</v>
      </c>
      <c r="P54" s="8">
        <v>-1.5600200000000001E-3</v>
      </c>
      <c r="Q54" s="98">
        <f t="shared" si="1"/>
        <v>-1.1979397991027576E-3</v>
      </c>
      <c r="R54" s="8">
        <v>17.603296149580501</v>
      </c>
      <c r="S54" s="102">
        <f t="shared" si="2"/>
        <v>4.9000490010087105E-4</v>
      </c>
      <c r="T54" s="8">
        <v>-2.6687599999999901E-4</v>
      </c>
      <c r="U54" s="101">
        <f t="shared" si="3"/>
        <v>-1.6891366175615262E-4</v>
      </c>
      <c r="V54" s="8">
        <v>41.9557460446945</v>
      </c>
      <c r="W54" s="103">
        <f t="shared" si="4"/>
        <v>4.9000490010087105E-4</v>
      </c>
      <c r="X54" s="8">
        <v>-1.883306E-3</v>
      </c>
      <c r="Y54" s="104">
        <f t="shared" si="5"/>
        <v>-1.2735654383272529E-3</v>
      </c>
      <c r="Z54" s="8">
        <v>51.134046572014697</v>
      </c>
      <c r="AA54" s="106">
        <f t="shared" si="6"/>
        <v>4.9000489999428964E-4</v>
      </c>
      <c r="AB54" s="8">
        <v>-2.853164E-3</v>
      </c>
      <c r="AC54" s="107">
        <f t="shared" si="7"/>
        <v>-1.9455844476794313E-3</v>
      </c>
    </row>
    <row r="55" spans="14:29" x14ac:dyDescent="0.45">
      <c r="N55" s="8">
        <v>7.3547044269752702</v>
      </c>
      <c r="O55" s="100">
        <f t="shared" si="0"/>
        <v>5.0000500004987458E-4</v>
      </c>
      <c r="P55" s="8">
        <v>1.349554E-3</v>
      </c>
      <c r="Q55" s="98">
        <f t="shared" si="1"/>
        <v>1.0363228981925378E-3</v>
      </c>
      <c r="R55" s="8">
        <v>17.603306149680499</v>
      </c>
      <c r="S55" s="102">
        <f t="shared" si="2"/>
        <v>5.0000500009872439E-4</v>
      </c>
      <c r="T55" s="8">
        <v>-1.883306E-3</v>
      </c>
      <c r="U55" s="101">
        <f t="shared" si="3"/>
        <v>-1.1919997027358545E-3</v>
      </c>
      <c r="V55" s="8">
        <v>41.955756044794498</v>
      </c>
      <c r="W55" s="103">
        <f t="shared" si="4"/>
        <v>5.0000500009872439E-4</v>
      </c>
      <c r="X55" s="8">
        <v>-5.439452E-3</v>
      </c>
      <c r="Y55" s="104">
        <f t="shared" si="5"/>
        <v>-3.6783709448385193E-3</v>
      </c>
      <c r="Z55" s="8">
        <v>51.134056572114702</v>
      </c>
      <c r="AA55" s="106">
        <f t="shared" si="6"/>
        <v>5.0000499999924841E-4</v>
      </c>
      <c r="AB55" s="8">
        <v>-6.7325960000000004E-3</v>
      </c>
      <c r="AC55" s="107">
        <f t="shared" si="7"/>
        <v>-4.5909853307096087E-3</v>
      </c>
    </row>
    <row r="56" spans="14:29" x14ac:dyDescent="0.45">
      <c r="N56" s="8">
        <v>7.3547144270752698</v>
      </c>
      <c r="O56" s="100">
        <f t="shared" si="0"/>
        <v>5.1000510004950428E-4</v>
      </c>
      <c r="P56" s="8">
        <v>6.1988440000000002E-3</v>
      </c>
      <c r="Q56" s="98">
        <f t="shared" si="1"/>
        <v>4.7600940603513631E-3</v>
      </c>
      <c r="R56" s="8">
        <v>17.6033161497805</v>
      </c>
      <c r="S56" s="102">
        <f t="shared" si="2"/>
        <v>5.1000510010013045E-4</v>
      </c>
      <c r="T56" s="8">
        <v>9.1084180000000001E-3</v>
      </c>
      <c r="U56" s="101">
        <f t="shared" si="3"/>
        <v>5.7649853759261151E-3</v>
      </c>
      <c r="V56" s="8">
        <v>41.955766044894503</v>
      </c>
      <c r="W56" s="103">
        <f t="shared" si="4"/>
        <v>5.1000510010368316E-4</v>
      </c>
      <c r="X56" s="8">
        <v>-5.439452E-3</v>
      </c>
      <c r="Y56" s="104">
        <f t="shared" si="5"/>
        <v>-3.6783709448385193E-3</v>
      </c>
      <c r="Z56" s="8">
        <v>51.134066572214699</v>
      </c>
      <c r="AA56" s="106">
        <f t="shared" si="6"/>
        <v>5.1000509999710175E-4</v>
      </c>
      <c r="AB56" s="8">
        <v>-2.853164E-3</v>
      </c>
      <c r="AC56" s="107">
        <f t="shared" si="7"/>
        <v>-1.9455844476794313E-3</v>
      </c>
    </row>
    <row r="57" spans="14:29" x14ac:dyDescent="0.45">
      <c r="N57" s="8">
        <v>7.3547244271752703</v>
      </c>
      <c r="O57" s="100">
        <f t="shared" si="0"/>
        <v>5.2000520005002215E-4</v>
      </c>
      <c r="P57" s="8">
        <v>7.4919879999999998E-3</v>
      </c>
      <c r="Q57" s="98">
        <f t="shared" si="1"/>
        <v>5.7530997035937165E-3</v>
      </c>
      <c r="R57" s="8">
        <v>17.603326149880498</v>
      </c>
      <c r="S57" s="102">
        <f t="shared" si="2"/>
        <v>5.2000520009798379E-4</v>
      </c>
      <c r="T57" s="8">
        <v>5.8755580000000003E-3</v>
      </c>
      <c r="U57" s="101">
        <f t="shared" si="3"/>
        <v>3.7188132939667126E-3</v>
      </c>
      <c r="V57" s="8">
        <v>41.955776044994501</v>
      </c>
      <c r="W57" s="103">
        <f t="shared" si="4"/>
        <v>5.200052001015365E-4</v>
      </c>
      <c r="X57" s="8">
        <v>-2.6687599999999901E-4</v>
      </c>
      <c r="Y57" s="104">
        <f t="shared" si="5"/>
        <v>-1.8047202627667657E-4</v>
      </c>
      <c r="Z57" s="8">
        <v>51.134076572314697</v>
      </c>
      <c r="AA57" s="106">
        <f t="shared" si="6"/>
        <v>5.2000519999495509E-4</v>
      </c>
      <c r="AB57" s="8">
        <v>6.5221300000000001E-3</v>
      </c>
      <c r="AC57" s="107">
        <f t="shared" si="7"/>
        <v>4.4474676863101624E-3</v>
      </c>
    </row>
    <row r="58" spans="14:29" x14ac:dyDescent="0.45">
      <c r="N58" s="8">
        <v>7.3547344272752699</v>
      </c>
      <c r="O58" s="100">
        <f t="shared" si="0"/>
        <v>5.3000530004965185E-4</v>
      </c>
      <c r="P58" s="8">
        <v>2.0423428E-2</v>
      </c>
      <c r="Q58" s="98">
        <f t="shared" si="1"/>
        <v>1.568315613601725E-2</v>
      </c>
      <c r="R58" s="8">
        <v>17.6033361499805</v>
      </c>
      <c r="S58" s="102">
        <f t="shared" si="2"/>
        <v>5.3000530009938984E-4</v>
      </c>
      <c r="T58" s="8">
        <v>2.0100142000000001E-2</v>
      </c>
      <c r="U58" s="101">
        <f t="shared" si="3"/>
        <v>1.2721970454588085E-2</v>
      </c>
      <c r="V58" s="8">
        <v>41.955786045094499</v>
      </c>
      <c r="W58" s="103">
        <f t="shared" si="4"/>
        <v>5.3000530009938984E-4</v>
      </c>
      <c r="X58" s="8">
        <v>1.2341278000000001E-2</v>
      </c>
      <c r="Y58" s="104">
        <f t="shared" si="5"/>
        <v>8.3456565877178136E-3</v>
      </c>
      <c r="Z58" s="8">
        <v>51.134086572414702</v>
      </c>
      <c r="AA58" s="106">
        <f t="shared" si="6"/>
        <v>5.3000529999991386E-4</v>
      </c>
      <c r="AB58" s="8">
        <v>2.3656288000000001E-2</v>
      </c>
      <c r="AC58" s="107">
        <f t="shared" si="7"/>
        <v>1.613132158636011E-2</v>
      </c>
    </row>
    <row r="59" spans="14:29" x14ac:dyDescent="0.45">
      <c r="N59" s="8">
        <v>7.3547444273752696</v>
      </c>
      <c r="O59" s="100">
        <f t="shared" si="0"/>
        <v>5.4000540004928155E-4</v>
      </c>
      <c r="P59" s="8">
        <v>4.4669878000000003E-2</v>
      </c>
      <c r="Q59" s="98">
        <f t="shared" si="1"/>
        <v>3.430201194681138E-2</v>
      </c>
      <c r="R59" s="8">
        <v>17.603346150080501</v>
      </c>
      <c r="S59" s="102">
        <f t="shared" si="2"/>
        <v>5.400054001007959E-4</v>
      </c>
      <c r="T59" s="8">
        <v>6.2127321999999999E-2</v>
      </c>
      <c r="U59" s="101">
        <f t="shared" si="3"/>
        <v>3.9322207520060319E-2</v>
      </c>
      <c r="V59" s="8">
        <v>41.955796045194496</v>
      </c>
      <c r="W59" s="103">
        <f t="shared" si="4"/>
        <v>5.4000540009724318E-4</v>
      </c>
      <c r="X59" s="8">
        <v>3.885073E-2</v>
      </c>
      <c r="Y59" s="104">
        <f t="shared" si="5"/>
        <v>2.6272388545347251E-2</v>
      </c>
      <c r="Z59" s="8">
        <v>51.1340965725147</v>
      </c>
      <c r="AA59" s="106">
        <f t="shared" si="6"/>
        <v>5.400053999977672E-4</v>
      </c>
      <c r="AB59" s="8">
        <v>8.2494339999999999E-2</v>
      </c>
      <c r="AC59" s="107">
        <f t="shared" si="7"/>
        <v>5.6253234978984455E-2</v>
      </c>
    </row>
    <row r="60" spans="14:29" x14ac:dyDescent="0.45">
      <c r="N60" s="8">
        <v>7.3547544274752701</v>
      </c>
      <c r="O60" s="100">
        <f t="shared" si="0"/>
        <v>5.5000550004979942E-4</v>
      </c>
      <c r="P60" s="8">
        <v>0.13583653000000001</v>
      </c>
      <c r="Q60" s="98">
        <f t="shared" si="1"/>
        <v>0.10430890979539729</v>
      </c>
      <c r="R60" s="8">
        <v>17.603356150180499</v>
      </c>
      <c r="S60" s="102">
        <f t="shared" si="2"/>
        <v>5.5000550009864924E-4</v>
      </c>
      <c r="T60" s="8">
        <v>0.16590212800000001</v>
      </c>
      <c r="U60" s="101">
        <f t="shared" si="3"/>
        <v>0.10500433135095716</v>
      </c>
      <c r="V60" s="8">
        <v>41.955806045294501</v>
      </c>
      <c r="W60" s="103">
        <f t="shared" si="4"/>
        <v>5.5000550010220195E-4</v>
      </c>
      <c r="X60" s="8">
        <v>0.108680506</v>
      </c>
      <c r="Y60" s="104">
        <f t="shared" si="5"/>
        <v>7.3494023945932116E-2</v>
      </c>
      <c r="Z60" s="8">
        <v>51.134106572614698</v>
      </c>
      <c r="AA60" s="106">
        <f t="shared" si="6"/>
        <v>5.5000549999562054E-4</v>
      </c>
      <c r="AB60" s="8">
        <v>0.21148545399999999</v>
      </c>
      <c r="AC60" s="107">
        <f t="shared" si="7"/>
        <v>0.14421281433973784</v>
      </c>
    </row>
    <row r="61" spans="14:29" x14ac:dyDescent="0.45">
      <c r="N61" s="8">
        <v>7.3547644275752804</v>
      </c>
      <c r="O61" s="100">
        <f t="shared" si="0"/>
        <v>5.6000560006008726E-4</v>
      </c>
      <c r="P61" s="8">
        <v>0.32625198399999999</v>
      </c>
      <c r="Q61" s="98">
        <f t="shared" si="1"/>
        <v>0.2505289907628338</v>
      </c>
      <c r="R61" s="8">
        <v>17.6033661502805</v>
      </c>
      <c r="S61" s="102">
        <f t="shared" si="2"/>
        <v>5.6000560010005529E-4</v>
      </c>
      <c r="T61" s="8">
        <v>0.409336486</v>
      </c>
      <c r="U61" s="101">
        <f t="shared" si="3"/>
        <v>0.25908108912250016</v>
      </c>
      <c r="V61" s="8">
        <v>41.955816045394499</v>
      </c>
      <c r="W61" s="103">
        <f t="shared" si="4"/>
        <v>5.6000560010005529E-4</v>
      </c>
      <c r="X61" s="8">
        <v>0.27258650800000001</v>
      </c>
      <c r="Y61" s="104">
        <f t="shared" si="5"/>
        <v>0.18433369592786047</v>
      </c>
      <c r="Z61" s="8">
        <v>51.134116572714703</v>
      </c>
      <c r="AA61" s="106">
        <f t="shared" si="6"/>
        <v>5.6000560000057931E-4</v>
      </c>
      <c r="AB61" s="8">
        <v>0.47205396999999999</v>
      </c>
      <c r="AC61" s="107">
        <f t="shared" si="7"/>
        <v>0.32189557364993138</v>
      </c>
    </row>
    <row r="62" spans="14:29" x14ac:dyDescent="0.45">
      <c r="N62" s="8">
        <v>7.35477442767528</v>
      </c>
      <c r="O62" s="100">
        <f t="shared" si="0"/>
        <v>5.7000570005971696E-4</v>
      </c>
      <c r="P62" s="8">
        <v>0.62658467799999995</v>
      </c>
      <c r="Q62" s="98">
        <f t="shared" si="1"/>
        <v>0.48115455140587038</v>
      </c>
      <c r="R62" s="8">
        <v>17.603376150380502</v>
      </c>
      <c r="S62" s="102">
        <f t="shared" si="2"/>
        <v>5.7000570010146134E-4</v>
      </c>
      <c r="T62" s="8">
        <v>0.76268808399999999</v>
      </c>
      <c r="U62" s="101">
        <f t="shared" si="3"/>
        <v>0.48272769768066293</v>
      </c>
      <c r="V62" s="8">
        <v>41.955826045494497</v>
      </c>
      <c r="W62" s="103">
        <f t="shared" si="4"/>
        <v>5.7000570009790863E-4</v>
      </c>
      <c r="X62" s="8">
        <v>0.57906163600000005</v>
      </c>
      <c r="Y62" s="104">
        <f t="shared" si="5"/>
        <v>0.39158420685264966</v>
      </c>
      <c r="Z62" s="8">
        <v>51.134126572814701</v>
      </c>
      <c r="AA62" s="106">
        <f t="shared" si="6"/>
        <v>5.7000569999843265E-4</v>
      </c>
      <c r="AB62" s="8">
        <v>0.82702199799999998</v>
      </c>
      <c r="AC62" s="107">
        <f t="shared" si="7"/>
        <v>0.56394975444719253</v>
      </c>
    </row>
    <row r="63" spans="14:29" x14ac:dyDescent="0.45">
      <c r="N63" s="8">
        <v>7.3547844277752796</v>
      </c>
      <c r="O63" s="100">
        <f t="shared" si="0"/>
        <v>5.8000580005934665E-4</v>
      </c>
      <c r="P63" s="64">
        <v>0.950193964</v>
      </c>
      <c r="Q63" s="98">
        <f t="shared" si="1"/>
        <v>0.72965421362726934</v>
      </c>
      <c r="R63" s="8">
        <v>17.6033861504805</v>
      </c>
      <c r="S63" s="102">
        <f t="shared" si="2"/>
        <v>5.8000580009931468E-4</v>
      </c>
      <c r="T63" s="64">
        <v>1.1836064559999999</v>
      </c>
      <c r="U63" s="101">
        <f t="shared" si="3"/>
        <v>0.74913930275177709</v>
      </c>
      <c r="V63" s="8">
        <v>41.955836045594502</v>
      </c>
      <c r="W63" s="103">
        <f t="shared" si="4"/>
        <v>5.800058001028674E-4</v>
      </c>
      <c r="X63" s="64">
        <v>0.94275838599999995</v>
      </c>
      <c r="Y63" s="104">
        <f t="shared" si="5"/>
        <v>0.63753022456402908</v>
      </c>
      <c r="Z63" s="8">
        <v>51.134136572914699</v>
      </c>
      <c r="AA63" s="106">
        <f t="shared" si="6"/>
        <v>5.8000579999628599E-4</v>
      </c>
      <c r="AB63" s="64">
        <v>1.2046200460000001</v>
      </c>
      <c r="AC63" s="107">
        <f t="shared" si="7"/>
        <v>0.82143544039546312</v>
      </c>
    </row>
    <row r="64" spans="14:29" x14ac:dyDescent="0.45">
      <c r="N64" s="8">
        <v>7.3547944278752801</v>
      </c>
      <c r="O64" s="100">
        <f t="shared" si="0"/>
        <v>5.9000590005986453E-4</v>
      </c>
      <c r="P64" s="64">
        <v>1.208176192</v>
      </c>
      <c r="Q64" s="98">
        <f t="shared" si="1"/>
        <v>0.92775883945411886</v>
      </c>
      <c r="R64" s="8">
        <v>17.603396150580501</v>
      </c>
      <c r="S64" s="102">
        <f t="shared" si="2"/>
        <v>5.9000590010072074E-4</v>
      </c>
      <c r="T64" s="64">
        <v>1.515297892</v>
      </c>
      <c r="U64" s="101">
        <f t="shared" si="3"/>
        <v>0.95907655836081185</v>
      </c>
      <c r="V64" s="8">
        <v>41.9558460456945</v>
      </c>
      <c r="W64" s="103">
        <f t="shared" si="4"/>
        <v>5.9000590010072074E-4</v>
      </c>
      <c r="X64" s="64">
        <v>1.2957866979999999</v>
      </c>
      <c r="Y64" s="104">
        <f t="shared" si="5"/>
        <v>0.87626182575587475</v>
      </c>
      <c r="Z64" s="8">
        <v>51.134146573014696</v>
      </c>
      <c r="AA64" s="106">
        <f t="shared" si="6"/>
        <v>5.9000589999413933E-4</v>
      </c>
      <c r="AB64" s="64">
        <v>1.459369414</v>
      </c>
      <c r="AC64" s="107">
        <f t="shared" si="7"/>
        <v>0.99515009838111135</v>
      </c>
    </row>
    <row r="65" spans="14:29" x14ac:dyDescent="0.45">
      <c r="N65" s="8">
        <v>7.3548044279752798</v>
      </c>
      <c r="O65" s="100">
        <f t="shared" si="0"/>
        <v>6.0000600005949423E-4</v>
      </c>
      <c r="P65" s="8">
        <v>1.3022524179999999</v>
      </c>
      <c r="Q65" s="98">
        <f t="shared" si="1"/>
        <v>1</v>
      </c>
      <c r="R65" s="8">
        <v>17.603406150680499</v>
      </c>
      <c r="S65" s="102">
        <f t="shared" si="2"/>
        <v>6.0000600009857408E-4</v>
      </c>
      <c r="T65" s="8">
        <v>1.5799550920000001</v>
      </c>
      <c r="U65" s="101">
        <f t="shared" si="3"/>
        <v>1</v>
      </c>
      <c r="V65" s="8">
        <v>41.955856045794498</v>
      </c>
      <c r="W65" s="103">
        <f t="shared" si="4"/>
        <v>6.0000600009857408E-4</v>
      </c>
      <c r="X65" s="8">
        <v>1.478766574</v>
      </c>
      <c r="Y65" s="104">
        <f t="shared" si="5"/>
        <v>1</v>
      </c>
      <c r="Z65" s="8">
        <v>51.134156573114701</v>
      </c>
      <c r="AA65" s="106">
        <f t="shared" si="6"/>
        <v>6.0000599999909809E-4</v>
      </c>
      <c r="AB65" s="8">
        <v>1.4664817059999999</v>
      </c>
      <c r="AC65" s="107">
        <f t="shared" si="7"/>
        <v>1</v>
      </c>
    </row>
    <row r="66" spans="14:29" x14ac:dyDescent="0.45">
      <c r="N66" s="8">
        <v>7.3548144280752803</v>
      </c>
      <c r="O66" s="100">
        <f t="shared" si="0"/>
        <v>6.100061000600121E-4</v>
      </c>
      <c r="P66" s="64">
        <v>1.2227240619999999</v>
      </c>
      <c r="Q66" s="98">
        <f t="shared" si="1"/>
        <v>0.93893015294059534</v>
      </c>
      <c r="R66" s="8">
        <v>17.6034161507805</v>
      </c>
      <c r="S66" s="102">
        <f t="shared" si="2"/>
        <v>6.1000610009998013E-4</v>
      </c>
      <c r="T66" s="64">
        <v>1.47908986</v>
      </c>
      <c r="U66" s="101">
        <f t="shared" si="3"/>
        <v>0.93615943104286659</v>
      </c>
      <c r="V66" s="8">
        <v>41.955866045894503</v>
      </c>
      <c r="W66" s="103">
        <f t="shared" si="4"/>
        <v>6.1000610010353284E-4</v>
      </c>
      <c r="X66" s="64">
        <v>1.4244545260000001</v>
      </c>
      <c r="Y66" s="104">
        <f t="shared" si="5"/>
        <v>0.96327206135510068</v>
      </c>
      <c r="Z66" s="8">
        <v>51.134166573214699</v>
      </c>
      <c r="AA66" s="106">
        <f t="shared" si="6"/>
        <v>6.1000609999695143E-4</v>
      </c>
      <c r="AB66" s="64">
        <v>1.3222961499999999</v>
      </c>
      <c r="AC66" s="107">
        <f t="shared" si="7"/>
        <v>0.90167926718071167</v>
      </c>
    </row>
    <row r="67" spans="14:29" x14ac:dyDescent="0.45">
      <c r="N67" s="8">
        <v>7.3548244281752799</v>
      </c>
      <c r="O67" s="100">
        <f t="shared" si="0"/>
        <v>6.200062000596418E-4</v>
      </c>
      <c r="P67" s="64">
        <v>1.033925038</v>
      </c>
      <c r="Q67" s="98">
        <f t="shared" si="1"/>
        <v>0.79395132902721177</v>
      </c>
      <c r="R67" s="8">
        <v>17.603426150880502</v>
      </c>
      <c r="S67" s="102">
        <f t="shared" si="2"/>
        <v>6.2000620010138618E-4</v>
      </c>
      <c r="T67" s="64">
        <v>1.2230473479999999</v>
      </c>
      <c r="U67" s="101">
        <f t="shared" si="3"/>
        <v>0.77410260215168181</v>
      </c>
      <c r="V67" s="8">
        <v>41.955876045994501</v>
      </c>
      <c r="W67" s="103">
        <f t="shared" si="4"/>
        <v>6.2000620010138618E-4</v>
      </c>
      <c r="X67" s="64">
        <v>1.283825116</v>
      </c>
      <c r="Y67" s="104">
        <f t="shared" si="5"/>
        <v>0.86817293450670063</v>
      </c>
      <c r="Z67" s="8">
        <v>51.134176573314697</v>
      </c>
      <c r="AA67" s="106">
        <f t="shared" si="6"/>
        <v>6.2000619999480477E-4</v>
      </c>
      <c r="AB67" s="64">
        <v>1.0924398040000001</v>
      </c>
      <c r="AC67" s="107">
        <f t="shared" si="7"/>
        <v>0.7449392648611739</v>
      </c>
    </row>
    <row r="68" spans="14:29" x14ac:dyDescent="0.45">
      <c r="N68" s="8">
        <v>7.3548344282752796</v>
      </c>
      <c r="O68" s="100">
        <f t="shared" si="0"/>
        <v>6.300063000592715E-4</v>
      </c>
      <c r="P68" s="64">
        <v>0.82863842799999998</v>
      </c>
      <c r="Q68" s="98">
        <f t="shared" si="1"/>
        <v>0.6363116831624881</v>
      </c>
      <c r="R68" s="8">
        <v>17.6034361509805</v>
      </c>
      <c r="S68" s="102">
        <f t="shared" si="2"/>
        <v>6.3000630009923952E-4</v>
      </c>
      <c r="T68" s="64">
        <v>0.96053911599999997</v>
      </c>
      <c r="U68" s="101">
        <f t="shared" si="3"/>
        <v>0.60795342909657835</v>
      </c>
      <c r="V68" s="8">
        <v>41.955886046094498</v>
      </c>
      <c r="W68" s="103">
        <f t="shared" si="4"/>
        <v>6.3000630009923952E-4</v>
      </c>
      <c r="X68" s="64">
        <v>1.0090320159999999</v>
      </c>
      <c r="Y68" s="104">
        <f t="shared" si="5"/>
        <v>0.68234705445810273</v>
      </c>
      <c r="Z68" s="8">
        <v>51.134186573414702</v>
      </c>
      <c r="AA68" s="106">
        <f t="shared" si="6"/>
        <v>6.3000629999976354E-4</v>
      </c>
      <c r="AB68" s="64">
        <v>0.85029858999999997</v>
      </c>
      <c r="AC68" s="107">
        <f t="shared" si="7"/>
        <v>0.57982215974537354</v>
      </c>
    </row>
    <row r="69" spans="14:29" x14ac:dyDescent="0.45">
      <c r="N69" s="8">
        <v>7.3548444283752801</v>
      </c>
      <c r="O69" s="100">
        <f t="shared" ref="O69:O132" si="8">N69-$N$5</f>
        <v>6.4000640005978937E-4</v>
      </c>
      <c r="P69" s="64">
        <v>0.65115441399999996</v>
      </c>
      <c r="Q69" s="98">
        <f t="shared" si="1"/>
        <v>0.50002165862747505</v>
      </c>
      <c r="R69" s="8">
        <v>17.603446151080501</v>
      </c>
      <c r="S69" s="102">
        <f t="shared" si="2"/>
        <v>6.4000640010064558E-4</v>
      </c>
      <c r="T69" s="64">
        <v>0.74781692799999999</v>
      </c>
      <c r="U69" s="101">
        <f t="shared" si="3"/>
        <v>0.47331530610364964</v>
      </c>
      <c r="V69" s="8">
        <v>41.955896046194503</v>
      </c>
      <c r="W69" s="103">
        <f t="shared" si="4"/>
        <v>6.4000640010419829E-4</v>
      </c>
      <c r="X69" s="64">
        <v>0.78596467599999997</v>
      </c>
      <c r="Y69" s="104">
        <f t="shared" si="5"/>
        <v>0.53150016359512331</v>
      </c>
      <c r="Z69" s="8">
        <v>51.1341965735147</v>
      </c>
      <c r="AA69" s="106">
        <f t="shared" si="6"/>
        <v>6.4000639999761688E-4</v>
      </c>
      <c r="AB69" s="64">
        <v>0.65568041799999999</v>
      </c>
      <c r="AC69" s="107">
        <f t="shared" si="7"/>
        <v>0.44711121544669308</v>
      </c>
    </row>
    <row r="70" spans="14:29" x14ac:dyDescent="0.45">
      <c r="N70" s="8">
        <v>7.3548544284752904</v>
      </c>
      <c r="O70" s="100">
        <f t="shared" si="8"/>
        <v>6.5000650007007721E-4</v>
      </c>
      <c r="P70" s="64">
        <v>0.47496354400000002</v>
      </c>
      <c r="Q70" s="98">
        <f t="shared" ref="Q70:Q133" si="9">P70/$Q$3</f>
        <v>0.36472463973570446</v>
      </c>
      <c r="R70" s="8">
        <v>17.603456151180499</v>
      </c>
      <c r="S70" s="102">
        <f t="shared" ref="S70:S133" si="10">R70-$R$5</f>
        <v>6.5000650009849892E-4</v>
      </c>
      <c r="T70" s="64">
        <v>0.54285360400000005</v>
      </c>
      <c r="U70" s="101">
        <f t="shared" ref="U70:U133" si="11">T70/$U$3</f>
        <v>0.34358799610742358</v>
      </c>
      <c r="V70" s="8">
        <v>41.955906046294501</v>
      </c>
      <c r="W70" s="103">
        <f t="shared" ref="W70:W133" si="12">V70-$V$5</f>
        <v>6.5000650010205163E-4</v>
      </c>
      <c r="X70" s="64">
        <v>0.60039851200000005</v>
      </c>
      <c r="Y70" s="104">
        <f t="shared" ref="Y70:Y133" si="13">X70/$Y$3</f>
        <v>0.40601303989171728</v>
      </c>
      <c r="Z70" s="8">
        <v>51.134206573614698</v>
      </c>
      <c r="AA70" s="106">
        <f t="shared" ref="AA70:AA133" si="14">Z70-$Z$5</f>
        <v>6.5000649999547022E-4</v>
      </c>
      <c r="AB70" s="64">
        <v>0.45491981199999998</v>
      </c>
      <c r="AC70" s="107">
        <f t="shared" ref="AC70:AC133" si="15">AB70/$AC$3</f>
        <v>0.31021171974988143</v>
      </c>
    </row>
    <row r="71" spans="14:29" x14ac:dyDescent="0.45">
      <c r="N71" s="8">
        <v>7.35486442857529</v>
      </c>
      <c r="O71" s="100">
        <f t="shared" si="8"/>
        <v>6.6000660006970691E-4</v>
      </c>
      <c r="P71" s="8">
        <v>0.34952857599999998</v>
      </c>
      <c r="Q71" s="98">
        <f t="shared" si="9"/>
        <v>0.26840309234119619</v>
      </c>
      <c r="R71" s="8">
        <v>17.6034661512805</v>
      </c>
      <c r="S71" s="102">
        <f t="shared" si="10"/>
        <v>6.6000660009990497E-4</v>
      </c>
      <c r="T71" s="8">
        <v>0.40578034000000002</v>
      </c>
      <c r="U71" s="101">
        <f t="shared" si="11"/>
        <v>0.25683029983234484</v>
      </c>
      <c r="V71" s="8">
        <v>41.955916046394499</v>
      </c>
      <c r="W71" s="103">
        <f t="shared" si="12"/>
        <v>6.6000660009990497E-4</v>
      </c>
      <c r="X71" s="8">
        <v>0.410952916</v>
      </c>
      <c r="Y71" s="104">
        <f t="shared" si="13"/>
        <v>0.27790249199938977</v>
      </c>
      <c r="Z71" s="8">
        <v>51.134216573714703</v>
      </c>
      <c r="AA71" s="106">
        <f t="shared" si="14"/>
        <v>6.6000660000042899E-4</v>
      </c>
      <c r="AB71" s="8">
        <v>0.35534772399999998</v>
      </c>
      <c r="AC71" s="107">
        <f t="shared" si="15"/>
        <v>0.24231309708544022</v>
      </c>
    </row>
    <row r="72" spans="14:29" x14ac:dyDescent="0.45">
      <c r="N72" s="8">
        <v>7.3548744286752896</v>
      </c>
      <c r="O72" s="100">
        <f t="shared" si="8"/>
        <v>6.700067000693366E-4</v>
      </c>
      <c r="P72" s="8">
        <v>0.28357823199999999</v>
      </c>
      <c r="Q72" s="98">
        <f t="shared" si="9"/>
        <v>0.21775980453583615</v>
      </c>
      <c r="R72" s="8">
        <v>17.603476151380502</v>
      </c>
      <c r="S72" s="102">
        <f t="shared" si="10"/>
        <v>6.7000670010131103E-4</v>
      </c>
      <c r="T72" s="8">
        <v>0.33724370799999998</v>
      </c>
      <c r="U72" s="101">
        <f t="shared" si="11"/>
        <v>0.21345145169480548</v>
      </c>
      <c r="V72" s="8">
        <v>41.955926046494497</v>
      </c>
      <c r="W72" s="103">
        <f t="shared" si="12"/>
        <v>6.7000670009775831E-4</v>
      </c>
      <c r="X72" s="8">
        <v>0.325282126</v>
      </c>
      <c r="Y72" s="104">
        <f t="shared" si="13"/>
        <v>0.21996854116070924</v>
      </c>
      <c r="Z72" s="8">
        <v>51.134226573814701</v>
      </c>
      <c r="AA72" s="106">
        <f t="shared" si="14"/>
        <v>6.7000669999828233E-4</v>
      </c>
      <c r="AB72" s="8">
        <v>0.29101380999999998</v>
      </c>
      <c r="AC72" s="107">
        <f t="shared" si="15"/>
        <v>0.19844353244185645</v>
      </c>
    </row>
    <row r="73" spans="14:29" x14ac:dyDescent="0.45">
      <c r="N73" s="8">
        <v>7.3548844287752901</v>
      </c>
      <c r="O73" s="100">
        <f t="shared" si="8"/>
        <v>6.8000680006985448E-4</v>
      </c>
      <c r="P73" s="8">
        <v>0.26030164</v>
      </c>
      <c r="Q73" s="98">
        <f t="shared" si="9"/>
        <v>0.19988570295747382</v>
      </c>
      <c r="R73" s="8">
        <v>17.603486151480499</v>
      </c>
      <c r="S73" s="102">
        <f t="shared" si="10"/>
        <v>6.8000680009916437E-4</v>
      </c>
      <c r="T73" s="8">
        <v>0.33756699400000001</v>
      </c>
      <c r="U73" s="101">
        <f t="shared" si="11"/>
        <v>0.21365606890300146</v>
      </c>
      <c r="V73" s="8">
        <v>41.955936046594502</v>
      </c>
      <c r="W73" s="103">
        <f t="shared" si="12"/>
        <v>6.8000680010271708E-4</v>
      </c>
      <c r="X73" s="8">
        <v>0.28099194399999999</v>
      </c>
      <c r="Y73" s="104">
        <f t="shared" si="13"/>
        <v>0.19001778167052347</v>
      </c>
      <c r="Z73" s="8">
        <v>51.134236573914698</v>
      </c>
      <c r="AA73" s="106">
        <f t="shared" si="14"/>
        <v>6.8000679999613567E-4</v>
      </c>
      <c r="AB73" s="8">
        <v>0.30071239</v>
      </c>
      <c r="AC73" s="107">
        <f t="shared" si="15"/>
        <v>0.2050570346494319</v>
      </c>
    </row>
    <row r="74" spans="14:29" x14ac:dyDescent="0.45">
      <c r="N74" s="8">
        <v>7.3548944288752898</v>
      </c>
      <c r="O74" s="100">
        <f t="shared" si="8"/>
        <v>6.9000690006948417E-4</v>
      </c>
      <c r="P74" s="8">
        <v>0.25157291799999998</v>
      </c>
      <c r="Q74" s="98">
        <f t="shared" si="9"/>
        <v>0.19318291486558792</v>
      </c>
      <c r="R74" s="8">
        <v>17.603496151580501</v>
      </c>
      <c r="S74" s="102">
        <f t="shared" si="10"/>
        <v>6.9000690010057042E-4</v>
      </c>
      <c r="T74" s="8">
        <v>0.33239441800000002</v>
      </c>
      <c r="U74" s="101">
        <f t="shared" si="11"/>
        <v>0.21038219357186641</v>
      </c>
      <c r="V74" s="8">
        <v>41.9559460466945</v>
      </c>
      <c r="W74" s="103">
        <f t="shared" si="12"/>
        <v>6.9000690010057042E-4</v>
      </c>
      <c r="X74" s="8">
        <v>0.29392338400000001</v>
      </c>
      <c r="Y74" s="104">
        <f t="shared" si="13"/>
        <v>0.19876252896692809</v>
      </c>
      <c r="Z74" s="8">
        <v>51.134246574014703</v>
      </c>
      <c r="AA74" s="106">
        <f t="shared" si="14"/>
        <v>6.9000690000109444E-4</v>
      </c>
      <c r="AB74" s="8">
        <v>0.31202740000000001</v>
      </c>
      <c r="AC74" s="107">
        <f t="shared" si="15"/>
        <v>0.21277278722493659</v>
      </c>
    </row>
    <row r="75" spans="14:29" x14ac:dyDescent="0.45">
      <c r="N75" s="8">
        <v>7.3549044289752903</v>
      </c>
      <c r="O75" s="100">
        <f t="shared" si="8"/>
        <v>7.0000700007000205E-4</v>
      </c>
      <c r="P75" s="8">
        <v>0.27969880000000003</v>
      </c>
      <c r="Q75" s="98">
        <f t="shared" si="9"/>
        <v>0.21478078760610914</v>
      </c>
      <c r="R75" s="8">
        <v>17.603506151680499</v>
      </c>
      <c r="S75" s="102">
        <f t="shared" si="10"/>
        <v>7.0000700009842376E-4</v>
      </c>
      <c r="T75" s="8">
        <v>0.316230118</v>
      </c>
      <c r="U75" s="101">
        <f t="shared" si="11"/>
        <v>0.2001513331620694</v>
      </c>
      <c r="V75" s="8">
        <v>41.955956046794498</v>
      </c>
      <c r="W75" s="103">
        <f t="shared" si="12"/>
        <v>7.0000700009842376E-4</v>
      </c>
      <c r="X75" s="8">
        <v>0.28293165999999997</v>
      </c>
      <c r="Y75" s="104">
        <f t="shared" si="13"/>
        <v>0.19132949376498415</v>
      </c>
      <c r="Z75" s="8">
        <v>51.134256574114701</v>
      </c>
      <c r="AA75" s="106">
        <f t="shared" si="14"/>
        <v>7.0000699999894778E-4</v>
      </c>
      <c r="AB75" s="8">
        <v>0.291660382</v>
      </c>
      <c r="AC75" s="107">
        <f t="shared" si="15"/>
        <v>0.19888443258902816</v>
      </c>
    </row>
    <row r="76" spans="14:29" x14ac:dyDescent="0.45">
      <c r="N76" s="8">
        <v>7.3549144290752899</v>
      </c>
      <c r="O76" s="100">
        <f t="shared" si="8"/>
        <v>7.1000710006963175E-4</v>
      </c>
      <c r="P76" s="8">
        <v>0.26159478400000002</v>
      </c>
      <c r="Q76" s="98">
        <f t="shared" si="9"/>
        <v>0.20087870860071619</v>
      </c>
      <c r="R76" s="8">
        <v>17.6035161517805</v>
      </c>
      <c r="S76" s="102">
        <f t="shared" si="10"/>
        <v>7.1000710009982981E-4</v>
      </c>
      <c r="T76" s="8">
        <v>0.24769348599999999</v>
      </c>
      <c r="U76" s="101">
        <f t="shared" si="11"/>
        <v>0.15677248502453003</v>
      </c>
      <c r="V76" s="8">
        <v>41.955966046894503</v>
      </c>
      <c r="W76" s="103">
        <f t="shared" si="12"/>
        <v>7.1000710010338253E-4</v>
      </c>
      <c r="X76" s="8">
        <v>0.25027977400000001</v>
      </c>
      <c r="Y76" s="104">
        <f t="shared" si="13"/>
        <v>0.16924900684156255</v>
      </c>
      <c r="Z76" s="8">
        <v>51.134266574214699</v>
      </c>
      <c r="AA76" s="106">
        <f t="shared" si="14"/>
        <v>7.1000709999680112E-4</v>
      </c>
      <c r="AB76" s="8">
        <v>0.230236042</v>
      </c>
      <c r="AC76" s="107">
        <f t="shared" si="15"/>
        <v>0.15699891860771703</v>
      </c>
    </row>
    <row r="77" spans="14:29" x14ac:dyDescent="0.45">
      <c r="N77" s="8">
        <v>7.3549244291752904</v>
      </c>
      <c r="O77" s="100">
        <f t="shared" si="8"/>
        <v>7.2000720007014962E-4</v>
      </c>
      <c r="P77" s="8">
        <v>0.204696448</v>
      </c>
      <c r="Q77" s="98">
        <f t="shared" si="9"/>
        <v>0.15718646029805261</v>
      </c>
      <c r="R77" s="8">
        <v>17.603526151880502</v>
      </c>
      <c r="S77" s="102">
        <f t="shared" si="10"/>
        <v>7.2000720010123587E-4</v>
      </c>
      <c r="T77" s="8">
        <v>0.18465271599999999</v>
      </c>
      <c r="U77" s="101">
        <f t="shared" si="11"/>
        <v>0.11687212942632169</v>
      </c>
      <c r="V77" s="8">
        <v>41.9559760469945</v>
      </c>
      <c r="W77" s="103">
        <f t="shared" si="12"/>
        <v>7.2000720010123587E-4</v>
      </c>
      <c r="X77" s="8">
        <v>0.18885543399999999</v>
      </c>
      <c r="Y77" s="104">
        <f t="shared" si="13"/>
        <v>0.12771145718364066</v>
      </c>
      <c r="Z77" s="8">
        <v>51.134276574314697</v>
      </c>
      <c r="AA77" s="106">
        <f t="shared" si="14"/>
        <v>7.2000719999465446E-4</v>
      </c>
      <c r="AB77" s="8">
        <v>0.16719527200000001</v>
      </c>
      <c r="AC77" s="107">
        <f t="shared" si="15"/>
        <v>0.11401115425847666</v>
      </c>
    </row>
    <row r="78" spans="14:29" x14ac:dyDescent="0.45">
      <c r="N78" s="8">
        <v>7.3549344292752901</v>
      </c>
      <c r="O78" s="100">
        <f t="shared" si="8"/>
        <v>7.3000730006977932E-4</v>
      </c>
      <c r="P78" s="8">
        <v>0.14391867999999999</v>
      </c>
      <c r="Q78" s="98">
        <f t="shared" si="9"/>
        <v>0.110515195065662</v>
      </c>
      <c r="R78" s="8">
        <v>17.603536151980499</v>
      </c>
      <c r="S78" s="102">
        <f t="shared" si="10"/>
        <v>7.3000730009908921E-4</v>
      </c>
      <c r="T78" s="8">
        <v>0.10835722</v>
      </c>
      <c r="U78" s="101">
        <f t="shared" si="11"/>
        <v>6.8582468292079785E-2</v>
      </c>
      <c r="V78" s="8">
        <v>41.955986047094498</v>
      </c>
      <c r="W78" s="103">
        <f t="shared" si="12"/>
        <v>7.3000730009908921E-4</v>
      </c>
      <c r="X78" s="8">
        <v>0.138422818</v>
      </c>
      <c r="Y78" s="104">
        <f t="shared" si="13"/>
        <v>9.3606942727662706E-2</v>
      </c>
      <c r="Z78" s="8">
        <v>51.134286574414702</v>
      </c>
      <c r="AA78" s="106">
        <f t="shared" si="14"/>
        <v>7.3000729999961322E-4</v>
      </c>
      <c r="AB78" s="8">
        <v>0.111913366</v>
      </c>
      <c r="AC78" s="107">
        <f t="shared" si="15"/>
        <v>7.6314191675296628E-2</v>
      </c>
    </row>
    <row r="79" spans="14:29" x14ac:dyDescent="0.45">
      <c r="N79" s="8">
        <v>7.3549444293752897</v>
      </c>
      <c r="O79" s="100">
        <f t="shared" si="8"/>
        <v>7.4000740006940902E-4</v>
      </c>
      <c r="P79" s="8">
        <v>0.109003792</v>
      </c>
      <c r="Q79" s="98">
        <f t="shared" si="9"/>
        <v>8.3704042698118458E-2</v>
      </c>
      <c r="R79" s="8">
        <v>17.603546152080501</v>
      </c>
      <c r="S79" s="102">
        <f t="shared" si="10"/>
        <v>7.4000740010049526E-4</v>
      </c>
      <c r="T79" s="8">
        <v>7.8291622000000005E-2</v>
      </c>
      <c r="U79" s="101">
        <f t="shared" si="11"/>
        <v>4.9553067929857336E-2</v>
      </c>
      <c r="V79" s="8">
        <v>41.955996047194503</v>
      </c>
      <c r="W79" s="103">
        <f t="shared" si="12"/>
        <v>7.4000740010404797E-4</v>
      </c>
      <c r="X79" s="8">
        <v>8.9283346E-2</v>
      </c>
      <c r="Y79" s="104">
        <f t="shared" si="13"/>
        <v>6.0376903001325213E-2</v>
      </c>
      <c r="Z79" s="8">
        <v>51.1342965745147</v>
      </c>
      <c r="AA79" s="106">
        <f t="shared" si="14"/>
        <v>7.4000739999746656E-4</v>
      </c>
      <c r="AB79" s="8">
        <v>7.5382047999999993E-2</v>
      </c>
      <c r="AC79" s="107">
        <f t="shared" si="15"/>
        <v>5.1403333360095796E-2</v>
      </c>
    </row>
    <row r="80" spans="14:29" x14ac:dyDescent="0.45">
      <c r="N80" s="8">
        <v>7.3549544294753</v>
      </c>
      <c r="O80" s="100">
        <f t="shared" si="8"/>
        <v>7.5000750007969685E-4</v>
      </c>
      <c r="P80" s="8">
        <v>4.3376734E-2</v>
      </c>
      <c r="Q80" s="98">
        <f t="shared" si="9"/>
        <v>3.3309006303569026E-2</v>
      </c>
      <c r="R80" s="8">
        <v>17.603556152180499</v>
      </c>
      <c r="S80" s="102">
        <f t="shared" si="10"/>
        <v>7.500075000983486E-4</v>
      </c>
      <c r="T80" s="8">
        <v>3.6264442000000001E-2</v>
      </c>
      <c r="U80" s="101">
        <f t="shared" si="11"/>
        <v>2.2952830864385099E-2</v>
      </c>
      <c r="V80" s="8">
        <v>41.956006047294501</v>
      </c>
      <c r="W80" s="103">
        <f t="shared" si="12"/>
        <v>7.5000750010190131E-4</v>
      </c>
      <c r="X80" s="8">
        <v>5.4045172000000002E-2</v>
      </c>
      <c r="Y80" s="104">
        <f t="shared" si="13"/>
        <v>3.6547466618622668E-2</v>
      </c>
      <c r="Z80" s="8">
        <v>51.134306574614698</v>
      </c>
      <c r="AA80" s="106">
        <f t="shared" si="14"/>
        <v>7.500074999953199E-4</v>
      </c>
      <c r="AB80" s="8">
        <v>3.1091865999999999E-2</v>
      </c>
      <c r="AC80" s="107">
        <f t="shared" si="15"/>
        <v>2.1201673278834616E-2</v>
      </c>
    </row>
    <row r="81" spans="14:29" x14ac:dyDescent="0.45">
      <c r="N81" s="8">
        <v>7.3549644295752996</v>
      </c>
      <c r="O81" s="100">
        <f t="shared" si="8"/>
        <v>7.6000760007932655E-4</v>
      </c>
      <c r="P81" s="8">
        <v>3.7234299999999998E-2</v>
      </c>
      <c r="Q81" s="98">
        <f t="shared" si="9"/>
        <v>2.8592229498167844E-2</v>
      </c>
      <c r="R81" s="8">
        <v>17.6035661522805</v>
      </c>
      <c r="S81" s="102">
        <f t="shared" si="10"/>
        <v>7.6000760009975465E-4</v>
      </c>
      <c r="T81" s="8">
        <v>2.1393286000000001E-2</v>
      </c>
      <c r="U81" s="101">
        <f t="shared" si="11"/>
        <v>1.3540439287371846E-2</v>
      </c>
      <c r="V81" s="8">
        <v>41.956016047394499</v>
      </c>
      <c r="W81" s="103">
        <f t="shared" si="12"/>
        <v>7.6000760009975465E-4</v>
      </c>
      <c r="X81" s="8">
        <v>2.4626146000000002E-2</v>
      </c>
      <c r="Y81" s="104">
        <f t="shared" si="13"/>
        <v>1.6653166519302189E-2</v>
      </c>
      <c r="Z81" s="8">
        <v>51.134316574714703</v>
      </c>
      <c r="AA81" s="106">
        <f t="shared" si="14"/>
        <v>7.6000760000027867E-4</v>
      </c>
      <c r="AB81" s="8">
        <v>9.1084180000000001E-3</v>
      </c>
      <c r="AC81" s="107">
        <f t="shared" si="15"/>
        <v>6.2110682749969472E-3</v>
      </c>
    </row>
    <row r="82" spans="14:29" x14ac:dyDescent="0.45">
      <c r="N82" s="8">
        <v>7.3549744296753001</v>
      </c>
      <c r="O82" s="100">
        <f t="shared" si="8"/>
        <v>7.7000770007984443E-4</v>
      </c>
      <c r="P82" s="8">
        <v>2.9475436000000001E-2</v>
      </c>
      <c r="Q82" s="98">
        <f t="shared" si="9"/>
        <v>2.2634195638713724E-2</v>
      </c>
      <c r="R82" s="8">
        <v>17.603576152380501</v>
      </c>
      <c r="S82" s="102">
        <f t="shared" si="10"/>
        <v>7.7000770010116071E-4</v>
      </c>
      <c r="T82" s="8">
        <v>-2.853164E-3</v>
      </c>
      <c r="U82" s="101">
        <f t="shared" si="11"/>
        <v>-1.8058513273236756E-3</v>
      </c>
      <c r="V82" s="8">
        <v>41.956026047494497</v>
      </c>
      <c r="W82" s="103">
        <f t="shared" si="12"/>
        <v>7.7000770009760799E-4</v>
      </c>
      <c r="X82" s="8">
        <v>1.0078276000000001E-2</v>
      </c>
      <c r="Y82" s="104">
        <f t="shared" si="13"/>
        <v>6.8153258108470073E-3</v>
      </c>
      <c r="Z82" s="8">
        <v>51.1343265748147</v>
      </c>
      <c r="AA82" s="106">
        <f t="shared" si="14"/>
        <v>7.7000769999813201E-4</v>
      </c>
      <c r="AB82" s="8">
        <v>2.3194119999999999E-3</v>
      </c>
      <c r="AC82" s="107">
        <f t="shared" si="15"/>
        <v>1.5816167296941377E-3</v>
      </c>
    </row>
    <row r="83" spans="14:29" x14ac:dyDescent="0.45">
      <c r="N83" s="8">
        <v>7.3549844297752998</v>
      </c>
      <c r="O83" s="100">
        <f t="shared" si="8"/>
        <v>7.8000780007947412E-4</v>
      </c>
      <c r="P83" s="8">
        <v>1.137142E-2</v>
      </c>
      <c r="Q83" s="98">
        <f t="shared" si="9"/>
        <v>8.7321166333207776E-3</v>
      </c>
      <c r="R83" s="8">
        <v>17.603586152480499</v>
      </c>
      <c r="S83" s="102">
        <f t="shared" si="10"/>
        <v>7.8000780009901405E-4</v>
      </c>
      <c r="T83" s="8">
        <v>-3.1764499999999999E-3</v>
      </c>
      <c r="U83" s="101">
        <f t="shared" si="11"/>
        <v>-2.0104685355196157E-3</v>
      </c>
      <c r="V83" s="8">
        <v>41.956036047594502</v>
      </c>
      <c r="W83" s="103">
        <f t="shared" si="12"/>
        <v>7.8000780010256676E-4</v>
      </c>
      <c r="X83" s="8">
        <v>-2.5298780000000002E-3</v>
      </c>
      <c r="Y83" s="104">
        <f t="shared" si="13"/>
        <v>-1.7108028031474832E-3</v>
      </c>
      <c r="Z83" s="8">
        <v>51.134336574914798</v>
      </c>
      <c r="AA83" s="106">
        <f t="shared" si="14"/>
        <v>7.8000780009546133E-4</v>
      </c>
      <c r="AB83" s="8">
        <v>1.3957707999999999E-2</v>
      </c>
      <c r="AC83" s="107">
        <f t="shared" si="15"/>
        <v>9.5178193787846671E-3</v>
      </c>
    </row>
    <row r="84" spans="14:29" x14ac:dyDescent="0.45">
      <c r="N84" s="8">
        <v>7.3549944298753003</v>
      </c>
      <c r="O84" s="100">
        <f t="shared" si="8"/>
        <v>7.90007900079992E-4</v>
      </c>
      <c r="P84" s="8">
        <v>-1.6754462000000001E-2</v>
      </c>
      <c r="Q84" s="98">
        <f t="shared" si="9"/>
        <v>-1.2865756107200411E-2</v>
      </c>
      <c r="R84" s="8">
        <v>17.603596152580501</v>
      </c>
      <c r="S84" s="102">
        <f t="shared" si="10"/>
        <v>7.900079001004201E-4</v>
      </c>
      <c r="T84" s="8">
        <v>-1.610789E-2</v>
      </c>
      <c r="U84" s="101">
        <f t="shared" si="11"/>
        <v>-1.0195156863357226E-2</v>
      </c>
      <c r="V84" s="8">
        <v>41.9560460476945</v>
      </c>
      <c r="W84" s="103">
        <f t="shared" si="12"/>
        <v>7.900079001004201E-4</v>
      </c>
      <c r="X84" s="8">
        <v>1.3634422E-2</v>
      </c>
      <c r="Y84" s="104">
        <f t="shared" si="13"/>
        <v>9.2201313173582728E-3</v>
      </c>
      <c r="Z84" s="8">
        <v>51.134346575014703</v>
      </c>
      <c r="AA84" s="106">
        <f t="shared" si="14"/>
        <v>7.9000790000094412E-4</v>
      </c>
      <c r="AB84" s="8">
        <v>8.4618460000000003E-3</v>
      </c>
      <c r="AC84" s="107">
        <f t="shared" si="15"/>
        <v>5.7701681278252513E-3</v>
      </c>
    </row>
    <row r="85" spans="14:29" x14ac:dyDescent="0.45">
      <c r="N85" s="8">
        <v>7.3550044299752999</v>
      </c>
      <c r="O85" s="100">
        <f t="shared" si="8"/>
        <v>8.000080000796217E-4</v>
      </c>
      <c r="P85" s="8">
        <v>-7.0558820000000003E-3</v>
      </c>
      <c r="Q85" s="98">
        <f t="shared" si="9"/>
        <v>-5.4182137828827593E-3</v>
      </c>
      <c r="R85" s="8">
        <v>17.603606152680499</v>
      </c>
      <c r="S85" s="102">
        <f t="shared" si="10"/>
        <v>8.0000800009827344E-4</v>
      </c>
      <c r="T85" s="8">
        <v>1.349554E-3</v>
      </c>
      <c r="U85" s="101">
        <f t="shared" si="11"/>
        <v>8.5417237922354812E-4</v>
      </c>
      <c r="V85" s="8">
        <v>41.956056047794497</v>
      </c>
      <c r="W85" s="103">
        <f t="shared" si="12"/>
        <v>8.0000800009827344E-4</v>
      </c>
      <c r="X85" s="8">
        <v>3.6125559999999998E-3</v>
      </c>
      <c r="Y85" s="104">
        <f t="shared" si="13"/>
        <v>2.4429521626447041E-3</v>
      </c>
      <c r="Z85" s="8">
        <v>51.134356575114801</v>
      </c>
      <c r="AA85" s="106">
        <f t="shared" si="14"/>
        <v>8.0000800009827344E-4</v>
      </c>
      <c r="AB85" s="8">
        <v>7.1687019999999999E-3</v>
      </c>
      <c r="AC85" s="107">
        <f t="shared" si="15"/>
        <v>4.8883678334818584E-3</v>
      </c>
    </row>
    <row r="86" spans="14:29" x14ac:dyDescent="0.45">
      <c r="N86" s="8">
        <v>7.3550144300753004</v>
      </c>
      <c r="O86" s="100">
        <f t="shared" si="8"/>
        <v>8.1000810008013957E-4</v>
      </c>
      <c r="P86" s="8">
        <v>3.7969600000000098E-4</v>
      </c>
      <c r="Q86" s="98">
        <f t="shared" si="9"/>
        <v>2.9156866576077341E-4</v>
      </c>
      <c r="R86" s="8">
        <v>17.6036161527805</v>
      </c>
      <c r="S86" s="102">
        <f t="shared" si="10"/>
        <v>8.100081000996795E-4</v>
      </c>
      <c r="T86" s="8">
        <v>8.4618460000000003E-3</v>
      </c>
      <c r="U86" s="101">
        <f t="shared" si="11"/>
        <v>5.3557509595342345E-3</v>
      </c>
      <c r="V86" s="8">
        <v>41.956066047894502</v>
      </c>
      <c r="W86" s="103">
        <f t="shared" si="12"/>
        <v>8.1000810010323221E-4</v>
      </c>
      <c r="X86" s="8">
        <v>-4.1463079999999996E-3</v>
      </c>
      <c r="Y86" s="104">
        <f t="shared" si="13"/>
        <v>-2.8038962151980583E-3</v>
      </c>
      <c r="Z86" s="8">
        <v>51.134366575214798</v>
      </c>
      <c r="AA86" s="106">
        <f t="shared" si="14"/>
        <v>8.1000810009612678E-4</v>
      </c>
      <c r="AB86" s="8">
        <v>-3.4997359999999998E-3</v>
      </c>
      <c r="AC86" s="107">
        <f t="shared" si="15"/>
        <v>-2.3864845948511275E-3</v>
      </c>
    </row>
    <row r="87" spans="14:29" x14ac:dyDescent="0.45">
      <c r="N87" s="8">
        <v>7.3550244301753001</v>
      </c>
      <c r="O87" s="100">
        <f t="shared" si="8"/>
        <v>8.2000820007976927E-4</v>
      </c>
      <c r="P87" s="8">
        <v>-1.1905172E-2</v>
      </c>
      <c r="Q87" s="98">
        <f t="shared" si="9"/>
        <v>-9.1419849450415855E-3</v>
      </c>
      <c r="R87" s="8">
        <v>17.603626152880501</v>
      </c>
      <c r="S87" s="102">
        <f t="shared" si="10"/>
        <v>8.2000820010108555E-4</v>
      </c>
      <c r="T87" s="8">
        <v>-1.236734E-3</v>
      </c>
      <c r="U87" s="101">
        <f t="shared" si="11"/>
        <v>-7.8276528634397408E-4</v>
      </c>
      <c r="V87" s="8">
        <v>41.9560760479945</v>
      </c>
      <c r="W87" s="103">
        <f t="shared" si="12"/>
        <v>8.2000820010108555E-4</v>
      </c>
      <c r="X87" s="8">
        <v>-1.0288742E-2</v>
      </c>
      <c r="Y87" s="104">
        <f t="shared" si="13"/>
        <v>-6.9576511809902458E-3</v>
      </c>
      <c r="Z87" s="8">
        <v>51.134376575314803</v>
      </c>
      <c r="AA87" s="106">
        <f t="shared" si="14"/>
        <v>8.2000820010108555E-4</v>
      </c>
      <c r="AB87" s="8">
        <v>-1.0935314E-2</v>
      </c>
      <c r="AC87" s="107">
        <f t="shared" si="15"/>
        <v>-7.4568362873256326E-3</v>
      </c>
    </row>
    <row r="88" spans="14:29" x14ac:dyDescent="0.45">
      <c r="N88" s="8">
        <v>7.3550344302752997</v>
      </c>
      <c r="O88" s="100">
        <f t="shared" si="8"/>
        <v>8.3000830007939896E-4</v>
      </c>
      <c r="P88" s="8">
        <v>-1.3198316E-2</v>
      </c>
      <c r="Q88" s="98">
        <f t="shared" si="9"/>
        <v>-1.0134990588283937E-2</v>
      </c>
      <c r="R88" s="8">
        <v>17.603636152980499</v>
      </c>
      <c r="S88" s="102">
        <f t="shared" si="10"/>
        <v>8.3000830009893889E-4</v>
      </c>
      <c r="T88" s="8">
        <v>-1.7077748E-2</v>
      </c>
      <c r="U88" s="101">
        <f t="shared" si="11"/>
        <v>-1.0809008487945047E-2</v>
      </c>
      <c r="V88" s="8">
        <v>41.956086048094498</v>
      </c>
      <c r="W88" s="103">
        <f t="shared" si="12"/>
        <v>8.3000830009893889E-4</v>
      </c>
      <c r="X88" s="8">
        <v>-8.02574E-3</v>
      </c>
      <c r="Y88" s="104">
        <f t="shared" si="13"/>
        <v>-5.4273204041194404E-3</v>
      </c>
      <c r="Z88" s="8">
        <v>51.134386575414801</v>
      </c>
      <c r="AA88" s="106">
        <f t="shared" si="14"/>
        <v>8.3000830009893889E-4</v>
      </c>
      <c r="AB88" s="8">
        <v>-2.1927037999999999E-2</v>
      </c>
      <c r="AC88" s="107">
        <f t="shared" si="15"/>
        <v>-1.4952138789244467E-2</v>
      </c>
    </row>
    <row r="89" spans="14:29" x14ac:dyDescent="0.45">
      <c r="N89" s="8">
        <v>7.3550444303753002</v>
      </c>
      <c r="O89" s="100">
        <f t="shared" si="8"/>
        <v>8.4000840007991684E-4</v>
      </c>
      <c r="P89" s="8">
        <v>-9.9654559999999993E-3</v>
      </c>
      <c r="Q89" s="98">
        <f t="shared" si="9"/>
        <v>-7.6524764801780536E-3</v>
      </c>
      <c r="R89" s="8">
        <v>17.603646153080501</v>
      </c>
      <c r="S89" s="102">
        <f t="shared" si="10"/>
        <v>8.4000840010034494E-4</v>
      </c>
      <c r="T89" s="8">
        <v>-6.7325960000000004E-3</v>
      </c>
      <c r="U89" s="101">
        <f t="shared" si="11"/>
        <v>-4.261257825674959E-3</v>
      </c>
      <c r="V89" s="8">
        <v>41.956096048194503</v>
      </c>
      <c r="W89" s="103">
        <f t="shared" si="12"/>
        <v>8.4000840010389766E-4</v>
      </c>
      <c r="X89" s="8">
        <v>-2.5159898E-2</v>
      </c>
      <c r="Y89" s="104">
        <f t="shared" si="13"/>
        <v>-1.7014110571855541E-2</v>
      </c>
      <c r="Z89" s="8">
        <v>51.134396575514799</v>
      </c>
      <c r="AA89" s="106">
        <f t="shared" si="14"/>
        <v>8.4000840009679223E-4</v>
      </c>
      <c r="AB89" s="8">
        <v>-2.1927037999999999E-2</v>
      </c>
      <c r="AC89" s="107">
        <f t="shared" si="15"/>
        <v>-1.4952138789244467E-2</v>
      </c>
    </row>
    <row r="90" spans="14:29" x14ac:dyDescent="0.45">
      <c r="N90" s="8">
        <v>7.3550544304753096</v>
      </c>
      <c r="O90" s="100">
        <f t="shared" si="8"/>
        <v>8.500085000893165E-4</v>
      </c>
      <c r="P90" s="8">
        <v>-1.2875030000000001E-2</v>
      </c>
      <c r="Q90" s="98">
        <f t="shared" si="9"/>
        <v>-9.8867391774733505E-3</v>
      </c>
      <c r="R90" s="8">
        <v>17.603656153180498</v>
      </c>
      <c r="S90" s="102">
        <f t="shared" si="10"/>
        <v>8.5000850009819828E-4</v>
      </c>
      <c r="T90" s="8">
        <v>-2.3220181999999999E-2</v>
      </c>
      <c r="U90" s="101">
        <f t="shared" si="11"/>
        <v>-1.4696735443667912E-2</v>
      </c>
      <c r="V90" s="8">
        <v>41.956106048294501</v>
      </c>
      <c r="W90" s="103">
        <f t="shared" si="12"/>
        <v>8.50008500101751E-4</v>
      </c>
      <c r="X90" s="8">
        <v>-2.6129756000000001E-2</v>
      </c>
      <c r="Y90" s="104">
        <f t="shared" si="13"/>
        <v>-1.7669966619085889E-2</v>
      </c>
      <c r="Z90" s="8">
        <v>51.134406575614797</v>
      </c>
      <c r="AA90" s="106">
        <f t="shared" si="14"/>
        <v>8.5000850009464557E-4</v>
      </c>
      <c r="AB90" s="8">
        <v>-2.1603752E-2</v>
      </c>
      <c r="AC90" s="107">
        <f t="shared" si="15"/>
        <v>-1.4731688715658619E-2</v>
      </c>
    </row>
    <row r="91" spans="14:29" x14ac:dyDescent="0.45">
      <c r="N91" s="8">
        <v>7.3550644305753101</v>
      </c>
      <c r="O91" s="100">
        <f t="shared" si="8"/>
        <v>8.6000860008983437E-4</v>
      </c>
      <c r="P91" s="8">
        <v>-1.4491459999999999E-2</v>
      </c>
      <c r="Q91" s="98">
        <f t="shared" si="9"/>
        <v>-1.1127996231526291E-2</v>
      </c>
      <c r="R91" s="8">
        <v>17.6036661532805</v>
      </c>
      <c r="S91" s="102">
        <f t="shared" si="10"/>
        <v>8.6000860009960434E-4</v>
      </c>
      <c r="T91" s="8">
        <v>-1.6431175999999999E-2</v>
      </c>
      <c r="U91" s="101">
        <f t="shared" si="11"/>
        <v>-1.0399774071553167E-2</v>
      </c>
      <c r="V91" s="8">
        <v>41.956116048394499</v>
      </c>
      <c r="W91" s="103">
        <f t="shared" si="12"/>
        <v>8.6000860009960434E-4</v>
      </c>
      <c r="X91" s="8">
        <v>-2.1927037999999999E-2</v>
      </c>
      <c r="Y91" s="104">
        <f t="shared" si="13"/>
        <v>-1.4827923747754389E-2</v>
      </c>
      <c r="Z91" s="8">
        <v>51.134416575714802</v>
      </c>
      <c r="AA91" s="106">
        <f t="shared" si="14"/>
        <v>8.6000860009960434E-4</v>
      </c>
      <c r="AB91" s="8">
        <v>-2.0957179999999999E-2</v>
      </c>
      <c r="AC91" s="107">
        <f t="shared" si="15"/>
        <v>-1.4290788568486923E-2</v>
      </c>
    </row>
    <row r="92" spans="14:29" x14ac:dyDescent="0.45">
      <c r="N92" s="8">
        <v>7.3550744306753097</v>
      </c>
      <c r="O92" s="100">
        <f t="shared" si="8"/>
        <v>8.7000870008946407E-4</v>
      </c>
      <c r="P92" s="8">
        <v>-1.9987321999999998E-2</v>
      </c>
      <c r="Q92" s="98">
        <f t="shared" si="9"/>
        <v>-1.5348270215306293E-2</v>
      </c>
      <c r="R92" s="8">
        <v>17.603676153380501</v>
      </c>
      <c r="S92" s="102">
        <f t="shared" si="10"/>
        <v>8.7000870010101039E-4</v>
      </c>
      <c r="T92" s="8">
        <v>-2.4836612000000001E-2</v>
      </c>
      <c r="U92" s="101">
        <f t="shared" si="11"/>
        <v>-1.5719821484647616E-2</v>
      </c>
      <c r="V92" s="8">
        <v>41.956126048494497</v>
      </c>
      <c r="W92" s="103">
        <f t="shared" si="12"/>
        <v>8.7000870009745768E-4</v>
      </c>
      <c r="X92" s="8">
        <v>-1.8047606000000001E-2</v>
      </c>
      <c r="Y92" s="104">
        <f t="shared" si="13"/>
        <v>-1.220449955883301E-2</v>
      </c>
      <c r="Z92" s="8">
        <v>51.1344265758148</v>
      </c>
      <c r="AA92" s="106">
        <f t="shared" si="14"/>
        <v>8.7000870009745768E-4</v>
      </c>
      <c r="AB92" s="8">
        <v>-1.9987321999999998E-2</v>
      </c>
      <c r="AC92" s="107">
        <f t="shared" si="15"/>
        <v>-1.3629438347729377E-2</v>
      </c>
    </row>
    <row r="93" spans="14:29" x14ac:dyDescent="0.45">
      <c r="N93" s="8">
        <v>7.3550844307753103</v>
      </c>
      <c r="O93" s="100">
        <f t="shared" si="8"/>
        <v>8.8000880008998195E-4</v>
      </c>
      <c r="P93" s="8">
        <v>-2.0957179999999999E-2</v>
      </c>
      <c r="Q93" s="98">
        <f t="shared" si="9"/>
        <v>-1.6093024447738059E-2</v>
      </c>
      <c r="R93" s="8">
        <v>17.603686153480499</v>
      </c>
      <c r="S93" s="102">
        <f t="shared" si="10"/>
        <v>8.8000880009886373E-4</v>
      </c>
      <c r="T93" s="8">
        <v>-2.0633894E-2</v>
      </c>
      <c r="U93" s="101">
        <f t="shared" si="11"/>
        <v>-1.3059797778100391E-2</v>
      </c>
      <c r="V93" s="8">
        <v>41.956136048594502</v>
      </c>
      <c r="W93" s="103">
        <f t="shared" si="12"/>
        <v>8.8000880010241644E-4</v>
      </c>
      <c r="X93" s="8">
        <v>-2.7099614000000001E-2</v>
      </c>
      <c r="Y93" s="104">
        <f t="shared" si="13"/>
        <v>-1.8325822666316233E-2</v>
      </c>
      <c r="Z93" s="8">
        <v>51.134436575914798</v>
      </c>
      <c r="AA93" s="106">
        <f t="shared" si="14"/>
        <v>8.8000880009531102E-4</v>
      </c>
      <c r="AB93" s="8">
        <v>-2.6776327999999999E-2</v>
      </c>
      <c r="AC93" s="107">
        <f t="shared" si="15"/>
        <v>-1.8258889893032187E-2</v>
      </c>
    </row>
    <row r="94" spans="14:29" x14ac:dyDescent="0.45">
      <c r="N94" s="8">
        <v>7.3550944308753099</v>
      </c>
      <c r="O94" s="100">
        <f t="shared" si="8"/>
        <v>8.9000890008961164E-4</v>
      </c>
      <c r="P94" s="8">
        <v>-1.8694177999999999E-2</v>
      </c>
      <c r="Q94" s="98">
        <f t="shared" si="9"/>
        <v>-1.4355264572063939E-2</v>
      </c>
      <c r="R94" s="8">
        <v>17.603696153580501</v>
      </c>
      <c r="S94" s="102">
        <f t="shared" si="10"/>
        <v>8.9000890010026978E-4</v>
      </c>
      <c r="T94" s="8">
        <v>-2.2573610000000001E-2</v>
      </c>
      <c r="U94" s="101">
        <f t="shared" si="11"/>
        <v>-1.4287501027276033E-2</v>
      </c>
      <c r="V94" s="8">
        <v>41.956146048694499</v>
      </c>
      <c r="W94" s="103">
        <f t="shared" si="12"/>
        <v>8.9000890010026978E-4</v>
      </c>
      <c r="X94" s="8">
        <v>-2.8069472000000002E-2</v>
      </c>
      <c r="Y94" s="104">
        <f t="shared" si="13"/>
        <v>-1.8981678713546578E-2</v>
      </c>
      <c r="Z94" s="8">
        <v>51.134446576014803</v>
      </c>
      <c r="AA94" s="106">
        <f t="shared" si="14"/>
        <v>8.9000890010026978E-4</v>
      </c>
      <c r="AB94" s="8">
        <v>-2.8069472000000002E-2</v>
      </c>
      <c r="AC94" s="107">
        <f t="shared" si="15"/>
        <v>-1.9140690187375582E-2</v>
      </c>
    </row>
    <row r="95" spans="14:29" x14ac:dyDescent="0.45">
      <c r="N95" s="8">
        <v>7.3551044309753104</v>
      </c>
      <c r="O95" s="100">
        <f t="shared" si="8"/>
        <v>9.0000900009012952E-4</v>
      </c>
      <c r="P95" s="8">
        <v>-1.7724319999999998E-2</v>
      </c>
      <c r="Q95" s="98">
        <f t="shared" si="9"/>
        <v>-1.3610510339632174E-2</v>
      </c>
      <c r="R95" s="8">
        <v>17.603706153680498</v>
      </c>
      <c r="S95" s="102">
        <f t="shared" si="10"/>
        <v>9.0000900009812312E-4</v>
      </c>
      <c r="T95" s="8">
        <v>-2.7099614000000001E-2</v>
      </c>
      <c r="U95" s="101">
        <f t="shared" si="11"/>
        <v>-1.7152141942019198E-2</v>
      </c>
      <c r="V95" s="8">
        <v>41.956156048794497</v>
      </c>
      <c r="W95" s="103">
        <f t="shared" si="12"/>
        <v>9.0000900009812312E-4</v>
      </c>
      <c r="X95" s="8">
        <v>-2.6129756000000001E-2</v>
      </c>
      <c r="Y95" s="104">
        <f t="shared" si="13"/>
        <v>-1.7669966619085889E-2</v>
      </c>
      <c r="Z95" s="8">
        <v>51.1344565761148</v>
      </c>
      <c r="AA95" s="106">
        <f t="shared" si="14"/>
        <v>9.0000900009812312E-4</v>
      </c>
      <c r="AB95" s="8">
        <v>-3.0979046E-2</v>
      </c>
      <c r="AC95" s="107">
        <f t="shared" si="15"/>
        <v>-2.1124740849648212E-2</v>
      </c>
    </row>
    <row r="96" spans="14:29" x14ac:dyDescent="0.45">
      <c r="N96" s="8">
        <v>7.35511443107531</v>
      </c>
      <c r="O96" s="100">
        <f t="shared" si="8"/>
        <v>9.1000910008975922E-4</v>
      </c>
      <c r="P96" s="8">
        <v>-1.3521602000000001E-2</v>
      </c>
      <c r="Q96" s="98">
        <f t="shared" si="9"/>
        <v>-1.0383241999094527E-2</v>
      </c>
      <c r="R96" s="8">
        <v>17.6037161537805</v>
      </c>
      <c r="S96" s="102">
        <f t="shared" si="10"/>
        <v>9.1000910009952918E-4</v>
      </c>
      <c r="T96" s="8">
        <v>-2.6453042E-2</v>
      </c>
      <c r="U96" s="101">
        <f t="shared" si="11"/>
        <v>-1.6742907525627317E-2</v>
      </c>
      <c r="V96" s="8">
        <v>41.956166048894502</v>
      </c>
      <c r="W96" s="103">
        <f t="shared" si="12"/>
        <v>9.1000910010308189E-4</v>
      </c>
      <c r="X96" s="8">
        <v>-2.1927037999999999E-2</v>
      </c>
      <c r="Y96" s="104">
        <f t="shared" si="13"/>
        <v>-1.4827923747754389E-2</v>
      </c>
      <c r="Z96" s="8">
        <v>51.134466576214798</v>
      </c>
      <c r="AA96" s="106">
        <f t="shared" si="14"/>
        <v>9.1000910009597646E-4</v>
      </c>
      <c r="AB96" s="8">
        <v>-2.9685902E-2</v>
      </c>
      <c r="AC96" s="107">
        <f t="shared" si="15"/>
        <v>-2.024294055530482E-2</v>
      </c>
    </row>
    <row r="97" spans="14:29" x14ac:dyDescent="0.45">
      <c r="N97" s="8">
        <v>7.3551244311753097</v>
      </c>
      <c r="O97" s="100">
        <f t="shared" si="8"/>
        <v>9.2000920008938891E-4</v>
      </c>
      <c r="P97" s="8">
        <v>-1.3521602000000001E-2</v>
      </c>
      <c r="Q97" s="98">
        <f t="shared" si="9"/>
        <v>-1.0383241999094527E-2</v>
      </c>
      <c r="R97" s="8">
        <v>17.603726153880501</v>
      </c>
      <c r="S97" s="102">
        <f t="shared" si="10"/>
        <v>9.2000920010093523E-4</v>
      </c>
      <c r="T97" s="8">
        <v>-2.3543468000000001E-2</v>
      </c>
      <c r="U97" s="101">
        <f t="shared" si="11"/>
        <v>-1.4901352651863854E-2</v>
      </c>
      <c r="V97" s="8">
        <v>41.9561760489945</v>
      </c>
      <c r="W97" s="103">
        <f t="shared" si="12"/>
        <v>9.2000920010093523E-4</v>
      </c>
      <c r="X97" s="8">
        <v>-3.3565334000000002E-2</v>
      </c>
      <c r="Y97" s="104">
        <f t="shared" si="13"/>
        <v>-2.2698196314518537E-2</v>
      </c>
      <c r="Z97" s="8">
        <v>51.134476576314803</v>
      </c>
      <c r="AA97" s="106">
        <f t="shared" si="14"/>
        <v>9.2000920010093523E-4</v>
      </c>
      <c r="AB97" s="8">
        <v>-3.0009187999999999E-2</v>
      </c>
      <c r="AC97" s="107">
        <f t="shared" si="15"/>
        <v>-2.046339062889067E-2</v>
      </c>
    </row>
    <row r="98" spans="14:29" x14ac:dyDescent="0.45">
      <c r="N98" s="8">
        <v>7.3551344312753102</v>
      </c>
      <c r="O98" s="100">
        <f t="shared" si="8"/>
        <v>9.3000930008990679E-4</v>
      </c>
      <c r="P98" s="8">
        <v>-1.610789E-2</v>
      </c>
      <c r="Q98" s="98">
        <f t="shared" si="9"/>
        <v>-1.2369253285579232E-2</v>
      </c>
      <c r="R98" s="8">
        <v>17.603736153980499</v>
      </c>
      <c r="S98" s="102">
        <f t="shared" si="10"/>
        <v>9.3000930009878857E-4</v>
      </c>
      <c r="T98" s="8">
        <v>-2.3543468000000001E-2</v>
      </c>
      <c r="U98" s="101">
        <f t="shared" si="11"/>
        <v>-1.4901352651863854E-2</v>
      </c>
      <c r="V98" s="8">
        <v>41.956186049094498</v>
      </c>
      <c r="W98" s="103">
        <f t="shared" si="12"/>
        <v>9.3000930009878857E-4</v>
      </c>
      <c r="X98" s="8">
        <v>-3.0009187999999999E-2</v>
      </c>
      <c r="Y98" s="104">
        <f t="shared" si="13"/>
        <v>-2.0293390808007267E-2</v>
      </c>
      <c r="Z98" s="8">
        <v>51.134486576414801</v>
      </c>
      <c r="AA98" s="106">
        <f t="shared" si="14"/>
        <v>9.3000930009878857E-4</v>
      </c>
      <c r="AB98" s="8">
        <v>-3.1625618000000001E-2</v>
      </c>
      <c r="AC98" s="107">
        <f t="shared" si="15"/>
        <v>-2.1565640996819912E-2</v>
      </c>
    </row>
    <row r="99" spans="14:29" x14ac:dyDescent="0.45">
      <c r="N99" s="8">
        <v>7.3551444313753098</v>
      </c>
      <c r="O99" s="100">
        <f t="shared" si="8"/>
        <v>9.4000940008953648E-4</v>
      </c>
      <c r="P99" s="8">
        <v>-1.610789E-2</v>
      </c>
      <c r="Q99" s="98">
        <f t="shared" si="9"/>
        <v>-1.2369253285579232E-2</v>
      </c>
      <c r="R99" s="8">
        <v>17.6037461540805</v>
      </c>
      <c r="S99" s="102">
        <f t="shared" si="10"/>
        <v>9.4000940010019463E-4</v>
      </c>
      <c r="T99" s="8">
        <v>-2.5806470000000001E-2</v>
      </c>
      <c r="U99" s="101">
        <f t="shared" si="11"/>
        <v>-1.6333673109235437E-2</v>
      </c>
      <c r="V99" s="8">
        <v>41.956196049194503</v>
      </c>
      <c r="W99" s="103">
        <f t="shared" si="12"/>
        <v>9.4000940010374734E-4</v>
      </c>
      <c r="X99" s="8">
        <v>-2.1280466000000001E-2</v>
      </c>
      <c r="Y99" s="104">
        <f t="shared" si="13"/>
        <v>-1.4390686382934162E-2</v>
      </c>
      <c r="Z99" s="8">
        <v>51.134496576514799</v>
      </c>
      <c r="AA99" s="106">
        <f t="shared" si="14"/>
        <v>9.4000940009664191E-4</v>
      </c>
      <c r="AB99" s="8">
        <v>-2.5159898E-2</v>
      </c>
      <c r="AC99" s="107">
        <f t="shared" si="15"/>
        <v>-1.7156639525102949E-2</v>
      </c>
    </row>
    <row r="100" spans="14:29" x14ac:dyDescent="0.45">
      <c r="N100" s="8">
        <v>7.3551544314753201</v>
      </c>
      <c r="O100" s="100">
        <f t="shared" si="8"/>
        <v>9.5000950009982432E-4</v>
      </c>
      <c r="P100" s="8">
        <v>-1.8047606000000001E-2</v>
      </c>
      <c r="Q100" s="98">
        <f t="shared" si="9"/>
        <v>-1.3858761750442764E-2</v>
      </c>
      <c r="R100" s="8">
        <v>17.603756154180498</v>
      </c>
      <c r="S100" s="102">
        <f t="shared" si="10"/>
        <v>9.5000950009804797E-4</v>
      </c>
      <c r="T100" s="8">
        <v>-3.0655760000000001E-2</v>
      </c>
      <c r="U100" s="101">
        <f t="shared" si="11"/>
        <v>-1.9402931232174542E-2</v>
      </c>
      <c r="V100" s="8">
        <v>41.956206049294501</v>
      </c>
      <c r="W100" s="103">
        <f t="shared" si="12"/>
        <v>9.5000950010160068E-4</v>
      </c>
      <c r="X100" s="8">
        <v>-2.5483183999999999E-2</v>
      </c>
      <c r="Y100" s="104">
        <f t="shared" si="13"/>
        <v>-1.7232729254265656E-2</v>
      </c>
      <c r="Z100" s="8">
        <v>51.134506576614797</v>
      </c>
      <c r="AA100" s="106">
        <f t="shared" si="14"/>
        <v>9.5000950009449525E-4</v>
      </c>
      <c r="AB100" s="8">
        <v>-3.2918761999999997E-2</v>
      </c>
      <c r="AC100" s="107">
        <f t="shared" si="15"/>
        <v>-2.24474412911633E-2</v>
      </c>
    </row>
    <row r="101" spans="14:29" x14ac:dyDescent="0.45">
      <c r="N101" s="8">
        <v>7.3551644315753197</v>
      </c>
      <c r="O101" s="100">
        <f t="shared" si="8"/>
        <v>9.6000960009945402E-4</v>
      </c>
      <c r="P101" s="8">
        <v>-1.6754462000000001E-2</v>
      </c>
      <c r="Q101" s="98">
        <f t="shared" si="9"/>
        <v>-1.2865756107200411E-2</v>
      </c>
      <c r="R101" s="8">
        <v>17.6037661542805</v>
      </c>
      <c r="S101" s="102">
        <f t="shared" si="10"/>
        <v>9.6000960009945402E-4</v>
      </c>
      <c r="T101" s="8">
        <v>-2.4836612000000001E-2</v>
      </c>
      <c r="U101" s="101">
        <f t="shared" si="11"/>
        <v>-1.5719821484647616E-2</v>
      </c>
      <c r="V101" s="8">
        <v>41.956216049394499</v>
      </c>
      <c r="W101" s="103">
        <f t="shared" si="12"/>
        <v>9.6000960009945402E-4</v>
      </c>
      <c r="X101" s="8">
        <v>-3.0332474000000002E-2</v>
      </c>
      <c r="Y101" s="104">
        <f t="shared" si="13"/>
        <v>-2.0512009490417385E-2</v>
      </c>
      <c r="Z101" s="8">
        <v>51.134516576714802</v>
      </c>
      <c r="AA101" s="106">
        <f t="shared" si="14"/>
        <v>9.6000960009945402E-4</v>
      </c>
      <c r="AB101" s="8">
        <v>-3.0979046E-2</v>
      </c>
      <c r="AC101" s="107">
        <f t="shared" si="15"/>
        <v>-2.1124740849648212E-2</v>
      </c>
    </row>
    <row r="102" spans="14:29" x14ac:dyDescent="0.45">
      <c r="N102" s="8">
        <v>7.3551744316753203</v>
      </c>
      <c r="O102" s="100">
        <f t="shared" si="8"/>
        <v>9.7000970009997189E-4</v>
      </c>
      <c r="P102" s="8">
        <v>-1.7724319999999998E-2</v>
      </c>
      <c r="Q102" s="98">
        <f t="shared" si="9"/>
        <v>-1.3610510339632174E-2</v>
      </c>
      <c r="R102" s="8">
        <v>17.603776154380501</v>
      </c>
      <c r="S102" s="102">
        <f t="shared" si="10"/>
        <v>9.7000970010086007E-4</v>
      </c>
      <c r="T102" s="8">
        <v>-2.0633894E-2</v>
      </c>
      <c r="U102" s="101">
        <f t="shared" si="11"/>
        <v>-1.3059797778100391E-2</v>
      </c>
      <c r="V102" s="8">
        <v>41.956226049494497</v>
      </c>
      <c r="W102" s="103">
        <f t="shared" si="12"/>
        <v>9.7000970009730736E-4</v>
      </c>
      <c r="X102" s="8">
        <v>-2.8716044E-2</v>
      </c>
      <c r="Y102" s="104">
        <f t="shared" si="13"/>
        <v>-1.9418916078366807E-2</v>
      </c>
      <c r="Z102" s="8">
        <v>51.1345265768148</v>
      </c>
      <c r="AA102" s="106">
        <f t="shared" si="14"/>
        <v>9.7000970009730736E-4</v>
      </c>
      <c r="AB102" s="8">
        <v>-2.6129756000000001E-2</v>
      </c>
      <c r="AC102" s="107">
        <f t="shared" si="15"/>
        <v>-1.7817989745860494E-2</v>
      </c>
    </row>
    <row r="103" spans="14:29" x14ac:dyDescent="0.45">
      <c r="N103" s="8">
        <v>7.3551844317753199</v>
      </c>
      <c r="O103" s="100">
        <f t="shared" si="8"/>
        <v>9.8000980009960159E-4</v>
      </c>
      <c r="P103" s="8">
        <v>-2.2896896E-2</v>
      </c>
      <c r="Q103" s="98">
        <f t="shared" si="9"/>
        <v>-1.7582532912601589E-2</v>
      </c>
      <c r="R103" s="8">
        <v>17.603786154480499</v>
      </c>
      <c r="S103" s="102">
        <f t="shared" si="10"/>
        <v>9.8000980009871341E-4</v>
      </c>
      <c r="T103" s="8">
        <v>-2.2896896E-2</v>
      </c>
      <c r="U103" s="101">
        <f t="shared" si="11"/>
        <v>-1.4492118235471974E-2</v>
      </c>
      <c r="V103" s="8">
        <v>41.956236049594501</v>
      </c>
      <c r="W103" s="103">
        <f t="shared" si="12"/>
        <v>9.8000980010226613E-4</v>
      </c>
      <c r="X103" s="8">
        <v>-2.0310608000000001E-2</v>
      </c>
      <c r="Y103" s="104">
        <f t="shared" si="13"/>
        <v>-1.3734830335703815E-2</v>
      </c>
      <c r="Z103" s="8">
        <v>51.134536576914797</v>
      </c>
      <c r="AA103" s="106">
        <f t="shared" si="14"/>
        <v>9.800098000951607E-4</v>
      </c>
      <c r="AB103" s="8">
        <v>-3.0332474000000002E-2</v>
      </c>
      <c r="AC103" s="107">
        <f t="shared" si="15"/>
        <v>-2.068384070247652E-2</v>
      </c>
    </row>
    <row r="104" spans="14:29" x14ac:dyDescent="0.45">
      <c r="N104" s="8">
        <v>7.3551944318753204</v>
      </c>
      <c r="O104" s="100">
        <f t="shared" si="8"/>
        <v>9.9000990010011947E-4</v>
      </c>
      <c r="P104" s="8">
        <v>-1.8047606000000001E-2</v>
      </c>
      <c r="Q104" s="98">
        <f t="shared" si="9"/>
        <v>-1.3858761750442764E-2</v>
      </c>
      <c r="R104" s="8">
        <v>17.6037961545805</v>
      </c>
      <c r="S104" s="102">
        <f t="shared" si="10"/>
        <v>9.9000990010011947E-4</v>
      </c>
      <c r="T104" s="8">
        <v>-2.6453042E-2</v>
      </c>
      <c r="U104" s="101">
        <f t="shared" si="11"/>
        <v>-1.6742907525627317E-2</v>
      </c>
      <c r="V104" s="8">
        <v>41.956246049694499</v>
      </c>
      <c r="W104" s="103">
        <f t="shared" si="12"/>
        <v>9.9000990010011947E-4</v>
      </c>
      <c r="X104" s="8">
        <v>-2.1927037999999999E-2</v>
      </c>
      <c r="Y104" s="104">
        <f t="shared" si="13"/>
        <v>-1.4827923747754389E-2</v>
      </c>
      <c r="Z104" s="8">
        <v>51.134546577014802</v>
      </c>
      <c r="AA104" s="106">
        <f t="shared" si="14"/>
        <v>9.9000990010011947E-4</v>
      </c>
      <c r="AB104" s="8">
        <v>-2.3866754E-2</v>
      </c>
      <c r="AC104" s="107">
        <f t="shared" si="15"/>
        <v>-1.6274839230759557E-2</v>
      </c>
    </row>
    <row r="105" spans="14:29" x14ac:dyDescent="0.45">
      <c r="N105" s="8">
        <v>7.35520443197532</v>
      </c>
      <c r="O105" s="100">
        <f t="shared" si="8"/>
        <v>1.0000100000997492E-3</v>
      </c>
      <c r="P105" s="8">
        <v>-2.5159898E-2</v>
      </c>
      <c r="Q105" s="98">
        <f t="shared" si="9"/>
        <v>-1.9320292788275708E-2</v>
      </c>
      <c r="R105" s="8">
        <v>17.603806154680498</v>
      </c>
      <c r="S105" s="102">
        <f t="shared" si="10"/>
        <v>1.0000100000979728E-3</v>
      </c>
      <c r="T105" s="8">
        <v>-2.7746185999999999E-2</v>
      </c>
      <c r="U105" s="101">
        <f t="shared" si="11"/>
        <v>-1.7561376358411075E-2</v>
      </c>
      <c r="V105" s="8">
        <v>41.956256049794497</v>
      </c>
      <c r="W105" s="103">
        <f t="shared" si="12"/>
        <v>1.0000100000979728E-3</v>
      </c>
      <c r="X105" s="8">
        <v>-2.74229E-2</v>
      </c>
      <c r="Y105" s="104">
        <f t="shared" si="13"/>
        <v>-1.8544441348726348E-2</v>
      </c>
      <c r="Z105" s="8">
        <v>51.1345565771148</v>
      </c>
      <c r="AA105" s="106">
        <f t="shared" si="14"/>
        <v>1.0000100000979728E-3</v>
      </c>
      <c r="AB105" s="8">
        <v>-2.3866754E-2</v>
      </c>
      <c r="AC105" s="107">
        <f t="shared" si="15"/>
        <v>-1.6274839230759557E-2</v>
      </c>
    </row>
    <row r="106" spans="14:29" x14ac:dyDescent="0.45">
      <c r="N106" s="8">
        <v>7.3552144320753197</v>
      </c>
      <c r="O106" s="100">
        <f t="shared" si="8"/>
        <v>1.0100101000993789E-3</v>
      </c>
      <c r="P106" s="8">
        <v>-1.8370892E-2</v>
      </c>
      <c r="Q106" s="98">
        <f t="shared" si="9"/>
        <v>-1.4107013161253351E-2</v>
      </c>
      <c r="R106" s="8">
        <v>17.6038161547805</v>
      </c>
      <c r="S106" s="102">
        <f t="shared" si="10"/>
        <v>1.0100101000993789E-3</v>
      </c>
      <c r="T106" s="8">
        <v>-2.7746185999999999E-2</v>
      </c>
      <c r="U106" s="101">
        <f t="shared" si="11"/>
        <v>-1.7561376358411075E-2</v>
      </c>
      <c r="V106" s="8">
        <v>41.956266049894502</v>
      </c>
      <c r="W106" s="103">
        <f t="shared" si="12"/>
        <v>1.0100101001029316E-3</v>
      </c>
      <c r="X106" s="8">
        <v>-2.5159898E-2</v>
      </c>
      <c r="Y106" s="104">
        <f t="shared" si="13"/>
        <v>-1.7014110571855541E-2</v>
      </c>
      <c r="Z106" s="8">
        <v>51.134566577214798</v>
      </c>
      <c r="AA106" s="106">
        <f t="shared" si="14"/>
        <v>1.0100101000958261E-3</v>
      </c>
      <c r="AB106" s="8">
        <v>-1.6754462000000001E-2</v>
      </c>
      <c r="AC106" s="107">
        <f t="shared" si="15"/>
        <v>-1.1424937611870899E-2</v>
      </c>
    </row>
    <row r="107" spans="14:29" x14ac:dyDescent="0.45">
      <c r="N107" s="8">
        <v>7.3552244321753202</v>
      </c>
      <c r="O107" s="100">
        <f t="shared" si="8"/>
        <v>1.0200102000998967E-3</v>
      </c>
      <c r="P107" s="8">
        <v>-2.5806470000000001E-2</v>
      </c>
      <c r="Q107" s="98">
        <f t="shared" si="9"/>
        <v>-1.9816795609896885E-2</v>
      </c>
      <c r="R107" s="8">
        <v>17.603826154880501</v>
      </c>
      <c r="S107" s="102">
        <f t="shared" si="10"/>
        <v>1.0200102001007849E-3</v>
      </c>
      <c r="T107" s="8">
        <v>-2.8716044E-2</v>
      </c>
      <c r="U107" s="101">
        <f t="shared" si="11"/>
        <v>-1.81752279829989E-2</v>
      </c>
      <c r="V107" s="8">
        <v>41.9562760499945</v>
      </c>
      <c r="W107" s="103">
        <f t="shared" si="12"/>
        <v>1.0200102001007849E-3</v>
      </c>
      <c r="X107" s="8">
        <v>-2.3220181999999999E-2</v>
      </c>
      <c r="Y107" s="104">
        <f t="shared" si="13"/>
        <v>-1.5702398477394849E-2</v>
      </c>
      <c r="Z107" s="8">
        <v>51.134576577314803</v>
      </c>
      <c r="AA107" s="106">
        <f t="shared" si="14"/>
        <v>1.0200102001007849E-3</v>
      </c>
      <c r="AB107" s="8">
        <v>-8.6723119999999997E-3</v>
      </c>
      <c r="AC107" s="107">
        <f t="shared" si="15"/>
        <v>-5.9136857722246966E-3</v>
      </c>
    </row>
    <row r="108" spans="14:29" x14ac:dyDescent="0.45">
      <c r="N108" s="8">
        <v>7.3552344322753198</v>
      </c>
      <c r="O108" s="100">
        <f t="shared" si="8"/>
        <v>1.0300103000995264E-3</v>
      </c>
      <c r="P108" s="8">
        <v>-2.0957179999999999E-2</v>
      </c>
      <c r="Q108" s="98">
        <f t="shared" si="9"/>
        <v>-1.6093024447738059E-2</v>
      </c>
      <c r="R108" s="8">
        <v>17.603836154980598</v>
      </c>
      <c r="S108" s="102">
        <f t="shared" si="10"/>
        <v>1.0300103001981142E-3</v>
      </c>
      <c r="T108" s="8">
        <v>-2.5483183999999999E-2</v>
      </c>
      <c r="U108" s="101">
        <f t="shared" si="11"/>
        <v>-1.6129055901039496E-2</v>
      </c>
      <c r="V108" s="8">
        <v>41.956286050094498</v>
      </c>
      <c r="W108" s="103">
        <f t="shared" si="12"/>
        <v>1.0300103000986383E-3</v>
      </c>
      <c r="X108" s="8">
        <v>-2.4513325999999998E-2</v>
      </c>
      <c r="Y108" s="104">
        <f t="shared" si="13"/>
        <v>-1.6576873207035311E-2</v>
      </c>
      <c r="Z108" s="8">
        <v>51.134586577414801</v>
      </c>
      <c r="AA108" s="106">
        <f t="shared" si="14"/>
        <v>1.0300103000986383E-3</v>
      </c>
      <c r="AB108" s="8">
        <v>-1.5600200000000001E-3</v>
      </c>
      <c r="AC108" s="107">
        <f t="shared" si="15"/>
        <v>-1.0637841533360391E-3</v>
      </c>
    </row>
    <row r="109" spans="14:29" x14ac:dyDescent="0.45">
      <c r="N109" s="8">
        <v>7.3552444323753203</v>
      </c>
      <c r="O109" s="100">
        <f t="shared" si="8"/>
        <v>1.0400104001000443E-3</v>
      </c>
      <c r="P109" s="8">
        <v>-2.5806470000000001E-2</v>
      </c>
      <c r="Q109" s="98">
        <f t="shared" si="9"/>
        <v>-1.9816795609896885E-2</v>
      </c>
      <c r="R109" s="8">
        <v>17.6038461550806</v>
      </c>
      <c r="S109" s="102">
        <f t="shared" si="10"/>
        <v>1.0400104001995203E-3</v>
      </c>
      <c r="T109" s="8">
        <v>-3.0332474000000002E-2</v>
      </c>
      <c r="U109" s="101">
        <f t="shared" si="11"/>
        <v>-1.9198314023978601E-2</v>
      </c>
      <c r="V109" s="8">
        <v>41.956296050194503</v>
      </c>
      <c r="W109" s="103">
        <f t="shared" si="12"/>
        <v>1.040010400103597E-3</v>
      </c>
      <c r="X109" s="8">
        <v>-2.5483183999999999E-2</v>
      </c>
      <c r="Y109" s="104">
        <f t="shared" si="13"/>
        <v>-1.7232729254265656E-2</v>
      </c>
      <c r="Z109" s="8">
        <v>51.134596577514799</v>
      </c>
      <c r="AA109" s="106">
        <f t="shared" si="14"/>
        <v>1.0400104000964916E-3</v>
      </c>
      <c r="AB109" s="8">
        <v>3.7969600000000098E-4</v>
      </c>
      <c r="AC109" s="107">
        <f t="shared" si="15"/>
        <v>2.5891628817905011E-4</v>
      </c>
    </row>
    <row r="110" spans="14:29" x14ac:dyDescent="0.45">
      <c r="N110" s="8">
        <v>7.3552544324753297</v>
      </c>
      <c r="O110" s="100">
        <f t="shared" si="8"/>
        <v>1.050010500109444E-3</v>
      </c>
      <c r="P110" s="8">
        <v>-2.74229E-2</v>
      </c>
      <c r="Q110" s="98">
        <f t="shared" si="9"/>
        <v>-2.1058052663949826E-2</v>
      </c>
      <c r="R110" s="8">
        <v>17.603856155180601</v>
      </c>
      <c r="S110" s="102">
        <f t="shared" si="10"/>
        <v>1.0500105002009263E-3</v>
      </c>
      <c r="T110" s="8">
        <v>-2.5806470000000001E-2</v>
      </c>
      <c r="U110" s="101">
        <f t="shared" si="11"/>
        <v>-1.6333673109235437E-2</v>
      </c>
      <c r="V110" s="8">
        <v>41.956306050294501</v>
      </c>
      <c r="W110" s="103">
        <f t="shared" si="12"/>
        <v>1.0500105001014504E-3</v>
      </c>
      <c r="X110" s="8">
        <v>-2.4513325999999998E-2</v>
      </c>
      <c r="Y110" s="104">
        <f t="shared" si="13"/>
        <v>-1.6576873207035311E-2</v>
      </c>
      <c r="Z110" s="8">
        <v>51.134606577614797</v>
      </c>
      <c r="AA110" s="106">
        <f t="shared" si="14"/>
        <v>1.0500105000943449E-3</v>
      </c>
      <c r="AB110" s="8">
        <v>6.5221300000000001E-3</v>
      </c>
      <c r="AC110" s="107">
        <f t="shared" si="15"/>
        <v>4.4474676863101624E-3</v>
      </c>
    </row>
    <row r="111" spans="14:29" x14ac:dyDescent="0.45">
      <c r="N111" s="8">
        <v>7.3552644325753302</v>
      </c>
      <c r="O111" s="100">
        <f t="shared" si="8"/>
        <v>1.0600106001099618E-3</v>
      </c>
      <c r="P111" s="8">
        <v>-2.8069472000000002E-2</v>
      </c>
      <c r="Q111" s="98">
        <f t="shared" si="9"/>
        <v>-2.1554555485571003E-2</v>
      </c>
      <c r="R111" s="8">
        <v>17.603866155280599</v>
      </c>
      <c r="S111" s="102">
        <f t="shared" si="10"/>
        <v>1.0600106001987797E-3</v>
      </c>
      <c r="T111" s="8">
        <v>-2.6776327999999999E-2</v>
      </c>
      <c r="U111" s="101">
        <f t="shared" si="11"/>
        <v>-1.6947524733823254E-2</v>
      </c>
      <c r="V111" s="8">
        <v>41.956316050394499</v>
      </c>
      <c r="W111" s="103">
        <f t="shared" si="12"/>
        <v>1.0600106000993037E-3</v>
      </c>
      <c r="X111" s="8">
        <v>-2.3866754E-2</v>
      </c>
      <c r="Y111" s="104">
        <f t="shared" si="13"/>
        <v>-1.6139635842215082E-2</v>
      </c>
      <c r="Z111" s="8">
        <v>51.134616577714802</v>
      </c>
      <c r="AA111" s="106">
        <f t="shared" si="14"/>
        <v>1.0600106000993037E-3</v>
      </c>
      <c r="AB111" s="8">
        <v>7.1687019999999999E-3</v>
      </c>
      <c r="AC111" s="107">
        <f t="shared" si="15"/>
        <v>4.8883678334818584E-3</v>
      </c>
    </row>
    <row r="112" spans="14:29" x14ac:dyDescent="0.45">
      <c r="N112" s="8">
        <v>7.3552744326753299</v>
      </c>
      <c r="O112" s="100">
        <f t="shared" si="8"/>
        <v>1.0700107001095915E-3</v>
      </c>
      <c r="P112" s="8">
        <v>-2.4836612000000001E-2</v>
      </c>
      <c r="Q112" s="98">
        <f t="shared" si="9"/>
        <v>-1.907204137746512E-2</v>
      </c>
      <c r="R112" s="8">
        <v>17.6038761553806</v>
      </c>
      <c r="S112" s="102">
        <f t="shared" si="10"/>
        <v>1.0700107002001857E-3</v>
      </c>
      <c r="T112" s="8">
        <v>-2.6776327999999999E-2</v>
      </c>
      <c r="U112" s="101">
        <f t="shared" si="11"/>
        <v>-1.6947524733823254E-2</v>
      </c>
      <c r="V112" s="8">
        <v>41.956326050494503</v>
      </c>
      <c r="W112" s="103">
        <f t="shared" si="12"/>
        <v>1.0700107001042625E-3</v>
      </c>
      <c r="X112" s="8">
        <v>-1.9664035999999999E-2</v>
      </c>
      <c r="Y112" s="104">
        <f t="shared" si="13"/>
        <v>-1.3297592970883584E-2</v>
      </c>
      <c r="Z112" s="8">
        <v>51.134626577814799</v>
      </c>
      <c r="AA112" s="106">
        <f t="shared" si="14"/>
        <v>1.070010700097157E-3</v>
      </c>
      <c r="AB112" s="8">
        <v>3.28927E-3</v>
      </c>
      <c r="AC112" s="107">
        <f t="shared" si="15"/>
        <v>2.2429669504516821E-3</v>
      </c>
    </row>
    <row r="113" spans="14:29" x14ac:dyDescent="0.45">
      <c r="N113" s="8">
        <v>7.3552844327753304</v>
      </c>
      <c r="O113" s="100">
        <f t="shared" si="8"/>
        <v>1.0800108001101094E-3</v>
      </c>
      <c r="P113" s="8">
        <v>-2.9039329999999999E-2</v>
      </c>
      <c r="Q113" s="98">
        <f t="shared" si="9"/>
        <v>-2.2299309718002765E-2</v>
      </c>
      <c r="R113" s="8">
        <v>17.603886155480598</v>
      </c>
      <c r="S113" s="102">
        <f t="shared" si="10"/>
        <v>1.0800108001980391E-3</v>
      </c>
      <c r="T113" s="8">
        <v>-2.2250323999999998E-2</v>
      </c>
      <c r="U113" s="101">
        <f t="shared" si="11"/>
        <v>-1.4082883819080091E-2</v>
      </c>
      <c r="V113" s="8">
        <v>41.956336050594501</v>
      </c>
      <c r="W113" s="103">
        <f t="shared" si="12"/>
        <v>1.0800108001021158E-3</v>
      </c>
      <c r="X113" s="8">
        <v>-4.1463079999999996E-3</v>
      </c>
      <c r="Y113" s="104">
        <f t="shared" si="13"/>
        <v>-2.8038962151980583E-3</v>
      </c>
      <c r="Z113" s="8">
        <v>51.134636577914797</v>
      </c>
      <c r="AA113" s="106">
        <f t="shared" si="14"/>
        <v>1.0800108000950104E-3</v>
      </c>
      <c r="AB113" s="8">
        <v>-5.1161660000000001E-3</v>
      </c>
      <c r="AC113" s="107">
        <f t="shared" si="15"/>
        <v>-3.4887349627803679E-3</v>
      </c>
    </row>
    <row r="114" spans="14:29" x14ac:dyDescent="0.45">
      <c r="N114" s="8">
        <v>7.35529443287533</v>
      </c>
      <c r="O114" s="100">
        <f t="shared" si="8"/>
        <v>1.0900109001097391E-3</v>
      </c>
      <c r="P114" s="8">
        <v>-2.7746185999999999E-2</v>
      </c>
      <c r="Q114" s="98">
        <f t="shared" si="9"/>
        <v>-2.1306304074760415E-2</v>
      </c>
      <c r="R114" s="8">
        <v>17.6038961555806</v>
      </c>
      <c r="S114" s="102">
        <f t="shared" si="10"/>
        <v>1.0900109001994451E-3</v>
      </c>
      <c r="T114" s="8">
        <v>-2.1280466000000001E-2</v>
      </c>
      <c r="U114" s="101">
        <f t="shared" si="11"/>
        <v>-1.3469032194492272E-2</v>
      </c>
      <c r="V114" s="8">
        <v>41.956346050694499</v>
      </c>
      <c r="W114" s="103">
        <f t="shared" si="12"/>
        <v>1.0900109000999691E-3</v>
      </c>
      <c r="X114" s="8">
        <v>-5.7627379999999999E-3</v>
      </c>
      <c r="Y114" s="104">
        <f t="shared" si="13"/>
        <v>-3.8969896272486341E-3</v>
      </c>
      <c r="Z114" s="8">
        <v>51.134646578014802</v>
      </c>
      <c r="AA114" s="106">
        <f t="shared" si="14"/>
        <v>1.0900109000999691E-3</v>
      </c>
      <c r="AB114" s="8">
        <v>-1.3521602000000001E-2</v>
      </c>
      <c r="AC114" s="107">
        <f t="shared" si="15"/>
        <v>-9.2204368760124174E-3</v>
      </c>
    </row>
    <row r="115" spans="14:29" x14ac:dyDescent="0.45">
      <c r="N115" s="8">
        <v>7.3553044329753297</v>
      </c>
      <c r="O115" s="100">
        <f t="shared" si="8"/>
        <v>1.1000110001093688E-3</v>
      </c>
      <c r="P115" s="8">
        <v>-1.8047606000000001E-2</v>
      </c>
      <c r="Q115" s="98">
        <f t="shared" si="9"/>
        <v>-1.3858761750442764E-2</v>
      </c>
      <c r="R115" s="8">
        <v>17.603906155680601</v>
      </c>
      <c r="S115" s="102">
        <f t="shared" si="10"/>
        <v>1.1000110002008512E-3</v>
      </c>
      <c r="T115" s="8">
        <v>-1.4491459999999999E-2</v>
      </c>
      <c r="U115" s="101">
        <f t="shared" si="11"/>
        <v>-9.1720708223775246E-3</v>
      </c>
      <c r="V115" s="8">
        <v>41.956356050794497</v>
      </c>
      <c r="W115" s="103">
        <f t="shared" si="12"/>
        <v>1.1000110000978225E-3</v>
      </c>
      <c r="X115" s="8">
        <v>2.6426980000000002E-3</v>
      </c>
      <c r="Y115" s="104">
        <f t="shared" si="13"/>
        <v>1.787096115414359E-3</v>
      </c>
      <c r="Z115" s="8">
        <v>51.1346565781148</v>
      </c>
      <c r="AA115" s="106">
        <f t="shared" si="14"/>
        <v>1.1000110000978225E-3</v>
      </c>
      <c r="AB115" s="8">
        <v>-1.4491459999999999E-2</v>
      </c>
      <c r="AC115" s="107">
        <f t="shared" si="15"/>
        <v>-9.8817870967699614E-3</v>
      </c>
    </row>
    <row r="116" spans="14:29" x14ac:dyDescent="0.45">
      <c r="N116" s="8">
        <v>7.3553144330753302</v>
      </c>
      <c r="O116" s="100">
        <f t="shared" si="8"/>
        <v>1.1100111001098867E-3</v>
      </c>
      <c r="P116" s="8">
        <v>-1.8370892E-2</v>
      </c>
      <c r="Q116" s="98">
        <f t="shared" si="9"/>
        <v>-1.4107013161253351E-2</v>
      </c>
      <c r="R116" s="8">
        <v>17.603916155780599</v>
      </c>
      <c r="S116" s="102">
        <f t="shared" si="10"/>
        <v>1.1100111001987045E-3</v>
      </c>
      <c r="T116" s="8">
        <v>-1.1905172E-2</v>
      </c>
      <c r="U116" s="101">
        <f t="shared" si="11"/>
        <v>-7.5351331568100036E-3</v>
      </c>
      <c r="V116" s="8">
        <v>41.956366050894502</v>
      </c>
      <c r="W116" s="103">
        <f t="shared" si="12"/>
        <v>1.1100111001027813E-3</v>
      </c>
      <c r="X116" s="8">
        <v>4.259128E-3</v>
      </c>
      <c r="Y116" s="104">
        <f t="shared" si="13"/>
        <v>2.8801895274649346E-3</v>
      </c>
      <c r="Z116" s="8">
        <v>51.134666578214798</v>
      </c>
      <c r="AA116" s="106">
        <f t="shared" si="14"/>
        <v>1.1100111000956758E-3</v>
      </c>
      <c r="AB116" s="8">
        <v>-1.8370892E-2</v>
      </c>
      <c r="AC116" s="107">
        <f t="shared" si="15"/>
        <v>-1.2527187979800139E-2</v>
      </c>
    </row>
    <row r="117" spans="14:29" x14ac:dyDescent="0.45">
      <c r="N117" s="8">
        <v>7.3553244331753298</v>
      </c>
      <c r="O117" s="100">
        <f t="shared" si="8"/>
        <v>1.1200112001095164E-3</v>
      </c>
      <c r="P117" s="8">
        <v>-1.1581886E-2</v>
      </c>
      <c r="Q117" s="98">
        <f t="shared" si="9"/>
        <v>-8.8937335342309954E-3</v>
      </c>
      <c r="R117" s="8">
        <v>17.6039261558806</v>
      </c>
      <c r="S117" s="102">
        <f t="shared" si="10"/>
        <v>1.1200112002001106E-3</v>
      </c>
      <c r="T117" s="8">
        <v>-1.3521602000000001E-2</v>
      </c>
      <c r="U117" s="101">
        <f t="shared" si="11"/>
        <v>-8.5582191977897053E-3</v>
      </c>
      <c r="V117" s="8">
        <v>41.9563760509945</v>
      </c>
      <c r="W117" s="103">
        <f t="shared" si="12"/>
        <v>1.1200112001006346E-3</v>
      </c>
      <c r="X117" s="8">
        <v>6.5221300000000001E-3</v>
      </c>
      <c r="Y117" s="104">
        <f t="shared" si="13"/>
        <v>4.41052030433574E-3</v>
      </c>
      <c r="Z117" s="8">
        <v>51.134676578314803</v>
      </c>
      <c r="AA117" s="106">
        <f t="shared" si="14"/>
        <v>1.1200112001006346E-3</v>
      </c>
      <c r="AB117" s="8">
        <v>-2.0633894E-2</v>
      </c>
      <c r="AC117" s="107">
        <f t="shared" si="15"/>
        <v>-1.4070338494901075E-2</v>
      </c>
    </row>
    <row r="118" spans="14:29" x14ac:dyDescent="0.45">
      <c r="N118" s="8">
        <v>7.3553344332753303</v>
      </c>
      <c r="O118" s="100">
        <f t="shared" si="8"/>
        <v>1.1300113001100343E-3</v>
      </c>
      <c r="P118" s="8">
        <v>-8.9955980000000005E-3</v>
      </c>
      <c r="Q118" s="98">
        <f t="shared" si="9"/>
        <v>-6.9077222477462903E-3</v>
      </c>
      <c r="R118" s="8">
        <v>17.603936155980598</v>
      </c>
      <c r="S118" s="102">
        <f t="shared" si="10"/>
        <v>1.1300113001979639E-3</v>
      </c>
      <c r="T118" s="8">
        <v>-1.4491459999999999E-2</v>
      </c>
      <c r="U118" s="101">
        <f t="shared" si="11"/>
        <v>-9.1720708223775246E-3</v>
      </c>
      <c r="V118" s="8">
        <v>41.956386051094498</v>
      </c>
      <c r="W118" s="103">
        <f t="shared" si="12"/>
        <v>1.1300113000984879E-3</v>
      </c>
      <c r="X118" s="8">
        <v>3.28927E-3</v>
      </c>
      <c r="Y118" s="104">
        <f t="shared" si="13"/>
        <v>2.2243334802345889E-3</v>
      </c>
      <c r="Z118" s="8">
        <v>51.134686578414801</v>
      </c>
      <c r="AA118" s="106">
        <f t="shared" si="14"/>
        <v>1.1300113000984879E-3</v>
      </c>
      <c r="AB118" s="8">
        <v>-2.3220181999999999E-2</v>
      </c>
      <c r="AC118" s="107">
        <f t="shared" si="15"/>
        <v>-1.5833939083587861E-2</v>
      </c>
    </row>
    <row r="119" spans="14:29" x14ac:dyDescent="0.45">
      <c r="N119" s="8">
        <v>7.3553444333753299</v>
      </c>
      <c r="O119" s="100">
        <f t="shared" si="8"/>
        <v>1.140011400109664E-3</v>
      </c>
      <c r="P119" s="8">
        <v>-1.0288742E-2</v>
      </c>
      <c r="Q119" s="98">
        <f t="shared" si="9"/>
        <v>-7.9007278909886437E-3</v>
      </c>
      <c r="R119" s="8">
        <v>17.6039461560806</v>
      </c>
      <c r="S119" s="102">
        <f t="shared" si="10"/>
        <v>1.14001140019937E-3</v>
      </c>
      <c r="T119" s="8">
        <v>-8.9955980000000005E-3</v>
      </c>
      <c r="U119" s="101">
        <f t="shared" si="11"/>
        <v>-5.6935782830465414E-3</v>
      </c>
      <c r="V119" s="8">
        <v>41.956396051194503</v>
      </c>
      <c r="W119" s="103">
        <f t="shared" si="12"/>
        <v>1.1400114001034467E-3</v>
      </c>
      <c r="X119" s="8">
        <v>3.7969600000000098E-4</v>
      </c>
      <c r="Y119" s="104">
        <f t="shared" si="13"/>
        <v>2.5676533854355365E-4</v>
      </c>
      <c r="Z119" s="8">
        <v>51.134696578514799</v>
      </c>
      <c r="AA119" s="106">
        <f t="shared" si="14"/>
        <v>1.1400114000963413E-3</v>
      </c>
      <c r="AB119" s="8">
        <v>-1.610789E-2</v>
      </c>
      <c r="AC119" s="107">
        <f t="shared" si="15"/>
        <v>-1.0984037464699201E-2</v>
      </c>
    </row>
    <row r="120" spans="14:29" x14ac:dyDescent="0.45">
      <c r="N120" s="8">
        <v>7.3553544334753402</v>
      </c>
      <c r="O120" s="100">
        <f t="shared" si="8"/>
        <v>1.1500115001199518E-3</v>
      </c>
      <c r="P120" s="8">
        <v>-9.9654559999999993E-3</v>
      </c>
      <c r="Q120" s="98">
        <f t="shared" si="9"/>
        <v>-7.6524764801780536E-3</v>
      </c>
      <c r="R120" s="8">
        <v>17.603956156180601</v>
      </c>
      <c r="S120" s="102">
        <f t="shared" si="10"/>
        <v>1.150011500200776E-3</v>
      </c>
      <c r="T120" s="8">
        <v>1.996126E-3</v>
      </c>
      <c r="U120" s="101">
        <f t="shared" si="11"/>
        <v>1.2634067956154287E-3</v>
      </c>
      <c r="V120" s="8">
        <v>41.956406051294501</v>
      </c>
      <c r="W120" s="103">
        <f t="shared" si="12"/>
        <v>1.1500115001013E-3</v>
      </c>
      <c r="X120" s="8">
        <v>-8.9955980000000005E-3</v>
      </c>
      <c r="Y120" s="104">
        <f t="shared" si="13"/>
        <v>-6.0831764513497857E-3</v>
      </c>
      <c r="Z120" s="8">
        <v>51.134706578614797</v>
      </c>
      <c r="AA120" s="106">
        <f t="shared" si="14"/>
        <v>1.1500115000941946E-3</v>
      </c>
      <c r="AB120" s="8">
        <v>-1.9017464000000001E-2</v>
      </c>
      <c r="AC120" s="107">
        <f t="shared" si="15"/>
        <v>-1.2968088126971835E-2</v>
      </c>
    </row>
    <row r="121" spans="14:29" x14ac:dyDescent="0.45">
      <c r="N121" s="8">
        <v>7.3553644335753399</v>
      </c>
      <c r="O121" s="100">
        <f t="shared" si="8"/>
        <v>1.1600116001195815E-3</v>
      </c>
      <c r="P121" s="8">
        <v>-6.4093099999999997E-3</v>
      </c>
      <c r="Q121" s="98">
        <f t="shared" si="9"/>
        <v>-4.9217109612615826E-3</v>
      </c>
      <c r="R121" s="8">
        <v>17.603966156280599</v>
      </c>
      <c r="S121" s="102">
        <f t="shared" si="10"/>
        <v>1.1600116001986294E-3</v>
      </c>
      <c r="T121" s="8">
        <v>-1.0612028000000001E-2</v>
      </c>
      <c r="U121" s="101">
        <f t="shared" si="11"/>
        <v>-6.7166643240262431E-3</v>
      </c>
      <c r="V121" s="8">
        <v>41.956416051394498</v>
      </c>
      <c r="W121" s="103">
        <f t="shared" si="12"/>
        <v>1.1600116000991534E-3</v>
      </c>
      <c r="X121" s="8">
        <v>-1.5784604000000001E-2</v>
      </c>
      <c r="Y121" s="104">
        <f t="shared" si="13"/>
        <v>-1.0674168781962203E-2</v>
      </c>
      <c r="Z121" s="8">
        <v>51.134716578714801</v>
      </c>
      <c r="AA121" s="106">
        <f t="shared" si="14"/>
        <v>1.1600116000991534E-3</v>
      </c>
      <c r="AB121" s="8">
        <v>-1.7724319999999998E-2</v>
      </c>
      <c r="AC121" s="107">
        <f t="shared" si="15"/>
        <v>-1.2086287832628441E-2</v>
      </c>
    </row>
    <row r="122" spans="14:29" x14ac:dyDescent="0.45">
      <c r="N122" s="8">
        <v>7.3553744336753404</v>
      </c>
      <c r="O122" s="100">
        <f t="shared" si="8"/>
        <v>1.1700117001200994E-3</v>
      </c>
      <c r="P122" s="8">
        <v>-1.1581886E-2</v>
      </c>
      <c r="Q122" s="98">
        <f t="shared" si="9"/>
        <v>-8.8937335342309954E-3</v>
      </c>
      <c r="R122" s="8">
        <v>17.6039761563806</v>
      </c>
      <c r="S122" s="102">
        <f t="shared" si="10"/>
        <v>1.1700117002000354E-3</v>
      </c>
      <c r="T122" s="8">
        <v>-8.3490260000000007E-3</v>
      </c>
      <c r="U122" s="101">
        <f t="shared" si="11"/>
        <v>-5.2843438666546607E-3</v>
      </c>
      <c r="V122" s="8">
        <v>41.956426051494503</v>
      </c>
      <c r="W122" s="103">
        <f t="shared" si="12"/>
        <v>1.1700117001041122E-3</v>
      </c>
      <c r="X122" s="8">
        <v>-2.2896896E-2</v>
      </c>
      <c r="Y122" s="104">
        <f t="shared" si="13"/>
        <v>-1.5483779794984736E-2</v>
      </c>
      <c r="Z122" s="8">
        <v>51.134726578814799</v>
      </c>
      <c r="AA122" s="106">
        <f t="shared" si="14"/>
        <v>1.1700117000970067E-3</v>
      </c>
      <c r="AB122" s="8">
        <v>-2.1280466000000001E-2</v>
      </c>
      <c r="AC122" s="107">
        <f t="shared" si="15"/>
        <v>-1.4511238642072773E-2</v>
      </c>
    </row>
    <row r="123" spans="14:29" x14ac:dyDescent="0.45">
      <c r="N123" s="8">
        <v>7.35538443377534</v>
      </c>
      <c r="O123" s="100">
        <f t="shared" si="8"/>
        <v>1.1800118001197291E-3</v>
      </c>
      <c r="P123" s="8">
        <v>-1.2228457999999999E-2</v>
      </c>
      <c r="Q123" s="98">
        <f t="shared" si="9"/>
        <v>-9.3902363558521721E-3</v>
      </c>
      <c r="R123" s="8">
        <v>17.603986156480602</v>
      </c>
      <c r="S123" s="102">
        <f t="shared" si="10"/>
        <v>1.1800118002014415E-3</v>
      </c>
      <c r="T123" s="8">
        <v>-1.3198316E-2</v>
      </c>
      <c r="U123" s="101">
        <f t="shared" si="11"/>
        <v>-8.353601989593765E-3</v>
      </c>
      <c r="V123" s="8">
        <v>41.956436051594501</v>
      </c>
      <c r="W123" s="103">
        <f t="shared" si="12"/>
        <v>1.1800118001019655E-3</v>
      </c>
      <c r="X123" s="8">
        <v>-3.0979046E-2</v>
      </c>
      <c r="Y123" s="104">
        <f t="shared" si="13"/>
        <v>-2.0949246855237615E-2</v>
      </c>
      <c r="Z123" s="8">
        <v>51.134736578914797</v>
      </c>
      <c r="AA123" s="106">
        <f t="shared" si="14"/>
        <v>1.1800118000948601E-3</v>
      </c>
      <c r="AB123" s="8">
        <v>-2.4513325999999998E-2</v>
      </c>
      <c r="AC123" s="107">
        <f t="shared" si="15"/>
        <v>-1.6715739377931253E-2</v>
      </c>
    </row>
    <row r="124" spans="14:29" x14ac:dyDescent="0.45">
      <c r="N124" s="8">
        <v>7.3553944338753396</v>
      </c>
      <c r="O124" s="100">
        <f t="shared" si="8"/>
        <v>1.1900119001193588E-3</v>
      </c>
      <c r="P124" s="8">
        <v>-1.5784604000000001E-2</v>
      </c>
      <c r="Q124" s="98">
        <f t="shared" si="9"/>
        <v>-1.2121001874768646E-2</v>
      </c>
      <c r="R124" s="8">
        <v>17.6039961565806</v>
      </c>
      <c r="S124" s="102">
        <f t="shared" si="10"/>
        <v>1.1900119001992948E-3</v>
      </c>
      <c r="T124" s="8">
        <v>-1.2875030000000001E-2</v>
      </c>
      <c r="U124" s="101">
        <f t="shared" si="11"/>
        <v>-8.1489847813978247E-3</v>
      </c>
      <c r="V124" s="8">
        <v>41.956446051694499</v>
      </c>
      <c r="W124" s="103">
        <f t="shared" si="12"/>
        <v>1.1900119000998188E-3</v>
      </c>
      <c r="X124" s="8">
        <v>-1.7077748E-2</v>
      </c>
      <c r="Y124" s="104">
        <f t="shared" si="13"/>
        <v>-1.1548643511602664E-2</v>
      </c>
      <c r="Z124" s="8">
        <v>51.134746579014802</v>
      </c>
      <c r="AA124" s="106">
        <f t="shared" si="14"/>
        <v>1.1900119000998188E-3</v>
      </c>
      <c r="AB124" s="8">
        <v>-1.9017464000000001E-2</v>
      </c>
      <c r="AC124" s="107">
        <f t="shared" si="15"/>
        <v>-1.2968088126971835E-2</v>
      </c>
    </row>
    <row r="125" spans="14:29" x14ac:dyDescent="0.45">
      <c r="N125" s="8">
        <v>7.3554044339753402</v>
      </c>
      <c r="O125" s="100">
        <f t="shared" si="8"/>
        <v>1.2000120001198766E-3</v>
      </c>
      <c r="P125" s="8">
        <v>-1.4168174E-2</v>
      </c>
      <c r="Q125" s="98">
        <f t="shared" si="9"/>
        <v>-1.0879744820715704E-2</v>
      </c>
      <c r="R125" s="8">
        <v>17.604006156680601</v>
      </c>
      <c r="S125" s="102">
        <f t="shared" si="10"/>
        <v>1.2000120002007009E-3</v>
      </c>
      <c r="T125" s="8">
        <v>-1.2551744E-2</v>
      </c>
      <c r="U125" s="101">
        <f t="shared" si="11"/>
        <v>-7.9443675732018843E-3</v>
      </c>
      <c r="V125" s="8">
        <v>41.956456051794497</v>
      </c>
      <c r="W125" s="103">
        <f t="shared" si="12"/>
        <v>1.2000120000976722E-3</v>
      </c>
      <c r="X125" s="8">
        <v>-1.0612028000000001E-2</v>
      </c>
      <c r="Y125" s="104">
        <f t="shared" si="13"/>
        <v>-7.1762698634003615E-3</v>
      </c>
      <c r="Z125" s="8">
        <v>51.1347565791148</v>
      </c>
      <c r="AA125" s="106">
        <f t="shared" si="14"/>
        <v>1.2000120000976722E-3</v>
      </c>
      <c r="AB125" s="8">
        <v>-1.9017464000000001E-2</v>
      </c>
      <c r="AC125" s="107">
        <f t="shared" si="15"/>
        <v>-1.2968088126971835E-2</v>
      </c>
    </row>
    <row r="126" spans="14:29" x14ac:dyDescent="0.45">
      <c r="N126" s="8">
        <v>7.3554144340753398</v>
      </c>
      <c r="O126" s="100">
        <f t="shared" si="8"/>
        <v>1.2100121001195063E-3</v>
      </c>
      <c r="P126" s="8">
        <v>-1.1905172E-2</v>
      </c>
      <c r="Q126" s="98">
        <f t="shared" si="9"/>
        <v>-9.1419849450415855E-3</v>
      </c>
      <c r="R126" s="8">
        <v>17.604016156780599</v>
      </c>
      <c r="S126" s="102">
        <f t="shared" si="10"/>
        <v>1.2100121001985542E-3</v>
      </c>
      <c r="T126" s="8">
        <v>-2.3220181999999999E-2</v>
      </c>
      <c r="U126" s="101">
        <f t="shared" si="11"/>
        <v>-1.4696735443667912E-2</v>
      </c>
      <c r="V126" s="8">
        <v>41.956466051894502</v>
      </c>
      <c r="W126" s="103">
        <f t="shared" si="12"/>
        <v>1.2100121001026309E-3</v>
      </c>
      <c r="X126" s="8">
        <v>-1.8370892E-2</v>
      </c>
      <c r="Y126" s="104">
        <f t="shared" si="13"/>
        <v>-1.2423118241243123E-2</v>
      </c>
      <c r="Z126" s="8">
        <v>51.134766579214798</v>
      </c>
      <c r="AA126" s="106">
        <f t="shared" si="14"/>
        <v>1.2100121000955255E-3</v>
      </c>
      <c r="AB126" s="8">
        <v>-2.2896896E-2</v>
      </c>
      <c r="AC126" s="107">
        <f t="shared" si="15"/>
        <v>-1.5613489010002011E-2</v>
      </c>
    </row>
    <row r="127" spans="14:29" x14ac:dyDescent="0.45">
      <c r="N127" s="8">
        <v>7.3554244341753403</v>
      </c>
      <c r="O127" s="100">
        <f t="shared" si="8"/>
        <v>1.2200122001200242E-3</v>
      </c>
      <c r="P127" s="8">
        <v>-1.4814746E-2</v>
      </c>
      <c r="Q127" s="98">
        <f t="shared" si="9"/>
        <v>-1.1376247642336881E-2</v>
      </c>
      <c r="R127" s="8">
        <v>17.6040261568806</v>
      </c>
      <c r="S127" s="102">
        <f t="shared" si="10"/>
        <v>1.2200122001999603E-3</v>
      </c>
      <c r="T127" s="8">
        <v>-2.1927037999999999E-2</v>
      </c>
      <c r="U127" s="101">
        <f t="shared" si="11"/>
        <v>-1.3878266610884153E-2</v>
      </c>
      <c r="V127" s="8">
        <v>41.9564760519945</v>
      </c>
      <c r="W127" s="103">
        <f t="shared" si="12"/>
        <v>1.2200122001004843E-3</v>
      </c>
      <c r="X127" s="8">
        <v>-2.1280466000000001E-2</v>
      </c>
      <c r="Y127" s="104">
        <f t="shared" si="13"/>
        <v>-1.4390686382934162E-2</v>
      </c>
      <c r="Z127" s="8">
        <v>51.134776579314803</v>
      </c>
      <c r="AA127" s="106">
        <f t="shared" si="14"/>
        <v>1.2200122001004843E-3</v>
      </c>
      <c r="AB127" s="8">
        <v>-2.2573610000000001E-2</v>
      </c>
      <c r="AC127" s="107">
        <f t="shared" si="15"/>
        <v>-1.5393038936416165E-2</v>
      </c>
    </row>
    <row r="128" spans="14:29" x14ac:dyDescent="0.45">
      <c r="N128" s="8">
        <v>7.3554344342753399</v>
      </c>
      <c r="O128" s="100">
        <f t="shared" si="8"/>
        <v>1.2300123001196539E-3</v>
      </c>
      <c r="P128" s="8">
        <v>-1.8694177999999999E-2</v>
      </c>
      <c r="Q128" s="98">
        <f t="shared" si="9"/>
        <v>-1.4355264572063939E-2</v>
      </c>
      <c r="R128" s="8">
        <v>17.604036156980602</v>
      </c>
      <c r="S128" s="102">
        <f t="shared" si="10"/>
        <v>1.2300123002013663E-3</v>
      </c>
      <c r="T128" s="8">
        <v>-2.3543468000000001E-2</v>
      </c>
      <c r="U128" s="101">
        <f t="shared" si="11"/>
        <v>-1.4901352651863854E-2</v>
      </c>
      <c r="V128" s="8">
        <v>41.956486052094498</v>
      </c>
      <c r="W128" s="103">
        <f t="shared" si="12"/>
        <v>1.2300123000983376E-3</v>
      </c>
      <c r="X128" s="8">
        <v>-1.0935314E-2</v>
      </c>
      <c r="Y128" s="104">
        <f t="shared" si="13"/>
        <v>-7.3948885458104763E-3</v>
      </c>
      <c r="Z128" s="8">
        <v>51.134786579414801</v>
      </c>
      <c r="AA128" s="106">
        <f t="shared" si="14"/>
        <v>1.2300123000983376E-3</v>
      </c>
      <c r="AB128" s="8">
        <v>-2.3866754E-2</v>
      </c>
      <c r="AC128" s="107">
        <f t="shared" si="15"/>
        <v>-1.6274839230759557E-2</v>
      </c>
    </row>
    <row r="129" spans="14:29" x14ac:dyDescent="0.45">
      <c r="N129" s="8">
        <v>7.3554444343753396</v>
      </c>
      <c r="O129" s="100">
        <f t="shared" si="8"/>
        <v>1.2400124001192836E-3</v>
      </c>
      <c r="P129" s="8">
        <v>-1.1258600000000001E-2</v>
      </c>
      <c r="Q129" s="98">
        <f t="shared" si="9"/>
        <v>-8.6454821234204088E-3</v>
      </c>
      <c r="R129" s="8">
        <v>17.604046157080599</v>
      </c>
      <c r="S129" s="102">
        <f t="shared" si="10"/>
        <v>1.2400124001992197E-3</v>
      </c>
      <c r="T129" s="8">
        <v>-2.0310608000000001E-2</v>
      </c>
      <c r="U129" s="101">
        <f t="shared" si="11"/>
        <v>-1.2855180569904451E-2</v>
      </c>
      <c r="V129" s="8">
        <v>41.956496052194503</v>
      </c>
      <c r="W129" s="103">
        <f t="shared" si="12"/>
        <v>1.2400124001032964E-3</v>
      </c>
      <c r="X129" s="8">
        <v>-1.0935314E-2</v>
      </c>
      <c r="Y129" s="104">
        <f t="shared" si="13"/>
        <v>-7.3948885458104763E-3</v>
      </c>
      <c r="Z129" s="8">
        <v>51.134796579514799</v>
      </c>
      <c r="AA129" s="106">
        <f t="shared" si="14"/>
        <v>1.240012400096191E-3</v>
      </c>
      <c r="AB129" s="8">
        <v>-1.7401033999999999E-2</v>
      </c>
      <c r="AC129" s="107">
        <f t="shared" si="15"/>
        <v>-1.1865837759042593E-2</v>
      </c>
    </row>
    <row r="130" spans="14:29" x14ac:dyDescent="0.45">
      <c r="N130" s="8">
        <v>7.3554544344753401</v>
      </c>
      <c r="O130" s="100">
        <f t="shared" si="8"/>
        <v>1.2500125001198015E-3</v>
      </c>
      <c r="P130" s="8">
        <v>-1.0612028000000001E-2</v>
      </c>
      <c r="Q130" s="98">
        <f t="shared" si="9"/>
        <v>-8.1489793017992321E-3</v>
      </c>
      <c r="R130" s="8">
        <v>17.604056157180601</v>
      </c>
      <c r="S130" s="102">
        <f t="shared" si="10"/>
        <v>1.2500125002006257E-3</v>
      </c>
      <c r="T130" s="8">
        <v>-1.9987321999999998E-2</v>
      </c>
      <c r="U130" s="101">
        <f t="shared" si="11"/>
        <v>-1.265056336170851E-2</v>
      </c>
      <c r="V130" s="8">
        <v>41.9565060522945</v>
      </c>
      <c r="W130" s="103">
        <f t="shared" si="12"/>
        <v>1.2500125001011497E-3</v>
      </c>
      <c r="X130" s="8">
        <v>-1.4814746E-2</v>
      </c>
      <c r="Y130" s="104">
        <f t="shared" si="13"/>
        <v>-1.0018312734731858E-2</v>
      </c>
      <c r="Z130" s="8">
        <v>51.134806579614803</v>
      </c>
      <c r="AA130" s="106">
        <f t="shared" si="14"/>
        <v>1.2500125001011497E-3</v>
      </c>
      <c r="AB130" s="8">
        <v>-1.9017464000000001E-2</v>
      </c>
      <c r="AC130" s="107">
        <f t="shared" si="15"/>
        <v>-1.2968088126971835E-2</v>
      </c>
    </row>
    <row r="131" spans="14:29" x14ac:dyDescent="0.45">
      <c r="N131" s="8">
        <v>7.3554644345753504</v>
      </c>
      <c r="O131" s="100">
        <f t="shared" si="8"/>
        <v>1.2600126001300893E-3</v>
      </c>
      <c r="P131" s="8">
        <v>-2.3220181999999999E-2</v>
      </c>
      <c r="Q131" s="98">
        <f t="shared" si="9"/>
        <v>-1.7830784323412178E-2</v>
      </c>
      <c r="R131" s="8">
        <v>17.604066157280599</v>
      </c>
      <c r="S131" s="102">
        <f t="shared" si="10"/>
        <v>1.260012600198479E-3</v>
      </c>
      <c r="T131" s="8">
        <v>-1.7077748E-2</v>
      </c>
      <c r="U131" s="101">
        <f t="shared" si="11"/>
        <v>-1.0809008487945047E-2</v>
      </c>
      <c r="V131" s="8">
        <v>41.956516052394498</v>
      </c>
      <c r="W131" s="103">
        <f t="shared" si="12"/>
        <v>1.2600126000990031E-3</v>
      </c>
      <c r="X131" s="8">
        <v>-1.9664035999999999E-2</v>
      </c>
      <c r="Y131" s="104">
        <f t="shared" si="13"/>
        <v>-1.3297592970883584E-2</v>
      </c>
      <c r="Z131" s="8">
        <v>51.134816579714801</v>
      </c>
      <c r="AA131" s="106">
        <f t="shared" si="14"/>
        <v>1.2600126000990031E-3</v>
      </c>
      <c r="AB131" s="8">
        <v>-1.8370892E-2</v>
      </c>
      <c r="AC131" s="107">
        <f t="shared" si="15"/>
        <v>-1.2527187979800139E-2</v>
      </c>
    </row>
    <row r="132" spans="14:29" x14ac:dyDescent="0.45">
      <c r="N132" s="8">
        <v>7.35547443467535</v>
      </c>
      <c r="O132" s="100">
        <f t="shared" si="8"/>
        <v>1.270012700129719E-3</v>
      </c>
      <c r="P132" s="8">
        <v>-2.2250323999999998E-2</v>
      </c>
      <c r="Q132" s="98">
        <f t="shared" si="9"/>
        <v>-1.7086030090980409E-2</v>
      </c>
      <c r="R132" s="8">
        <v>17.6040761573806</v>
      </c>
      <c r="S132" s="102">
        <f t="shared" si="10"/>
        <v>1.2700127001998851E-3</v>
      </c>
      <c r="T132" s="8">
        <v>-1.934075E-2</v>
      </c>
      <c r="U132" s="101">
        <f t="shared" si="11"/>
        <v>-1.224132894531663E-2</v>
      </c>
      <c r="V132" s="8">
        <v>41.956526052494503</v>
      </c>
      <c r="W132" s="103">
        <f t="shared" si="12"/>
        <v>1.2700127001039618E-3</v>
      </c>
      <c r="X132" s="8">
        <v>-1.9017464000000001E-2</v>
      </c>
      <c r="Y132" s="104">
        <f t="shared" si="13"/>
        <v>-1.2860355606063354E-2</v>
      </c>
      <c r="Z132" s="8">
        <v>51.134826579814799</v>
      </c>
      <c r="AA132" s="106">
        <f t="shared" si="14"/>
        <v>1.2700127000968564E-3</v>
      </c>
      <c r="AB132" s="8">
        <v>-2.9685902E-2</v>
      </c>
      <c r="AC132" s="107">
        <f t="shared" si="15"/>
        <v>-2.024294055530482E-2</v>
      </c>
    </row>
    <row r="133" spans="14:29" x14ac:dyDescent="0.45">
      <c r="N133" s="8">
        <v>7.3554844347753496</v>
      </c>
      <c r="O133" s="100">
        <f t="shared" ref="O133:O196" si="16">N133-$N$5</f>
        <v>1.2800128001293487E-3</v>
      </c>
      <c r="P133" s="8">
        <v>-1.610789E-2</v>
      </c>
      <c r="Q133" s="98">
        <f t="shared" si="9"/>
        <v>-1.2369253285579232E-2</v>
      </c>
      <c r="R133" s="8">
        <v>17.604086157480602</v>
      </c>
      <c r="S133" s="102">
        <f t="shared" si="10"/>
        <v>1.2800128002012912E-3</v>
      </c>
      <c r="T133" s="8">
        <v>-1.7077748E-2</v>
      </c>
      <c r="U133" s="101">
        <f t="shared" si="11"/>
        <v>-1.0809008487945047E-2</v>
      </c>
      <c r="V133" s="8">
        <v>41.956536052594501</v>
      </c>
      <c r="W133" s="103">
        <f t="shared" si="12"/>
        <v>1.2800128001018152E-3</v>
      </c>
      <c r="X133" s="8">
        <v>-1.934075E-2</v>
      </c>
      <c r="Y133" s="104">
        <f t="shared" si="13"/>
        <v>-1.3078974288473469E-2</v>
      </c>
      <c r="Z133" s="8">
        <v>51.134836579914797</v>
      </c>
      <c r="AA133" s="106">
        <f t="shared" si="14"/>
        <v>1.2800128000947097E-3</v>
      </c>
      <c r="AB133" s="8">
        <v>-2.2250323999999998E-2</v>
      </c>
      <c r="AC133" s="107">
        <f t="shared" si="15"/>
        <v>-1.5172588862830315E-2</v>
      </c>
    </row>
    <row r="134" spans="14:29" x14ac:dyDescent="0.45">
      <c r="N134" s="8">
        <v>7.3554944348753502</v>
      </c>
      <c r="O134" s="100">
        <f t="shared" si="16"/>
        <v>1.2900129001298666E-3</v>
      </c>
      <c r="P134" s="8">
        <v>-2.2250323999999998E-2</v>
      </c>
      <c r="Q134" s="98">
        <f t="shared" ref="Q134:Q197" si="17">P134/$Q$3</f>
        <v>-1.7086030090980409E-2</v>
      </c>
      <c r="R134" s="8">
        <v>17.604096157580599</v>
      </c>
      <c r="S134" s="102">
        <f t="shared" ref="S134:S197" si="18">R134-$R$5</f>
        <v>1.2900129001991445E-3</v>
      </c>
      <c r="T134" s="8">
        <v>-2.0633894E-2</v>
      </c>
      <c r="U134" s="101">
        <f t="shared" ref="U134:U197" si="19">T134/$U$3</f>
        <v>-1.3059797778100391E-2</v>
      </c>
      <c r="V134" s="8">
        <v>41.956546052694499</v>
      </c>
      <c r="W134" s="103">
        <f t="shared" ref="W134:W197" si="20">V134-$V$5</f>
        <v>1.2900129000996685E-3</v>
      </c>
      <c r="X134" s="8">
        <v>-1.6754462000000001E-2</v>
      </c>
      <c r="Y134" s="104">
        <f t="shared" ref="Y134:Y197" si="21">X134/$Y$3</f>
        <v>-1.1330024829192549E-2</v>
      </c>
      <c r="Z134" s="8">
        <v>51.134846580014802</v>
      </c>
      <c r="AA134" s="106">
        <f t="shared" ref="AA134:AA197" si="22">Z134-$Z$5</f>
        <v>1.2900129000996685E-3</v>
      </c>
      <c r="AB134" s="8">
        <v>-2.3866754E-2</v>
      </c>
      <c r="AC134" s="107">
        <f t="shared" ref="AC134:AC197" si="23">AB134/$AC$3</f>
        <v>-1.6274839230759557E-2</v>
      </c>
    </row>
    <row r="135" spans="14:29" x14ac:dyDescent="0.45">
      <c r="N135" s="8">
        <v>7.3555044349753498</v>
      </c>
      <c r="O135" s="100">
        <f t="shared" si="16"/>
        <v>1.3000130001294963E-3</v>
      </c>
      <c r="P135" s="8">
        <v>-2.3220181999999999E-2</v>
      </c>
      <c r="Q135" s="98">
        <f t="shared" si="17"/>
        <v>-1.7830784323412178E-2</v>
      </c>
      <c r="R135" s="8">
        <v>17.604106157680601</v>
      </c>
      <c r="S135" s="102">
        <f t="shared" si="18"/>
        <v>1.3000130002005506E-3</v>
      </c>
      <c r="T135" s="8">
        <v>-2.2896896E-2</v>
      </c>
      <c r="U135" s="101">
        <f t="shared" si="19"/>
        <v>-1.4492118235471974E-2</v>
      </c>
      <c r="V135" s="8">
        <v>41.956556052794497</v>
      </c>
      <c r="W135" s="103">
        <f t="shared" si="20"/>
        <v>1.3000130000975219E-3</v>
      </c>
      <c r="X135" s="8">
        <v>-1.8694177999999999E-2</v>
      </c>
      <c r="Y135" s="104">
        <f t="shared" si="21"/>
        <v>-1.2641736923653238E-2</v>
      </c>
      <c r="Z135" s="8">
        <v>51.1348565801148</v>
      </c>
      <c r="AA135" s="106">
        <f t="shared" si="22"/>
        <v>1.3000130000975219E-3</v>
      </c>
      <c r="AB135" s="8">
        <v>-2.2573610000000001E-2</v>
      </c>
      <c r="AC135" s="107">
        <f t="shared" si="23"/>
        <v>-1.5393038936416165E-2</v>
      </c>
    </row>
    <row r="136" spans="14:29" x14ac:dyDescent="0.45">
      <c r="N136" s="8">
        <v>7.3555144350753503</v>
      </c>
      <c r="O136" s="100">
        <f t="shared" si="16"/>
        <v>1.3100131001300142E-3</v>
      </c>
      <c r="P136" s="8">
        <v>-1.934075E-2</v>
      </c>
      <c r="Q136" s="98">
        <f t="shared" si="17"/>
        <v>-1.4851767393685118E-2</v>
      </c>
      <c r="R136" s="8">
        <v>17.604116157780599</v>
      </c>
      <c r="S136" s="102">
        <f t="shared" si="18"/>
        <v>1.3100131001984039E-3</v>
      </c>
      <c r="T136" s="8">
        <v>-2.2896896E-2</v>
      </c>
      <c r="U136" s="101">
        <f t="shared" si="19"/>
        <v>-1.4492118235471974E-2</v>
      </c>
      <c r="V136" s="8">
        <v>41.956566052894502</v>
      </c>
      <c r="W136" s="103">
        <f t="shared" si="20"/>
        <v>1.3100131001024806E-3</v>
      </c>
      <c r="X136" s="8">
        <v>-1.0288742E-2</v>
      </c>
      <c r="Y136" s="104">
        <f t="shared" si="21"/>
        <v>-6.9576511809902458E-3</v>
      </c>
      <c r="Z136" s="8">
        <v>51.134866580214798</v>
      </c>
      <c r="AA136" s="106">
        <f t="shared" si="22"/>
        <v>1.3100131000953752E-3</v>
      </c>
      <c r="AB136" s="8">
        <v>-2.7746185999999999E-2</v>
      </c>
      <c r="AC136" s="107">
        <f t="shared" si="23"/>
        <v>-1.8920240113789732E-2</v>
      </c>
    </row>
    <row r="137" spans="14:29" x14ac:dyDescent="0.45">
      <c r="N137" s="8">
        <v>7.3555244351753499</v>
      </c>
      <c r="O137" s="100">
        <f t="shared" si="16"/>
        <v>1.3200132001296438E-3</v>
      </c>
      <c r="P137" s="8">
        <v>-1.8694177999999999E-2</v>
      </c>
      <c r="Q137" s="98">
        <f t="shared" si="17"/>
        <v>-1.4355264572063939E-2</v>
      </c>
      <c r="R137" s="8">
        <v>17.6041261578806</v>
      </c>
      <c r="S137" s="102">
        <f t="shared" si="18"/>
        <v>1.3200132001998099E-3</v>
      </c>
      <c r="T137" s="8">
        <v>-2.0310608000000001E-2</v>
      </c>
      <c r="U137" s="101">
        <f t="shared" si="19"/>
        <v>-1.2855180569904451E-2</v>
      </c>
      <c r="V137" s="8">
        <v>41.9565760529945</v>
      </c>
      <c r="W137" s="103">
        <f t="shared" si="20"/>
        <v>1.320013200100334E-3</v>
      </c>
      <c r="X137" s="8">
        <v>-9.6421700000000003E-3</v>
      </c>
      <c r="Y137" s="104">
        <f t="shared" si="21"/>
        <v>-6.5204138161700162E-3</v>
      </c>
      <c r="Z137" s="8">
        <v>51.134876580314803</v>
      </c>
      <c r="AA137" s="106">
        <f t="shared" si="22"/>
        <v>1.320013200100334E-3</v>
      </c>
      <c r="AB137" s="8">
        <v>-2.1280466000000001E-2</v>
      </c>
      <c r="AC137" s="107">
        <f t="shared" si="23"/>
        <v>-1.4511238642072773E-2</v>
      </c>
    </row>
    <row r="138" spans="14:29" x14ac:dyDescent="0.45">
      <c r="N138" s="8">
        <v>7.3555344352753496</v>
      </c>
      <c r="O138" s="100">
        <f t="shared" si="16"/>
        <v>1.3300133001292735E-3</v>
      </c>
      <c r="P138" s="8">
        <v>-2.1280466000000001E-2</v>
      </c>
      <c r="Q138" s="98">
        <f t="shared" si="17"/>
        <v>-1.6341275858548648E-2</v>
      </c>
      <c r="R138" s="8">
        <v>17.604136157980601</v>
      </c>
      <c r="S138" s="102">
        <f t="shared" si="18"/>
        <v>1.330013300201216E-3</v>
      </c>
      <c r="T138" s="8">
        <v>-2.8069472000000002E-2</v>
      </c>
      <c r="U138" s="101">
        <f t="shared" si="19"/>
        <v>-1.7765993566607019E-2</v>
      </c>
      <c r="V138" s="8">
        <v>41.956586053094497</v>
      </c>
      <c r="W138" s="103">
        <f t="shared" si="20"/>
        <v>1.3300133000981873E-3</v>
      </c>
      <c r="X138" s="8">
        <v>-9.9654559999999993E-3</v>
      </c>
      <c r="Y138" s="104">
        <f t="shared" si="21"/>
        <v>-6.7390324985801301E-3</v>
      </c>
      <c r="Z138" s="8">
        <v>51.134886580414801</v>
      </c>
      <c r="AA138" s="106">
        <f t="shared" si="22"/>
        <v>1.3300133000981873E-3</v>
      </c>
      <c r="AB138" s="8">
        <v>-2.9039329999999999E-2</v>
      </c>
      <c r="AC138" s="107">
        <f t="shared" si="23"/>
        <v>-1.9802040408133124E-2</v>
      </c>
    </row>
    <row r="139" spans="14:29" x14ac:dyDescent="0.45">
      <c r="N139" s="8">
        <v>7.3555444353753501</v>
      </c>
      <c r="O139" s="100">
        <f t="shared" si="16"/>
        <v>1.3400134001297914E-3</v>
      </c>
      <c r="P139" s="8">
        <v>-2.0310608000000001E-2</v>
      </c>
      <c r="Q139" s="98">
        <f t="shared" si="17"/>
        <v>-1.5596521626116883E-2</v>
      </c>
      <c r="R139" s="8">
        <v>17.604146158080599</v>
      </c>
      <c r="S139" s="102">
        <f t="shared" si="18"/>
        <v>1.3400134001990693E-3</v>
      </c>
      <c r="T139" s="8">
        <v>-2.4190039999999999E-2</v>
      </c>
      <c r="U139" s="101">
        <f t="shared" si="19"/>
        <v>-1.5310587068255733E-2</v>
      </c>
      <c r="V139" s="8">
        <v>41.956596053194502</v>
      </c>
      <c r="W139" s="103">
        <f t="shared" si="20"/>
        <v>1.3400134001031461E-3</v>
      </c>
      <c r="X139" s="8">
        <v>-8.9955980000000005E-3</v>
      </c>
      <c r="Y139" s="104">
        <f t="shared" si="21"/>
        <v>-6.0831764513497857E-3</v>
      </c>
      <c r="Z139" s="8">
        <v>51.134896580514798</v>
      </c>
      <c r="AA139" s="106">
        <f t="shared" si="22"/>
        <v>1.3400134000960406E-3</v>
      </c>
      <c r="AB139" s="8">
        <v>-2.9362616000000001E-2</v>
      </c>
      <c r="AC139" s="107">
        <f t="shared" si="23"/>
        <v>-2.0022490481718974E-2</v>
      </c>
    </row>
    <row r="140" spans="14:29" x14ac:dyDescent="0.45">
      <c r="N140" s="8">
        <v>7.3555544354753604</v>
      </c>
      <c r="O140" s="100">
        <f t="shared" si="16"/>
        <v>1.3500135001400793E-3</v>
      </c>
      <c r="P140" s="8">
        <v>-2.4836612000000001E-2</v>
      </c>
      <c r="Q140" s="98">
        <f t="shared" si="17"/>
        <v>-1.907204137746512E-2</v>
      </c>
      <c r="R140" s="8">
        <v>17.604156158180601</v>
      </c>
      <c r="S140" s="102">
        <f t="shared" si="18"/>
        <v>1.3500135002004754E-3</v>
      </c>
      <c r="T140" s="8">
        <v>-1.9664035999999999E-2</v>
      </c>
      <c r="U140" s="101">
        <f t="shared" si="19"/>
        <v>-1.244594615351257E-2</v>
      </c>
      <c r="V140" s="8">
        <v>41.9566060532945</v>
      </c>
      <c r="W140" s="103">
        <f t="shared" si="20"/>
        <v>1.3500135001009994E-3</v>
      </c>
      <c r="X140" s="8">
        <v>-1.6431175999999999E-2</v>
      </c>
      <c r="Y140" s="104">
        <f t="shared" si="21"/>
        <v>-1.1111406146782432E-2</v>
      </c>
      <c r="Z140" s="8">
        <v>51.134906580614803</v>
      </c>
      <c r="AA140" s="106">
        <f t="shared" si="22"/>
        <v>1.3500135001009994E-3</v>
      </c>
      <c r="AB140" s="8">
        <v>-2.74229E-2</v>
      </c>
      <c r="AC140" s="107">
        <f t="shared" si="23"/>
        <v>-1.8699790040203886E-2</v>
      </c>
    </row>
    <row r="141" spans="14:29" x14ac:dyDescent="0.45">
      <c r="N141" s="8">
        <v>7.35556443557536</v>
      </c>
      <c r="O141" s="100">
        <f t="shared" si="16"/>
        <v>1.360013600139709E-3</v>
      </c>
      <c r="P141" s="8">
        <v>-1.8694177999999999E-2</v>
      </c>
      <c r="Q141" s="98">
        <f t="shared" si="17"/>
        <v>-1.4355264572063939E-2</v>
      </c>
      <c r="R141" s="8">
        <v>17.604166158280599</v>
      </c>
      <c r="S141" s="102">
        <f t="shared" si="18"/>
        <v>1.3600136001983287E-3</v>
      </c>
      <c r="T141" s="8">
        <v>-2.1280466000000001E-2</v>
      </c>
      <c r="U141" s="101">
        <f t="shared" si="19"/>
        <v>-1.3469032194492272E-2</v>
      </c>
      <c r="V141" s="8">
        <v>41.956616053394498</v>
      </c>
      <c r="W141" s="103">
        <f t="shared" si="20"/>
        <v>1.3600136000988527E-3</v>
      </c>
      <c r="X141" s="8">
        <v>-1.2551744E-2</v>
      </c>
      <c r="Y141" s="104">
        <f t="shared" si="21"/>
        <v>-8.4879819578610512E-3</v>
      </c>
      <c r="Z141" s="8">
        <v>51.134916580714801</v>
      </c>
      <c r="AA141" s="106">
        <f t="shared" si="22"/>
        <v>1.3600136000988527E-3</v>
      </c>
      <c r="AB141" s="8">
        <v>-2.8069472000000002E-2</v>
      </c>
      <c r="AC141" s="107">
        <f t="shared" si="23"/>
        <v>-1.9140690187375582E-2</v>
      </c>
    </row>
    <row r="142" spans="14:29" x14ac:dyDescent="0.45">
      <c r="N142" s="8">
        <v>7.3555744356753596</v>
      </c>
      <c r="O142" s="100">
        <f t="shared" si="16"/>
        <v>1.3700137001393387E-3</v>
      </c>
      <c r="P142" s="8">
        <v>-2.3220181999999999E-2</v>
      </c>
      <c r="Q142" s="98">
        <f t="shared" si="17"/>
        <v>-1.7830784323412178E-2</v>
      </c>
      <c r="R142" s="8">
        <v>17.6041761583806</v>
      </c>
      <c r="S142" s="102">
        <f t="shared" si="18"/>
        <v>1.3700137001997348E-3</v>
      </c>
      <c r="T142" s="8">
        <v>-2.4836612000000001E-2</v>
      </c>
      <c r="U142" s="101">
        <f t="shared" si="19"/>
        <v>-1.5719821484647616E-2</v>
      </c>
      <c r="V142" s="8">
        <v>41.956626053494503</v>
      </c>
      <c r="W142" s="103">
        <f t="shared" si="20"/>
        <v>1.3700137001038115E-3</v>
      </c>
      <c r="X142" s="8">
        <v>-1.2875030000000001E-2</v>
      </c>
      <c r="Y142" s="104">
        <f t="shared" si="21"/>
        <v>-8.7066006402711678E-3</v>
      </c>
      <c r="Z142" s="8">
        <v>51.134926580814799</v>
      </c>
      <c r="AA142" s="106">
        <f t="shared" si="22"/>
        <v>1.3700137000967061E-3</v>
      </c>
      <c r="AB142" s="8">
        <v>-2.7099614000000001E-2</v>
      </c>
      <c r="AC142" s="107">
        <f t="shared" si="23"/>
        <v>-1.8479339966618036E-2</v>
      </c>
    </row>
    <row r="143" spans="14:29" x14ac:dyDescent="0.45">
      <c r="N143" s="8">
        <v>7.3555844357753601</v>
      </c>
      <c r="O143" s="100">
        <f t="shared" si="16"/>
        <v>1.3800138001398565E-3</v>
      </c>
      <c r="P143" s="8">
        <v>-2.8392758000000001E-2</v>
      </c>
      <c r="Q143" s="98">
        <f t="shared" si="17"/>
        <v>-2.1802806896381591E-2</v>
      </c>
      <c r="R143" s="8">
        <v>17.604186158480601</v>
      </c>
      <c r="S143" s="102">
        <f t="shared" si="18"/>
        <v>1.3800138002011408E-3</v>
      </c>
      <c r="T143" s="8">
        <v>-1.8047606000000001E-2</v>
      </c>
      <c r="U143" s="101">
        <f t="shared" si="19"/>
        <v>-1.142286011253287E-2</v>
      </c>
      <c r="V143" s="8">
        <v>41.956636053594501</v>
      </c>
      <c r="W143" s="103">
        <f t="shared" si="20"/>
        <v>1.3800138001016649E-3</v>
      </c>
      <c r="X143" s="8">
        <v>-1.7401033999999999E-2</v>
      </c>
      <c r="Y143" s="104">
        <f t="shared" si="21"/>
        <v>-1.1767262194012779E-2</v>
      </c>
      <c r="Z143" s="8">
        <v>51.134936580914797</v>
      </c>
      <c r="AA143" s="106">
        <f t="shared" si="22"/>
        <v>1.3800138000945594E-3</v>
      </c>
      <c r="AB143" s="8">
        <v>-2.8392758000000001E-2</v>
      </c>
      <c r="AC143" s="107">
        <f t="shared" si="23"/>
        <v>-1.9361140260961428E-2</v>
      </c>
    </row>
    <row r="144" spans="14:29" x14ac:dyDescent="0.45">
      <c r="N144" s="8">
        <v>7.3555944358753598</v>
      </c>
      <c r="O144" s="100">
        <f t="shared" si="16"/>
        <v>1.3900139001394862E-3</v>
      </c>
      <c r="P144" s="8">
        <v>-2.9362616000000001E-2</v>
      </c>
      <c r="Q144" s="98">
        <f t="shared" si="17"/>
        <v>-2.2547561128813357E-2</v>
      </c>
      <c r="R144" s="8">
        <v>17.604196158580599</v>
      </c>
      <c r="S144" s="102">
        <f t="shared" si="18"/>
        <v>1.3900139001989942E-3</v>
      </c>
      <c r="T144" s="8">
        <v>-2.5806470000000001E-2</v>
      </c>
      <c r="U144" s="101">
        <f t="shared" si="19"/>
        <v>-1.6333673109235437E-2</v>
      </c>
      <c r="V144" s="8">
        <v>41.956646053694499</v>
      </c>
      <c r="W144" s="103">
        <f t="shared" si="20"/>
        <v>1.3900139000995182E-3</v>
      </c>
      <c r="X144" s="8">
        <v>-1.3844888E-2</v>
      </c>
      <c r="Y144" s="104">
        <f t="shared" si="21"/>
        <v>-9.3624566875015122E-3</v>
      </c>
      <c r="Z144" s="8">
        <v>51.134946581014802</v>
      </c>
      <c r="AA144" s="106">
        <f t="shared" si="22"/>
        <v>1.3900139000995182E-3</v>
      </c>
      <c r="AB144" s="8">
        <v>-2.7746185999999999E-2</v>
      </c>
      <c r="AC144" s="107">
        <f t="shared" si="23"/>
        <v>-1.8920240113789732E-2</v>
      </c>
    </row>
    <row r="145" spans="14:29" x14ac:dyDescent="0.45">
      <c r="N145" s="8">
        <v>7.3556044359753603</v>
      </c>
      <c r="O145" s="100">
        <f t="shared" si="16"/>
        <v>1.4000140001400041E-3</v>
      </c>
      <c r="P145" s="8">
        <v>-2.9039329999999999E-2</v>
      </c>
      <c r="Q145" s="98">
        <f t="shared" si="17"/>
        <v>-2.2299309718002765E-2</v>
      </c>
      <c r="R145" s="8">
        <v>17.604206158680601</v>
      </c>
      <c r="S145" s="102">
        <f t="shared" si="18"/>
        <v>1.4000140002004002E-3</v>
      </c>
      <c r="T145" s="8">
        <v>-2.3220181999999999E-2</v>
      </c>
      <c r="U145" s="101">
        <f t="shared" si="19"/>
        <v>-1.4696735443667912E-2</v>
      </c>
      <c r="V145" s="8">
        <v>41.956656053794497</v>
      </c>
      <c r="W145" s="103">
        <f t="shared" si="20"/>
        <v>1.4000140000973715E-3</v>
      </c>
      <c r="X145" s="8">
        <v>-2.5159898E-2</v>
      </c>
      <c r="Y145" s="104">
        <f t="shared" si="21"/>
        <v>-1.7014110571855541E-2</v>
      </c>
      <c r="Z145" s="8">
        <v>51.1349565811148</v>
      </c>
      <c r="AA145" s="106">
        <f t="shared" si="22"/>
        <v>1.4000140000973715E-3</v>
      </c>
      <c r="AB145" s="8">
        <v>-2.6776327999999999E-2</v>
      </c>
      <c r="AC145" s="107">
        <f t="shared" si="23"/>
        <v>-1.8258889893032187E-2</v>
      </c>
    </row>
    <row r="146" spans="14:29" x14ac:dyDescent="0.45">
      <c r="N146" s="8">
        <v>7.3556144360753599</v>
      </c>
      <c r="O146" s="100">
        <f t="shared" si="16"/>
        <v>1.4100141001396338E-3</v>
      </c>
      <c r="P146" s="8">
        <v>-2.7746185999999999E-2</v>
      </c>
      <c r="Q146" s="98">
        <f t="shared" si="17"/>
        <v>-2.1306304074760415E-2</v>
      </c>
      <c r="R146" s="8">
        <v>17.604216158780599</v>
      </c>
      <c r="S146" s="102">
        <f t="shared" si="18"/>
        <v>1.4100141001982536E-3</v>
      </c>
      <c r="T146" s="8">
        <v>-2.6453042E-2</v>
      </c>
      <c r="U146" s="101">
        <f t="shared" si="19"/>
        <v>-1.6742907525627317E-2</v>
      </c>
      <c r="V146" s="8">
        <v>41.956666053894502</v>
      </c>
      <c r="W146" s="103">
        <f t="shared" si="20"/>
        <v>1.4100141001023303E-3</v>
      </c>
      <c r="X146" s="8">
        <v>-1.5461318E-2</v>
      </c>
      <c r="Y146" s="104">
        <f t="shared" si="21"/>
        <v>-1.0455550099552088E-2</v>
      </c>
      <c r="Z146" s="8">
        <v>51.134966581214798</v>
      </c>
      <c r="AA146" s="106">
        <f t="shared" si="22"/>
        <v>1.4100141000952249E-3</v>
      </c>
      <c r="AB146" s="8">
        <v>-2.6129756000000001E-2</v>
      </c>
      <c r="AC146" s="107">
        <f t="shared" si="23"/>
        <v>-1.7817989745860494E-2</v>
      </c>
    </row>
    <row r="147" spans="14:29" x14ac:dyDescent="0.45">
      <c r="N147" s="8">
        <v>7.3556244361753604</v>
      </c>
      <c r="O147" s="100">
        <f t="shared" si="16"/>
        <v>1.4200142001401517E-3</v>
      </c>
      <c r="P147" s="8">
        <v>-2.7099614000000001E-2</v>
      </c>
      <c r="Q147" s="98">
        <f t="shared" si="17"/>
        <v>-2.0809801253139238E-2</v>
      </c>
      <c r="R147" s="8">
        <v>17.6042261588806</v>
      </c>
      <c r="S147" s="102">
        <f t="shared" si="18"/>
        <v>1.4200142001996596E-3</v>
      </c>
      <c r="T147" s="8">
        <v>-2.5159898E-2</v>
      </c>
      <c r="U147" s="101">
        <f t="shared" si="19"/>
        <v>-1.5924438692843556E-2</v>
      </c>
      <c r="V147" s="8">
        <v>41.956676053994499</v>
      </c>
      <c r="W147" s="103">
        <f t="shared" si="20"/>
        <v>1.4200142001001836E-3</v>
      </c>
      <c r="X147" s="8">
        <v>-2.2250323999999998E-2</v>
      </c>
      <c r="Y147" s="104">
        <f t="shared" si="21"/>
        <v>-1.5046542430164504E-2</v>
      </c>
      <c r="Z147" s="8">
        <v>51.134976581314803</v>
      </c>
      <c r="AA147" s="106">
        <f t="shared" si="22"/>
        <v>1.4200142001001836E-3</v>
      </c>
      <c r="AB147" s="8">
        <v>-2.3543468000000001E-2</v>
      </c>
      <c r="AC147" s="107">
        <f t="shared" si="23"/>
        <v>-1.605438915717371E-2</v>
      </c>
    </row>
    <row r="148" spans="14:29" x14ac:dyDescent="0.45">
      <c r="N148" s="8">
        <v>7.3556344362753601</v>
      </c>
      <c r="O148" s="100">
        <f t="shared" si="16"/>
        <v>1.4300143001397814E-3</v>
      </c>
      <c r="P148" s="8">
        <v>-2.9039329999999999E-2</v>
      </c>
      <c r="Q148" s="98">
        <f t="shared" si="17"/>
        <v>-2.2299309718002765E-2</v>
      </c>
      <c r="R148" s="8">
        <v>17.604236158980601</v>
      </c>
      <c r="S148" s="102">
        <f t="shared" si="18"/>
        <v>1.4300143002010657E-3</v>
      </c>
      <c r="T148" s="8">
        <v>-2.6453042E-2</v>
      </c>
      <c r="U148" s="101">
        <f t="shared" si="19"/>
        <v>-1.6742907525627317E-2</v>
      </c>
      <c r="V148" s="8">
        <v>41.956686054094497</v>
      </c>
      <c r="W148" s="103">
        <f t="shared" si="20"/>
        <v>1.430014300098037E-3</v>
      </c>
      <c r="X148" s="8">
        <v>-2.3220181999999999E-2</v>
      </c>
      <c r="Y148" s="104">
        <f t="shared" si="21"/>
        <v>-1.5702398477394849E-2</v>
      </c>
      <c r="Z148" s="8">
        <v>51.1349865814148</v>
      </c>
      <c r="AA148" s="106">
        <f t="shared" si="22"/>
        <v>1.430014300098037E-3</v>
      </c>
      <c r="AB148" s="8">
        <v>-1.934075E-2</v>
      </c>
      <c r="AC148" s="107">
        <f t="shared" si="23"/>
        <v>-1.3188538200557683E-2</v>
      </c>
    </row>
    <row r="149" spans="14:29" x14ac:dyDescent="0.45">
      <c r="N149" s="8">
        <v>7.3556444363753597</v>
      </c>
      <c r="O149" s="100">
        <f t="shared" si="16"/>
        <v>1.4400144001394111E-3</v>
      </c>
      <c r="P149" s="8">
        <v>-2.5159898E-2</v>
      </c>
      <c r="Q149" s="98">
        <f t="shared" si="17"/>
        <v>-1.9320292788275708E-2</v>
      </c>
      <c r="R149" s="8">
        <v>17.604246159080599</v>
      </c>
      <c r="S149" s="102">
        <f t="shared" si="18"/>
        <v>1.440014400198919E-3</v>
      </c>
      <c r="T149" s="8">
        <v>-2.8392758000000001E-2</v>
      </c>
      <c r="U149" s="101">
        <f t="shared" si="19"/>
        <v>-1.7970610774802959E-2</v>
      </c>
      <c r="V149" s="8">
        <v>41.956696054194502</v>
      </c>
      <c r="W149" s="103">
        <f t="shared" si="20"/>
        <v>1.4400144001029958E-3</v>
      </c>
      <c r="X149" s="8">
        <v>-2.2573610000000001E-2</v>
      </c>
      <c r="Y149" s="104">
        <f t="shared" si="21"/>
        <v>-1.5265161112574621E-2</v>
      </c>
      <c r="Z149" s="8">
        <v>51.134996581514798</v>
      </c>
      <c r="AA149" s="106">
        <f t="shared" si="22"/>
        <v>1.4400144000958903E-3</v>
      </c>
      <c r="AB149" s="8">
        <v>-1.0288742E-2</v>
      </c>
      <c r="AC149" s="107">
        <f t="shared" si="23"/>
        <v>-7.0159361401539366E-3</v>
      </c>
    </row>
    <row r="150" spans="14:29" x14ac:dyDescent="0.45">
      <c r="N150" s="8">
        <v>7.35565443647537</v>
      </c>
      <c r="O150" s="100">
        <f t="shared" si="16"/>
        <v>1.4500145001496989E-3</v>
      </c>
      <c r="P150" s="8">
        <v>-2.3866754E-2</v>
      </c>
      <c r="Q150" s="98">
        <f t="shared" si="17"/>
        <v>-1.8327287145033355E-2</v>
      </c>
      <c r="R150" s="8">
        <v>17.604256159180601</v>
      </c>
      <c r="S150" s="102">
        <f t="shared" si="18"/>
        <v>1.4500145002003251E-3</v>
      </c>
      <c r="T150" s="8">
        <v>-2.6453042E-2</v>
      </c>
      <c r="U150" s="101">
        <f t="shared" si="19"/>
        <v>-1.6742907525627317E-2</v>
      </c>
      <c r="V150" s="8">
        <v>41.9567060542945</v>
      </c>
      <c r="W150" s="103">
        <f t="shared" si="20"/>
        <v>1.4500145001008491E-3</v>
      </c>
      <c r="X150" s="8">
        <v>-2.4836612000000001E-2</v>
      </c>
      <c r="Y150" s="104">
        <f t="shared" si="21"/>
        <v>-1.6795491889445426E-2</v>
      </c>
      <c r="Z150" s="8">
        <v>51.135006581614803</v>
      </c>
      <c r="AA150" s="106">
        <f t="shared" si="22"/>
        <v>1.4500145001008491E-3</v>
      </c>
      <c r="AB150" s="8">
        <v>-1.2875030000000001E-2</v>
      </c>
      <c r="AC150" s="107">
        <f t="shared" si="23"/>
        <v>-8.7795367288407214E-3</v>
      </c>
    </row>
    <row r="151" spans="14:29" x14ac:dyDescent="0.45">
      <c r="N151" s="8">
        <v>7.3556644365753696</v>
      </c>
      <c r="O151" s="100">
        <f t="shared" si="16"/>
        <v>1.4600146001493286E-3</v>
      </c>
      <c r="P151" s="8">
        <v>-2.1927037999999999E-2</v>
      </c>
      <c r="Q151" s="98">
        <f t="shared" si="17"/>
        <v>-1.6837778680169824E-2</v>
      </c>
      <c r="R151" s="8">
        <v>17.604266159280598</v>
      </c>
      <c r="S151" s="102">
        <f t="shared" si="18"/>
        <v>1.4600146001981784E-3</v>
      </c>
      <c r="T151" s="8">
        <v>-2.6129756000000001E-2</v>
      </c>
      <c r="U151" s="101">
        <f t="shared" si="19"/>
        <v>-1.6538290317431377E-2</v>
      </c>
      <c r="V151" s="8">
        <v>41.956716054394597</v>
      </c>
      <c r="W151" s="103">
        <f t="shared" si="20"/>
        <v>1.4600146001981784E-3</v>
      </c>
      <c r="X151" s="8">
        <v>-2.8392758000000001E-2</v>
      </c>
      <c r="Y151" s="104">
        <f t="shared" si="21"/>
        <v>-1.9200297395956693E-2</v>
      </c>
      <c r="Z151" s="8">
        <v>51.135016581714801</v>
      </c>
      <c r="AA151" s="106">
        <f t="shared" si="22"/>
        <v>1.4600146000987024E-3</v>
      </c>
      <c r="AB151" s="8">
        <v>-2.2065919999999998E-3</v>
      </c>
      <c r="AC151" s="107">
        <f t="shared" si="23"/>
        <v>-1.5046843005077351E-3</v>
      </c>
    </row>
    <row r="152" spans="14:29" x14ac:dyDescent="0.45">
      <c r="N152" s="8">
        <v>7.3556744366753701</v>
      </c>
      <c r="O152" s="100">
        <f t="shared" si="16"/>
        <v>1.4700147001498465E-3</v>
      </c>
      <c r="P152" s="8">
        <v>-2.2573610000000001E-2</v>
      </c>
      <c r="Q152" s="98">
        <f t="shared" si="17"/>
        <v>-1.7334281501791001E-2</v>
      </c>
      <c r="R152" s="8">
        <v>17.6042761593806</v>
      </c>
      <c r="S152" s="102">
        <f t="shared" si="18"/>
        <v>1.4700147001995845E-3</v>
      </c>
      <c r="T152" s="8">
        <v>-2.7746185999999999E-2</v>
      </c>
      <c r="U152" s="101">
        <f t="shared" si="19"/>
        <v>-1.7561376358411075E-2</v>
      </c>
      <c r="V152" s="8">
        <v>41.956726054494503</v>
      </c>
      <c r="W152" s="103">
        <f t="shared" si="20"/>
        <v>1.4700147001036612E-3</v>
      </c>
      <c r="X152" s="8">
        <v>-2.1603752E-2</v>
      </c>
      <c r="Y152" s="104">
        <f t="shared" si="21"/>
        <v>-1.4609305065344275E-2</v>
      </c>
      <c r="Z152" s="8">
        <v>51.135026581814799</v>
      </c>
      <c r="AA152" s="106">
        <f t="shared" si="22"/>
        <v>1.4700147000965558E-3</v>
      </c>
      <c r="AB152" s="8">
        <v>-5.439452E-3</v>
      </c>
      <c r="AC152" s="107">
        <f t="shared" si="23"/>
        <v>-3.7091850363662159E-3</v>
      </c>
    </row>
    <row r="153" spans="14:29" x14ac:dyDescent="0.45">
      <c r="N153" s="8">
        <v>7.3556844367753698</v>
      </c>
      <c r="O153" s="100">
        <f t="shared" si="16"/>
        <v>1.4800148001494762E-3</v>
      </c>
      <c r="P153" s="8">
        <v>-1.2228457999999999E-2</v>
      </c>
      <c r="Q153" s="98">
        <f t="shared" si="17"/>
        <v>-9.3902363558521721E-3</v>
      </c>
      <c r="R153" s="8">
        <v>17.604286159480601</v>
      </c>
      <c r="S153" s="102">
        <f t="shared" si="18"/>
        <v>1.4800148002009905E-3</v>
      </c>
      <c r="T153" s="8">
        <v>-2.74229E-2</v>
      </c>
      <c r="U153" s="101">
        <f t="shared" si="19"/>
        <v>-1.7356759150215138E-2</v>
      </c>
      <c r="V153" s="8">
        <v>41.9567360545946</v>
      </c>
      <c r="W153" s="103">
        <f t="shared" si="20"/>
        <v>1.4800148002009905E-3</v>
      </c>
      <c r="X153" s="8">
        <v>-3.1302332000000002E-2</v>
      </c>
      <c r="Y153" s="104">
        <f t="shared" si="21"/>
        <v>-2.1167865537647729E-2</v>
      </c>
      <c r="Z153" s="8">
        <v>51.135036581914797</v>
      </c>
      <c r="AA153" s="106">
        <f t="shared" si="22"/>
        <v>1.4800148000944091E-3</v>
      </c>
      <c r="AB153" s="8">
        <v>-6.4093099999999997E-3</v>
      </c>
      <c r="AC153" s="107">
        <f t="shared" si="23"/>
        <v>-4.3705352571237598E-3</v>
      </c>
    </row>
    <row r="154" spans="14:29" x14ac:dyDescent="0.45">
      <c r="N154" s="8">
        <v>7.3556944368753703</v>
      </c>
      <c r="O154" s="100">
        <f t="shared" si="16"/>
        <v>1.490014900149994E-3</v>
      </c>
      <c r="P154" s="8">
        <v>-2.3543468000000001E-2</v>
      </c>
      <c r="Q154" s="98">
        <f t="shared" si="17"/>
        <v>-1.8079035734222766E-2</v>
      </c>
      <c r="R154" s="8">
        <v>17.604296159580599</v>
      </c>
      <c r="S154" s="102">
        <f t="shared" si="18"/>
        <v>1.4900149001988439E-3</v>
      </c>
      <c r="T154" s="8">
        <v>-2.2573610000000001E-2</v>
      </c>
      <c r="U154" s="101">
        <f t="shared" si="19"/>
        <v>-1.4287501027276033E-2</v>
      </c>
      <c r="V154" s="8">
        <v>41.956746054694598</v>
      </c>
      <c r="W154" s="103">
        <f t="shared" si="20"/>
        <v>1.4900149001988439E-3</v>
      </c>
      <c r="X154" s="8">
        <v>-2.74229E-2</v>
      </c>
      <c r="Y154" s="104">
        <f t="shared" si="21"/>
        <v>-1.8544441348726348E-2</v>
      </c>
      <c r="Z154" s="8">
        <v>51.135046582014802</v>
      </c>
      <c r="AA154" s="106">
        <f t="shared" si="22"/>
        <v>1.4900149000993679E-3</v>
      </c>
      <c r="AB154" s="8">
        <v>-1.1581886E-2</v>
      </c>
      <c r="AC154" s="107">
        <f t="shared" si="23"/>
        <v>-7.8977364344973294E-3</v>
      </c>
    </row>
    <row r="155" spans="14:29" x14ac:dyDescent="0.45">
      <c r="N155" s="8">
        <v>7.3557044369753699</v>
      </c>
      <c r="O155" s="100">
        <f t="shared" si="16"/>
        <v>1.5000150001496237E-3</v>
      </c>
      <c r="P155" s="8">
        <v>-2.4836612000000001E-2</v>
      </c>
      <c r="Q155" s="98">
        <f t="shared" si="17"/>
        <v>-1.907204137746512E-2</v>
      </c>
      <c r="R155" s="8">
        <v>17.604306159680601</v>
      </c>
      <c r="S155" s="102">
        <f t="shared" si="18"/>
        <v>1.5000150002002499E-3</v>
      </c>
      <c r="T155" s="8">
        <v>-3.1302332000000002E-2</v>
      </c>
      <c r="U155" s="101">
        <f t="shared" si="19"/>
        <v>-1.9812165648566422E-2</v>
      </c>
      <c r="V155" s="8">
        <v>41.956756054794603</v>
      </c>
      <c r="W155" s="103">
        <f t="shared" si="20"/>
        <v>1.5000150002038026E-3</v>
      </c>
      <c r="X155" s="8">
        <v>-2.6129756000000001E-2</v>
      </c>
      <c r="Y155" s="104">
        <f t="shared" si="21"/>
        <v>-1.7669966619085889E-2</v>
      </c>
      <c r="Z155" s="8">
        <v>51.1350565821148</v>
      </c>
      <c r="AA155" s="106">
        <f t="shared" si="22"/>
        <v>1.5000150000972212E-3</v>
      </c>
      <c r="AB155" s="8">
        <v>-1.8370892E-2</v>
      </c>
      <c r="AC155" s="107">
        <f t="shared" si="23"/>
        <v>-1.2527187979800139E-2</v>
      </c>
    </row>
    <row r="156" spans="14:29" x14ac:dyDescent="0.45">
      <c r="N156" s="8">
        <v>7.3557144370753704</v>
      </c>
      <c r="O156" s="100">
        <f t="shared" si="16"/>
        <v>1.5100151001501416E-3</v>
      </c>
      <c r="P156" s="64">
        <v>-1.6754462000000001E-2</v>
      </c>
      <c r="Q156" s="98">
        <f t="shared" si="17"/>
        <v>-1.2865756107200411E-2</v>
      </c>
      <c r="R156" s="8">
        <v>17.604316159780598</v>
      </c>
      <c r="S156" s="102">
        <f t="shared" si="18"/>
        <v>1.5100151001981033E-3</v>
      </c>
      <c r="T156" s="64">
        <v>-2.9685902E-2</v>
      </c>
      <c r="U156" s="101">
        <f t="shared" si="19"/>
        <v>-1.8789079607586721E-2</v>
      </c>
      <c r="V156" s="8">
        <v>41.956766054894601</v>
      </c>
      <c r="W156" s="103">
        <f t="shared" si="20"/>
        <v>1.510015100201656E-3</v>
      </c>
      <c r="X156" s="64">
        <v>-1.8370892E-2</v>
      </c>
      <c r="Y156" s="104">
        <f t="shared" si="21"/>
        <v>-1.2423118241243123E-2</v>
      </c>
      <c r="Z156" s="8">
        <v>51.135066582214797</v>
      </c>
      <c r="AA156" s="106">
        <f t="shared" si="22"/>
        <v>1.5100151000950746E-3</v>
      </c>
      <c r="AB156" s="64">
        <v>-1.9017464000000001E-2</v>
      </c>
      <c r="AC156" s="107">
        <f t="shared" si="23"/>
        <v>-1.2968088126971835E-2</v>
      </c>
    </row>
    <row r="157" spans="14:29" x14ac:dyDescent="0.45">
      <c r="N157" s="8">
        <v>7.3557244371753701</v>
      </c>
      <c r="O157" s="100">
        <f t="shared" si="16"/>
        <v>1.5200152001497713E-3</v>
      </c>
      <c r="P157" s="64">
        <v>-1.2228457999999999E-2</v>
      </c>
      <c r="Q157" s="98">
        <f t="shared" si="17"/>
        <v>-9.3902363558521721E-3</v>
      </c>
      <c r="R157" s="8">
        <v>17.6043261598806</v>
      </c>
      <c r="S157" s="102">
        <f t="shared" si="18"/>
        <v>1.5200152001995093E-3</v>
      </c>
      <c r="T157" s="64">
        <v>-2.6129756000000001E-2</v>
      </c>
      <c r="U157" s="101">
        <f t="shared" si="19"/>
        <v>-1.6538290317431377E-2</v>
      </c>
      <c r="V157" s="8">
        <v>41.956776054994599</v>
      </c>
      <c r="W157" s="103">
        <f t="shared" si="20"/>
        <v>1.5200152001995093E-3</v>
      </c>
      <c r="X157" s="64">
        <v>-1.9664035999999999E-2</v>
      </c>
      <c r="Y157" s="104">
        <f t="shared" si="21"/>
        <v>-1.3297592970883584E-2</v>
      </c>
      <c r="Z157" s="8">
        <v>51.135076582314802</v>
      </c>
      <c r="AA157" s="106">
        <f t="shared" si="22"/>
        <v>1.5200152001000333E-3</v>
      </c>
      <c r="AB157" s="64">
        <v>-2.4190039999999999E-2</v>
      </c>
      <c r="AC157" s="107">
        <f t="shared" si="23"/>
        <v>-1.6495289304345403E-2</v>
      </c>
    </row>
    <row r="158" spans="14:29" x14ac:dyDescent="0.45">
      <c r="N158" s="8">
        <v>7.3557344372753697</v>
      </c>
      <c r="O158" s="100">
        <f t="shared" si="16"/>
        <v>1.530015300149401E-3</v>
      </c>
      <c r="P158" s="64">
        <v>-9.9654559999999993E-3</v>
      </c>
      <c r="Q158" s="98">
        <f t="shared" si="17"/>
        <v>-7.6524764801780536E-3</v>
      </c>
      <c r="R158" s="8">
        <v>17.604336159980601</v>
      </c>
      <c r="S158" s="102">
        <f t="shared" si="18"/>
        <v>1.5300153002009154E-3</v>
      </c>
      <c r="T158" s="64">
        <v>-2.6776327999999999E-2</v>
      </c>
      <c r="U158" s="101">
        <f t="shared" si="19"/>
        <v>-1.6947524733823254E-2</v>
      </c>
      <c r="V158" s="8">
        <v>41.956786055094597</v>
      </c>
      <c r="W158" s="103">
        <f t="shared" si="20"/>
        <v>1.5300153001973626E-3</v>
      </c>
      <c r="X158" s="64">
        <v>-2.2896896E-2</v>
      </c>
      <c r="Y158" s="104">
        <f t="shared" si="21"/>
        <v>-1.5483779794984736E-2</v>
      </c>
      <c r="Z158" s="8">
        <v>51.1350865824148</v>
      </c>
      <c r="AA158" s="106">
        <f t="shared" si="22"/>
        <v>1.5300153000978867E-3</v>
      </c>
      <c r="AB158" s="64">
        <v>-2.4513325999999998E-2</v>
      </c>
      <c r="AC158" s="107">
        <f t="shared" si="23"/>
        <v>-1.6715739377931253E-2</v>
      </c>
    </row>
    <row r="159" spans="14:29" x14ac:dyDescent="0.45">
      <c r="N159" s="8">
        <v>7.3557444373753702</v>
      </c>
      <c r="O159" s="100">
        <f t="shared" si="16"/>
        <v>1.5400154001499189E-3</v>
      </c>
      <c r="P159" s="64">
        <v>-6.0860239999999998E-3</v>
      </c>
      <c r="Q159" s="98">
        <f t="shared" si="17"/>
        <v>-4.6734595504509943E-3</v>
      </c>
      <c r="R159" s="8">
        <v>17.604346160080599</v>
      </c>
      <c r="S159" s="102">
        <f t="shared" si="18"/>
        <v>1.5400154001987687E-3</v>
      </c>
      <c r="T159" s="64">
        <v>-2.5159898E-2</v>
      </c>
      <c r="U159" s="101">
        <f t="shared" si="19"/>
        <v>-1.5924438692843556E-2</v>
      </c>
      <c r="V159" s="8">
        <v>41.956796055194602</v>
      </c>
      <c r="W159" s="103">
        <f t="shared" si="20"/>
        <v>1.5400154002023214E-3</v>
      </c>
      <c r="X159" s="64">
        <v>-2.8392758000000001E-2</v>
      </c>
      <c r="Y159" s="104">
        <f t="shared" si="21"/>
        <v>-1.9200297395956693E-2</v>
      </c>
      <c r="Z159" s="8">
        <v>51.135096582514798</v>
      </c>
      <c r="AA159" s="106">
        <f t="shared" si="22"/>
        <v>1.54001540009574E-3</v>
      </c>
      <c r="AB159" s="64">
        <v>-2.74229E-2</v>
      </c>
      <c r="AC159" s="107">
        <f t="shared" si="23"/>
        <v>-1.8699790040203886E-2</v>
      </c>
    </row>
    <row r="160" spans="14:29" x14ac:dyDescent="0.45">
      <c r="N160" s="8">
        <v>7.3557544374753796</v>
      </c>
      <c r="O160" s="100">
        <f t="shared" si="16"/>
        <v>1.5500155001593185E-3</v>
      </c>
      <c r="P160" s="64">
        <v>-1.9664035999999999E-2</v>
      </c>
      <c r="Q160" s="98">
        <f t="shared" si="17"/>
        <v>-1.5100018804495704E-2</v>
      </c>
      <c r="R160" s="8">
        <v>17.6043561601806</v>
      </c>
      <c r="S160" s="102">
        <f t="shared" si="18"/>
        <v>1.5500155002001748E-3</v>
      </c>
      <c r="T160" s="64">
        <v>-2.5159898E-2</v>
      </c>
      <c r="U160" s="101">
        <f t="shared" si="19"/>
        <v>-1.5924438692843556E-2</v>
      </c>
      <c r="V160" s="8">
        <v>41.956806055294599</v>
      </c>
      <c r="W160" s="103">
        <f t="shared" si="20"/>
        <v>1.5500155002001748E-3</v>
      </c>
      <c r="X160" s="64">
        <v>-1.8047606000000001E-2</v>
      </c>
      <c r="Y160" s="104">
        <f t="shared" si="21"/>
        <v>-1.220449955883301E-2</v>
      </c>
      <c r="Z160" s="8">
        <v>51.135106582614803</v>
      </c>
      <c r="AA160" s="106">
        <f t="shared" si="22"/>
        <v>1.5500155001006988E-3</v>
      </c>
      <c r="AB160" s="64">
        <v>-2.7099614000000001E-2</v>
      </c>
      <c r="AC160" s="107">
        <f t="shared" si="23"/>
        <v>-1.8479339966618036E-2</v>
      </c>
    </row>
    <row r="161" spans="14:29" x14ac:dyDescent="0.45">
      <c r="N161" s="8">
        <v>7.3557644375753801</v>
      </c>
      <c r="O161" s="100">
        <f t="shared" si="16"/>
        <v>1.5600156001598364E-3</v>
      </c>
      <c r="P161" s="64">
        <v>-1.0288742E-2</v>
      </c>
      <c r="Q161" s="98">
        <f t="shared" si="17"/>
        <v>-7.9007278909886437E-3</v>
      </c>
      <c r="R161" s="8">
        <v>17.604366160280598</v>
      </c>
      <c r="S161" s="102">
        <f t="shared" si="18"/>
        <v>1.5600156001980281E-3</v>
      </c>
      <c r="T161" s="64">
        <v>-2.9685902E-2</v>
      </c>
      <c r="U161" s="101">
        <f t="shared" si="19"/>
        <v>-1.8789079607586721E-2</v>
      </c>
      <c r="V161" s="8">
        <v>41.956816055394597</v>
      </c>
      <c r="W161" s="103">
        <f t="shared" si="20"/>
        <v>1.5600156001980281E-3</v>
      </c>
      <c r="X161" s="64">
        <v>-1.6431175999999999E-2</v>
      </c>
      <c r="Y161" s="104">
        <f t="shared" si="21"/>
        <v>-1.1111406146782432E-2</v>
      </c>
      <c r="Z161" s="8">
        <v>51.135116582714801</v>
      </c>
      <c r="AA161" s="106">
        <f t="shared" si="22"/>
        <v>1.5600156000985521E-3</v>
      </c>
      <c r="AB161" s="64">
        <v>-3.5828336000000002E-2</v>
      </c>
      <c r="AC161" s="107">
        <f t="shared" si="23"/>
        <v>-2.4431491953435937E-2</v>
      </c>
    </row>
    <row r="162" spans="14:29" x14ac:dyDescent="0.45">
      <c r="N162" s="8">
        <v>7.3557744376753798</v>
      </c>
      <c r="O162" s="100">
        <f t="shared" si="16"/>
        <v>1.5700157001594661E-3</v>
      </c>
      <c r="P162" s="64">
        <v>-1.3198316E-2</v>
      </c>
      <c r="Q162" s="98">
        <f t="shared" si="17"/>
        <v>-1.0134990588283937E-2</v>
      </c>
      <c r="R162" s="8">
        <v>17.6043761603806</v>
      </c>
      <c r="S162" s="102">
        <f t="shared" si="18"/>
        <v>1.5700157001994341E-3</v>
      </c>
      <c r="T162" s="64">
        <v>-2.5483183999999999E-2</v>
      </c>
      <c r="U162" s="101">
        <f t="shared" si="19"/>
        <v>-1.6129055901039496E-2</v>
      </c>
      <c r="V162" s="8">
        <v>41.956826055494602</v>
      </c>
      <c r="W162" s="103">
        <f t="shared" si="20"/>
        <v>1.5700157002029869E-3</v>
      </c>
      <c r="X162" s="64">
        <v>-1.2228457999999999E-2</v>
      </c>
      <c r="Y162" s="104">
        <f t="shared" si="21"/>
        <v>-8.2693632754509364E-3</v>
      </c>
      <c r="Z162" s="8">
        <v>51.135126582814799</v>
      </c>
      <c r="AA162" s="106">
        <f t="shared" si="22"/>
        <v>1.5700157000964055E-3</v>
      </c>
      <c r="AB162" s="64">
        <v>-2.4190039999999999E-2</v>
      </c>
      <c r="AC162" s="107">
        <f t="shared" si="23"/>
        <v>-1.6495289304345403E-2</v>
      </c>
    </row>
    <row r="163" spans="14:29" x14ac:dyDescent="0.45">
      <c r="N163" s="8">
        <v>7.3557844377753803</v>
      </c>
      <c r="O163" s="100">
        <f t="shared" si="16"/>
        <v>1.580015800159984E-3</v>
      </c>
      <c r="P163" s="8">
        <v>-2.0957179999999999E-2</v>
      </c>
      <c r="Q163" s="98">
        <f t="shared" si="17"/>
        <v>-1.6093024447738059E-2</v>
      </c>
      <c r="R163" s="8">
        <v>17.604386160480601</v>
      </c>
      <c r="S163" s="102">
        <f t="shared" si="18"/>
        <v>1.5800158002008402E-3</v>
      </c>
      <c r="T163" s="8">
        <v>-2.8392758000000001E-2</v>
      </c>
      <c r="U163" s="101">
        <f t="shared" si="19"/>
        <v>-1.7970610774802959E-2</v>
      </c>
      <c r="V163" s="8">
        <v>41.9568360555946</v>
      </c>
      <c r="W163" s="103">
        <f t="shared" si="20"/>
        <v>1.5800158002008402E-3</v>
      </c>
      <c r="X163" s="8">
        <v>-1.5461318E-2</v>
      </c>
      <c r="Y163" s="104">
        <f t="shared" si="21"/>
        <v>-1.0455550099552088E-2</v>
      </c>
      <c r="Z163" s="8">
        <v>51.135136582914797</v>
      </c>
      <c r="AA163" s="106">
        <f t="shared" si="22"/>
        <v>1.5800158000942588E-3</v>
      </c>
      <c r="AB163" s="8">
        <v>-2.2573610000000001E-2</v>
      </c>
      <c r="AC163" s="107">
        <f t="shared" si="23"/>
        <v>-1.5393038936416165E-2</v>
      </c>
    </row>
    <row r="164" spans="14:29" x14ac:dyDescent="0.45">
      <c r="N164" s="8">
        <v>7.3557944378753799</v>
      </c>
      <c r="O164" s="100">
        <f t="shared" si="16"/>
        <v>1.5900159001596137E-3</v>
      </c>
      <c r="P164" s="8">
        <v>-1.8047606000000001E-2</v>
      </c>
      <c r="Q164" s="98">
        <f t="shared" si="17"/>
        <v>-1.3858761750442764E-2</v>
      </c>
      <c r="R164" s="8">
        <v>17.604396160580599</v>
      </c>
      <c r="S164" s="102">
        <f t="shared" si="18"/>
        <v>1.5900159001986935E-3</v>
      </c>
      <c r="T164" s="8">
        <v>-2.9362616000000001E-2</v>
      </c>
      <c r="U164" s="101">
        <f t="shared" si="19"/>
        <v>-1.858446239939078E-2</v>
      </c>
      <c r="V164" s="8">
        <v>41.956846055694598</v>
      </c>
      <c r="W164" s="103">
        <f t="shared" si="20"/>
        <v>1.5900159001986935E-3</v>
      </c>
      <c r="X164" s="8">
        <v>-1.7724319999999998E-2</v>
      </c>
      <c r="Y164" s="104">
        <f t="shared" si="21"/>
        <v>-1.1985880876422893E-2</v>
      </c>
      <c r="Z164" s="8">
        <v>51.135146583014802</v>
      </c>
      <c r="AA164" s="106">
        <f t="shared" si="22"/>
        <v>1.5900159000992176E-3</v>
      </c>
      <c r="AB164" s="8">
        <v>-2.6776327999999999E-2</v>
      </c>
      <c r="AC164" s="107">
        <f t="shared" si="23"/>
        <v>-1.8258889893032187E-2</v>
      </c>
    </row>
    <row r="165" spans="14:29" x14ac:dyDescent="0.45">
      <c r="N165" s="8">
        <v>7.3558044379753804</v>
      </c>
      <c r="O165" s="100">
        <f t="shared" si="16"/>
        <v>1.6000160001601316E-3</v>
      </c>
      <c r="P165" s="8">
        <v>-1.934075E-2</v>
      </c>
      <c r="Q165" s="98">
        <f t="shared" si="17"/>
        <v>-1.4851767393685118E-2</v>
      </c>
      <c r="R165" s="8">
        <v>17.6044061606806</v>
      </c>
      <c r="S165" s="102">
        <f t="shared" si="18"/>
        <v>1.6000160002000996E-3</v>
      </c>
      <c r="T165" s="8">
        <v>-2.6129756000000001E-2</v>
      </c>
      <c r="U165" s="101">
        <f t="shared" si="19"/>
        <v>-1.6538290317431377E-2</v>
      </c>
      <c r="V165" s="8">
        <v>41.956856055794603</v>
      </c>
      <c r="W165" s="103">
        <f t="shared" si="20"/>
        <v>1.6000160002036523E-3</v>
      </c>
      <c r="X165" s="8">
        <v>-1.9664035999999999E-2</v>
      </c>
      <c r="Y165" s="104">
        <f t="shared" si="21"/>
        <v>-1.3297592970883584E-2</v>
      </c>
      <c r="Z165" s="8">
        <v>51.135156583114799</v>
      </c>
      <c r="AA165" s="106">
        <f t="shared" si="22"/>
        <v>1.6000160000970709E-3</v>
      </c>
      <c r="AB165" s="8">
        <v>-2.3866754E-2</v>
      </c>
      <c r="AC165" s="107">
        <f t="shared" si="23"/>
        <v>-1.6274839230759557E-2</v>
      </c>
    </row>
    <row r="166" spans="14:29" x14ac:dyDescent="0.45">
      <c r="N166" s="8">
        <v>7.35581443807538</v>
      </c>
      <c r="O166" s="100">
        <f t="shared" si="16"/>
        <v>1.6100161001597613E-3</v>
      </c>
      <c r="P166" s="8">
        <v>-1.934075E-2</v>
      </c>
      <c r="Q166" s="98">
        <f t="shared" si="17"/>
        <v>-1.4851767393685118E-2</v>
      </c>
      <c r="R166" s="8">
        <v>17.604416160780598</v>
      </c>
      <c r="S166" s="102">
        <f t="shared" si="18"/>
        <v>1.6100161001979529E-3</v>
      </c>
      <c r="T166" s="8">
        <v>-2.2250323999999998E-2</v>
      </c>
      <c r="U166" s="101">
        <f t="shared" si="19"/>
        <v>-1.4082883819080091E-2</v>
      </c>
      <c r="V166" s="8">
        <v>41.956866055894601</v>
      </c>
      <c r="W166" s="103">
        <f t="shared" si="20"/>
        <v>1.6100161002015057E-3</v>
      </c>
      <c r="X166" s="8">
        <v>-2.6453042E-2</v>
      </c>
      <c r="Y166" s="104">
        <f t="shared" si="21"/>
        <v>-1.7888585301496E-2</v>
      </c>
      <c r="Z166" s="8">
        <v>51.135166583214797</v>
      </c>
      <c r="AA166" s="106">
        <f t="shared" si="22"/>
        <v>1.6100161000949242E-3</v>
      </c>
      <c r="AB166" s="8">
        <v>-2.1603752E-2</v>
      </c>
      <c r="AC166" s="107">
        <f t="shared" si="23"/>
        <v>-1.4731688715658619E-2</v>
      </c>
    </row>
    <row r="167" spans="14:29" x14ac:dyDescent="0.45">
      <c r="N167" s="8">
        <v>7.3558244381753797</v>
      </c>
      <c r="O167" s="100">
        <f t="shared" si="16"/>
        <v>1.620016200159391E-3</v>
      </c>
      <c r="P167" s="8">
        <v>-2.3866754E-2</v>
      </c>
      <c r="Q167" s="98">
        <f t="shared" si="17"/>
        <v>-1.8327287145033355E-2</v>
      </c>
      <c r="R167" s="8">
        <v>17.6044261608806</v>
      </c>
      <c r="S167" s="102">
        <f t="shared" si="18"/>
        <v>1.620016200199359E-3</v>
      </c>
      <c r="T167" s="8">
        <v>-2.4190039999999999E-2</v>
      </c>
      <c r="U167" s="101">
        <f t="shared" si="19"/>
        <v>-1.5310587068255733E-2</v>
      </c>
      <c r="V167" s="8">
        <v>41.956876055994599</v>
      </c>
      <c r="W167" s="103">
        <f t="shared" si="20"/>
        <v>1.620016200199359E-3</v>
      </c>
      <c r="X167" s="8">
        <v>-2.2250323999999998E-2</v>
      </c>
      <c r="Y167" s="104">
        <f t="shared" si="21"/>
        <v>-1.5046542430164504E-2</v>
      </c>
      <c r="Z167" s="8">
        <v>51.135176583314802</v>
      </c>
      <c r="AA167" s="106">
        <f t="shared" si="22"/>
        <v>1.620016200099883E-3</v>
      </c>
      <c r="AB167" s="8">
        <v>-2.5806470000000001E-2</v>
      </c>
      <c r="AC167" s="107">
        <f t="shared" si="23"/>
        <v>-1.7597539672274645E-2</v>
      </c>
    </row>
    <row r="168" spans="14:29" x14ac:dyDescent="0.45">
      <c r="N168" s="8">
        <v>7.3558344382753802</v>
      </c>
      <c r="O168" s="100">
        <f t="shared" si="16"/>
        <v>1.6300163001599088E-3</v>
      </c>
      <c r="P168" s="8">
        <v>-2.5806470000000001E-2</v>
      </c>
      <c r="Q168" s="98">
        <f t="shared" si="17"/>
        <v>-1.9816795609896885E-2</v>
      </c>
      <c r="R168" s="8">
        <v>17.604436160980601</v>
      </c>
      <c r="S168" s="102">
        <f t="shared" si="18"/>
        <v>1.630016300200765E-3</v>
      </c>
      <c r="T168" s="8">
        <v>-3.0332474000000002E-2</v>
      </c>
      <c r="U168" s="101">
        <f t="shared" si="19"/>
        <v>-1.9198314023978601E-2</v>
      </c>
      <c r="V168" s="8">
        <v>41.956886056094604</v>
      </c>
      <c r="W168" s="103">
        <f t="shared" si="20"/>
        <v>1.6300163002043178E-3</v>
      </c>
      <c r="X168" s="8">
        <v>-2.3220181999999999E-2</v>
      </c>
      <c r="Y168" s="104">
        <f t="shared" si="21"/>
        <v>-1.5702398477394849E-2</v>
      </c>
      <c r="Z168" s="8">
        <v>51.1351865834148</v>
      </c>
      <c r="AA168" s="106">
        <f t="shared" si="22"/>
        <v>1.6300163000977363E-3</v>
      </c>
      <c r="AB168" s="8">
        <v>-2.7099614000000001E-2</v>
      </c>
      <c r="AC168" s="107">
        <f t="shared" si="23"/>
        <v>-1.8479339966618036E-2</v>
      </c>
    </row>
    <row r="169" spans="14:29" x14ac:dyDescent="0.45">
      <c r="N169" s="8">
        <v>7.3558444383753798</v>
      </c>
      <c r="O169" s="100">
        <f t="shared" si="16"/>
        <v>1.6400164001595385E-3</v>
      </c>
      <c r="P169" s="8">
        <v>-2.4513325999999998E-2</v>
      </c>
      <c r="Q169" s="98">
        <f t="shared" si="17"/>
        <v>-1.8823789966654528E-2</v>
      </c>
      <c r="R169" s="8">
        <v>17.604446161080599</v>
      </c>
      <c r="S169" s="102">
        <f t="shared" si="18"/>
        <v>1.6400164001986184E-3</v>
      </c>
      <c r="T169" s="8">
        <v>-2.74229E-2</v>
      </c>
      <c r="U169" s="101">
        <f t="shared" si="19"/>
        <v>-1.7356759150215138E-2</v>
      </c>
      <c r="V169" s="8">
        <v>41.956896056194601</v>
      </c>
      <c r="W169" s="103">
        <f t="shared" si="20"/>
        <v>1.6400164002021711E-3</v>
      </c>
      <c r="X169" s="8">
        <v>-2.8392758000000001E-2</v>
      </c>
      <c r="Y169" s="104">
        <f t="shared" si="21"/>
        <v>-1.9200297395956693E-2</v>
      </c>
      <c r="Z169" s="8">
        <v>51.135196583514798</v>
      </c>
      <c r="AA169" s="106">
        <f t="shared" si="22"/>
        <v>1.6400164000955897E-3</v>
      </c>
      <c r="AB169" s="8">
        <v>-1.7724319999999998E-2</v>
      </c>
      <c r="AC169" s="107">
        <f t="shared" si="23"/>
        <v>-1.2086287832628441E-2</v>
      </c>
    </row>
    <row r="170" spans="14:29" x14ac:dyDescent="0.45">
      <c r="N170" s="8">
        <v>7.3558544384753901</v>
      </c>
      <c r="O170" s="100">
        <f t="shared" si="16"/>
        <v>1.6500165001698264E-3</v>
      </c>
      <c r="P170" s="8">
        <v>-1.8694177999999999E-2</v>
      </c>
      <c r="Q170" s="98">
        <f t="shared" si="17"/>
        <v>-1.4355264572063939E-2</v>
      </c>
      <c r="R170" s="8">
        <v>17.6044561611806</v>
      </c>
      <c r="S170" s="102">
        <f t="shared" si="18"/>
        <v>1.6500165002000244E-3</v>
      </c>
      <c r="T170" s="8">
        <v>-2.5806470000000001E-2</v>
      </c>
      <c r="U170" s="101">
        <f t="shared" si="19"/>
        <v>-1.6333673109235437E-2</v>
      </c>
      <c r="V170" s="8">
        <v>41.956906056294599</v>
      </c>
      <c r="W170" s="103">
        <f t="shared" si="20"/>
        <v>1.6500165002000244E-3</v>
      </c>
      <c r="X170" s="8">
        <v>-2.74229E-2</v>
      </c>
      <c r="Y170" s="104">
        <f t="shared" si="21"/>
        <v>-1.8544441348726348E-2</v>
      </c>
      <c r="Z170" s="8">
        <v>51.135206583614803</v>
      </c>
      <c r="AA170" s="106">
        <f t="shared" si="22"/>
        <v>1.6500165001005485E-3</v>
      </c>
      <c r="AB170" s="8">
        <v>-1.0935314E-2</v>
      </c>
      <c r="AC170" s="107">
        <f t="shared" si="23"/>
        <v>-7.4568362873256326E-3</v>
      </c>
    </row>
    <row r="171" spans="14:29" x14ac:dyDescent="0.45">
      <c r="N171" s="8">
        <v>7.3558644385753897</v>
      </c>
      <c r="O171" s="100">
        <f t="shared" si="16"/>
        <v>1.6600166001694561E-3</v>
      </c>
      <c r="P171" s="8">
        <v>-1.8370892E-2</v>
      </c>
      <c r="Q171" s="98">
        <f t="shared" si="17"/>
        <v>-1.4107013161253351E-2</v>
      </c>
      <c r="R171" s="8">
        <v>17.604466161280602</v>
      </c>
      <c r="S171" s="102">
        <f t="shared" si="18"/>
        <v>1.6600166002014305E-3</v>
      </c>
      <c r="T171" s="8">
        <v>-2.8392758000000001E-2</v>
      </c>
      <c r="U171" s="101">
        <f t="shared" si="19"/>
        <v>-1.7970610774802959E-2</v>
      </c>
      <c r="V171" s="8">
        <v>41.956916056394597</v>
      </c>
      <c r="W171" s="103">
        <f t="shared" si="20"/>
        <v>1.6600166001978778E-3</v>
      </c>
      <c r="X171" s="8">
        <v>-2.9685902E-2</v>
      </c>
      <c r="Y171" s="104">
        <f t="shared" si="21"/>
        <v>-2.0074772125597152E-2</v>
      </c>
      <c r="Z171" s="8">
        <v>51.135216583714801</v>
      </c>
      <c r="AA171" s="106">
        <f t="shared" si="22"/>
        <v>1.6600166000984018E-3</v>
      </c>
      <c r="AB171" s="8">
        <v>2.8182292000000001E-2</v>
      </c>
      <c r="AC171" s="107">
        <f t="shared" si="23"/>
        <v>1.9217622616561986E-2</v>
      </c>
    </row>
    <row r="172" spans="14:29" x14ac:dyDescent="0.45">
      <c r="N172" s="8">
        <v>7.3558744386753903</v>
      </c>
      <c r="O172" s="100">
        <f t="shared" si="16"/>
        <v>1.6700167001699739E-3</v>
      </c>
      <c r="P172" s="8">
        <v>-2.2573610000000001E-2</v>
      </c>
      <c r="Q172" s="98">
        <f t="shared" si="17"/>
        <v>-1.7334281501791001E-2</v>
      </c>
      <c r="R172" s="8">
        <v>17.6044761613806</v>
      </c>
      <c r="S172" s="102">
        <f t="shared" si="18"/>
        <v>1.6700167001992838E-3</v>
      </c>
      <c r="T172" s="8">
        <v>-3.0009187999999999E-2</v>
      </c>
      <c r="U172" s="101">
        <f t="shared" si="19"/>
        <v>-1.8993696815782658E-2</v>
      </c>
      <c r="V172" s="8">
        <v>41.956926056494602</v>
      </c>
      <c r="W172" s="103">
        <f t="shared" si="20"/>
        <v>1.6700167002028365E-3</v>
      </c>
      <c r="X172" s="8">
        <v>-3.2595475999999998E-2</v>
      </c>
      <c r="Y172" s="104">
        <f t="shared" si="21"/>
        <v>-2.2042340267288189E-2</v>
      </c>
      <c r="Z172" s="8">
        <v>51.135226583814799</v>
      </c>
      <c r="AA172" s="106">
        <f t="shared" si="22"/>
        <v>1.6700167000962551E-3</v>
      </c>
      <c r="AB172" s="8">
        <v>0.11159007999999999</v>
      </c>
      <c r="AC172" s="107">
        <f t="shared" si="23"/>
        <v>7.6093741601710785E-2</v>
      </c>
    </row>
    <row r="173" spans="14:29" x14ac:dyDescent="0.45">
      <c r="N173" s="8">
        <v>7.3558844387753899</v>
      </c>
      <c r="O173" s="100">
        <f t="shared" si="16"/>
        <v>1.6800168001696036E-3</v>
      </c>
      <c r="P173" s="8">
        <v>-2.0633894E-2</v>
      </c>
      <c r="Q173" s="98">
        <f t="shared" si="17"/>
        <v>-1.5844773036927471E-2</v>
      </c>
      <c r="R173" s="8">
        <v>17.604486161480601</v>
      </c>
      <c r="S173" s="102">
        <f t="shared" si="18"/>
        <v>1.6800168002006899E-3</v>
      </c>
      <c r="T173" s="8">
        <v>-3.0009187999999999E-2</v>
      </c>
      <c r="U173" s="101">
        <f t="shared" si="19"/>
        <v>-1.8993696815782658E-2</v>
      </c>
      <c r="V173" s="8">
        <v>41.9569360565946</v>
      </c>
      <c r="W173" s="103">
        <f t="shared" si="20"/>
        <v>1.6800168002006899E-3</v>
      </c>
      <c r="X173" s="8">
        <v>-3.0655760000000001E-2</v>
      </c>
      <c r="Y173" s="104">
        <f t="shared" si="21"/>
        <v>-2.07306281728275E-2</v>
      </c>
      <c r="Z173" s="8">
        <v>51.135236583914804</v>
      </c>
      <c r="AA173" s="106">
        <f t="shared" si="22"/>
        <v>1.6800168001012139E-3</v>
      </c>
      <c r="AB173" s="8">
        <v>0.187885576</v>
      </c>
      <c r="AC173" s="107">
        <f t="shared" si="23"/>
        <v>0.12811995896797093</v>
      </c>
    </row>
    <row r="174" spans="14:29" x14ac:dyDescent="0.45">
      <c r="N174" s="8">
        <v>7.3558944388753904</v>
      </c>
      <c r="O174" s="100">
        <f t="shared" si="16"/>
        <v>1.6900169001701215E-3</v>
      </c>
      <c r="P174" s="8">
        <v>-2.1280466000000001E-2</v>
      </c>
      <c r="Q174" s="98">
        <f t="shared" si="17"/>
        <v>-1.6341275858548648E-2</v>
      </c>
      <c r="R174" s="8">
        <v>17.604496161580599</v>
      </c>
      <c r="S174" s="102">
        <f t="shared" si="18"/>
        <v>1.6900169001985432E-3</v>
      </c>
      <c r="T174" s="8">
        <v>-2.5806470000000001E-2</v>
      </c>
      <c r="U174" s="101">
        <f t="shared" si="19"/>
        <v>-1.6333673109235437E-2</v>
      </c>
      <c r="V174" s="8">
        <v>41.956946056694598</v>
      </c>
      <c r="W174" s="103">
        <f t="shared" si="20"/>
        <v>1.6900169001985432E-3</v>
      </c>
      <c r="X174" s="8">
        <v>-9.9654559999999993E-3</v>
      </c>
      <c r="Y174" s="104">
        <f t="shared" si="21"/>
        <v>-6.7390324985801301E-3</v>
      </c>
      <c r="Z174" s="8">
        <v>51.135246584014801</v>
      </c>
      <c r="AA174" s="106">
        <f t="shared" si="22"/>
        <v>1.6900169000990672E-3</v>
      </c>
      <c r="AB174" s="8">
        <v>0.24640034199999999</v>
      </c>
      <c r="AC174" s="107">
        <f t="shared" si="23"/>
        <v>0.16802142228700942</v>
      </c>
    </row>
    <row r="175" spans="14:29" x14ac:dyDescent="0.45">
      <c r="N175" s="8">
        <v>7.35590443897539</v>
      </c>
      <c r="O175" s="100">
        <f t="shared" si="16"/>
        <v>1.7000170001697512E-3</v>
      </c>
      <c r="P175" s="8">
        <v>-2.4836612000000001E-2</v>
      </c>
      <c r="Q175" s="98">
        <f t="shared" si="17"/>
        <v>-1.907204137746512E-2</v>
      </c>
      <c r="R175" s="8">
        <v>17.6045061616806</v>
      </c>
      <c r="S175" s="102">
        <f t="shared" si="18"/>
        <v>1.7000170001999493E-3</v>
      </c>
      <c r="T175" s="8">
        <v>-1.8694177999999999E-2</v>
      </c>
      <c r="U175" s="101">
        <f t="shared" si="19"/>
        <v>-1.1832094528924749E-2</v>
      </c>
      <c r="V175" s="8">
        <v>41.956956056794603</v>
      </c>
      <c r="W175" s="103">
        <f t="shared" si="20"/>
        <v>1.700017000203502E-3</v>
      </c>
      <c r="X175" s="8">
        <v>5.016574E-2</v>
      </c>
      <c r="Y175" s="104">
        <f t="shared" si="21"/>
        <v>3.3924042429701283E-2</v>
      </c>
      <c r="Z175" s="8">
        <v>51.135256584114799</v>
      </c>
      <c r="AA175" s="106">
        <f t="shared" si="22"/>
        <v>1.7000170000969206E-3</v>
      </c>
      <c r="AB175" s="8">
        <v>0.29844938799999998</v>
      </c>
      <c r="AC175" s="107">
        <f t="shared" si="23"/>
        <v>0.20351388413433097</v>
      </c>
    </row>
    <row r="176" spans="14:29" x14ac:dyDescent="0.45">
      <c r="N176" s="8">
        <v>7.3559144390753897</v>
      </c>
      <c r="O176" s="100">
        <f t="shared" si="16"/>
        <v>1.7100171001693809E-3</v>
      </c>
      <c r="P176" s="8">
        <v>-2.4513325999999998E-2</v>
      </c>
      <c r="Q176" s="98">
        <f t="shared" si="17"/>
        <v>-1.8823789966654528E-2</v>
      </c>
      <c r="R176" s="8">
        <v>17.604516161780602</v>
      </c>
      <c r="S176" s="102">
        <f t="shared" si="18"/>
        <v>1.7100171002013553E-3</v>
      </c>
      <c r="T176" s="8">
        <v>-2.1603752E-2</v>
      </c>
      <c r="U176" s="101">
        <f t="shared" si="19"/>
        <v>-1.3673649402688212E-2</v>
      </c>
      <c r="V176" s="8">
        <v>41.956966056894601</v>
      </c>
      <c r="W176" s="103">
        <f t="shared" si="20"/>
        <v>1.7100171002013553E-3</v>
      </c>
      <c r="X176" s="8">
        <v>0.13615981599999999</v>
      </c>
      <c r="Y176" s="104">
        <f t="shared" si="21"/>
        <v>9.2076611950791892E-2</v>
      </c>
      <c r="Z176" s="8">
        <v>51.135266584214797</v>
      </c>
      <c r="AA176" s="106">
        <f t="shared" si="22"/>
        <v>1.7100171000947739E-3</v>
      </c>
      <c r="AB176" s="8">
        <v>0.36633944800000001</v>
      </c>
      <c r="AC176" s="107">
        <f t="shared" si="23"/>
        <v>0.24980839958735906</v>
      </c>
    </row>
    <row r="177" spans="14:29" x14ac:dyDescent="0.45">
      <c r="N177" s="8">
        <v>7.3559244391753902</v>
      </c>
      <c r="O177" s="100">
        <f t="shared" si="16"/>
        <v>1.7200172001698988E-3</v>
      </c>
      <c r="P177" s="8">
        <v>-2.3220181999999999E-2</v>
      </c>
      <c r="Q177" s="98">
        <f t="shared" si="17"/>
        <v>-1.7830784323412178E-2</v>
      </c>
      <c r="R177" s="8">
        <v>17.604526161880599</v>
      </c>
      <c r="S177" s="102">
        <f t="shared" si="18"/>
        <v>1.7200172001992087E-3</v>
      </c>
      <c r="T177" s="8">
        <v>-2.5159898E-2</v>
      </c>
      <c r="U177" s="101">
        <f t="shared" si="19"/>
        <v>-1.5924438692843556E-2</v>
      </c>
      <c r="V177" s="8">
        <v>41.956976056994598</v>
      </c>
      <c r="W177" s="103">
        <f t="shared" si="20"/>
        <v>1.7200172001992087E-3</v>
      </c>
      <c r="X177" s="8">
        <v>0.19596772600000001</v>
      </c>
      <c r="Y177" s="104">
        <f t="shared" si="21"/>
        <v>0.13252106819666321</v>
      </c>
      <c r="Z177" s="8">
        <v>51.135276584314802</v>
      </c>
      <c r="AA177" s="106">
        <f t="shared" si="22"/>
        <v>1.7200172000997327E-3</v>
      </c>
      <c r="AB177" s="8">
        <v>0.53444816799999995</v>
      </c>
      <c r="AC177" s="107">
        <f t="shared" si="23"/>
        <v>0.36444243785200003</v>
      </c>
    </row>
    <row r="178" spans="14:29" x14ac:dyDescent="0.45">
      <c r="N178" s="8">
        <v>7.3559344392753898</v>
      </c>
      <c r="O178" s="100">
        <f t="shared" si="16"/>
        <v>1.7300173001695285E-3</v>
      </c>
      <c r="P178" s="8">
        <v>-2.4190039999999999E-2</v>
      </c>
      <c r="Q178" s="98">
        <f t="shared" si="17"/>
        <v>-1.8575538555843943E-2</v>
      </c>
      <c r="R178" s="8">
        <v>17.604536161980601</v>
      </c>
      <c r="S178" s="102">
        <f t="shared" si="18"/>
        <v>1.7300173002006147E-3</v>
      </c>
      <c r="T178" s="8">
        <v>-1.4491459999999999E-2</v>
      </c>
      <c r="U178" s="101">
        <f t="shared" si="19"/>
        <v>-9.1720708223775246E-3</v>
      </c>
      <c r="V178" s="8">
        <v>41.956986057094603</v>
      </c>
      <c r="W178" s="103">
        <f t="shared" si="20"/>
        <v>1.7300173002041674E-3</v>
      </c>
      <c r="X178" s="8">
        <v>0.25383591999999999</v>
      </c>
      <c r="Y178" s="104">
        <f t="shared" si="21"/>
        <v>0.17165381234807381</v>
      </c>
      <c r="Z178" s="8">
        <v>51.1352865844148</v>
      </c>
      <c r="AA178" s="106">
        <f t="shared" si="22"/>
        <v>1.730017300097586E-3</v>
      </c>
      <c r="AB178" s="8">
        <v>0.60330808599999997</v>
      </c>
      <c r="AC178" s="107">
        <f t="shared" si="23"/>
        <v>0.41139830352578566</v>
      </c>
    </row>
    <row r="179" spans="14:29" x14ac:dyDescent="0.45">
      <c r="N179" s="8">
        <v>7.3559444393753903</v>
      </c>
      <c r="O179" s="100">
        <f t="shared" si="16"/>
        <v>1.7400174001700464E-3</v>
      </c>
      <c r="P179" s="8">
        <v>-2.4190039999999999E-2</v>
      </c>
      <c r="Q179" s="98">
        <f t="shared" si="17"/>
        <v>-1.8575538555843943E-2</v>
      </c>
      <c r="R179" s="8">
        <v>17.604546162080599</v>
      </c>
      <c r="S179" s="102">
        <f t="shared" si="18"/>
        <v>1.7400174001984681E-3</v>
      </c>
      <c r="T179" s="8">
        <v>1.7190568E-2</v>
      </c>
      <c r="U179" s="101">
        <f t="shared" si="19"/>
        <v>1.0880415580824622E-2</v>
      </c>
      <c r="V179" s="8">
        <v>41.956996057194601</v>
      </c>
      <c r="W179" s="103">
        <f t="shared" si="20"/>
        <v>1.7400174002020208E-3</v>
      </c>
      <c r="X179" s="8">
        <v>0.322049266</v>
      </c>
      <c r="Y179" s="104">
        <f t="shared" si="21"/>
        <v>0.21778235433660809</v>
      </c>
      <c r="Z179" s="8">
        <v>51.135296584514798</v>
      </c>
      <c r="AA179" s="106">
        <f t="shared" si="22"/>
        <v>1.7400174000954394E-3</v>
      </c>
      <c r="AB179" s="8">
        <v>0.55966447600000002</v>
      </c>
      <c r="AC179" s="107">
        <f t="shared" si="23"/>
        <v>0.38163754359169622</v>
      </c>
    </row>
    <row r="180" spans="14:29" x14ac:dyDescent="0.45">
      <c r="N180" s="8">
        <v>7.3559544394753997</v>
      </c>
      <c r="O180" s="100">
        <f t="shared" si="16"/>
        <v>1.750017500179446E-3</v>
      </c>
      <c r="P180" s="8">
        <v>-2.0957179999999999E-2</v>
      </c>
      <c r="Q180" s="98">
        <f t="shared" si="17"/>
        <v>-1.6093024447738059E-2</v>
      </c>
      <c r="R180" s="8">
        <v>17.6045561621806</v>
      </c>
      <c r="S180" s="102">
        <f t="shared" si="18"/>
        <v>1.7500175001998741E-3</v>
      </c>
      <c r="T180" s="8">
        <v>0.110296936</v>
      </c>
      <c r="U180" s="101">
        <f t="shared" si="19"/>
        <v>6.981017154125542E-2</v>
      </c>
      <c r="V180" s="8">
        <v>41.957006057294599</v>
      </c>
      <c r="W180" s="103">
        <f t="shared" si="20"/>
        <v>1.7500175001998741E-3</v>
      </c>
      <c r="X180" s="8">
        <v>0.41386249000000003</v>
      </c>
      <c r="Y180" s="104">
        <f t="shared" si="21"/>
        <v>0.27987006014108079</v>
      </c>
      <c r="Z180" s="8">
        <v>51.135306584614803</v>
      </c>
      <c r="AA180" s="106">
        <f t="shared" si="22"/>
        <v>1.7500175001003981E-3</v>
      </c>
      <c r="AB180" s="8">
        <v>0.57453563200000002</v>
      </c>
      <c r="AC180" s="107">
        <f t="shared" si="23"/>
        <v>0.39177824697664521</v>
      </c>
    </row>
    <row r="181" spans="14:29" x14ac:dyDescent="0.45">
      <c r="N181" s="8">
        <v>7.3559644395754002</v>
      </c>
      <c r="O181" s="100">
        <f t="shared" si="16"/>
        <v>1.7600176001799639E-3</v>
      </c>
      <c r="P181" s="8">
        <v>-2.1280466000000001E-2</v>
      </c>
      <c r="Q181" s="98">
        <f t="shared" si="17"/>
        <v>-1.6341275858548648E-2</v>
      </c>
      <c r="R181" s="8">
        <v>17.604566162280602</v>
      </c>
      <c r="S181" s="102">
        <f t="shared" si="18"/>
        <v>1.7600176002012802E-3</v>
      </c>
      <c r="T181" s="8">
        <v>0.184976002</v>
      </c>
      <c r="U181" s="101">
        <f t="shared" si="19"/>
        <v>0.11707674663451763</v>
      </c>
      <c r="V181" s="8">
        <v>41.957016057394597</v>
      </c>
      <c r="W181" s="103">
        <f t="shared" si="20"/>
        <v>1.7600176001977275E-3</v>
      </c>
      <c r="X181" s="8">
        <v>0.53250845199999997</v>
      </c>
      <c r="Y181" s="104">
        <f t="shared" si="21"/>
        <v>0.36010311658559302</v>
      </c>
      <c r="Z181" s="8">
        <v>51.135316584714801</v>
      </c>
      <c r="AA181" s="106">
        <f t="shared" si="22"/>
        <v>1.7600176000982515E-3</v>
      </c>
      <c r="AB181" s="8">
        <v>0.398668048</v>
      </c>
      <c r="AC181" s="107">
        <f t="shared" si="23"/>
        <v>0.27185340694594384</v>
      </c>
    </row>
    <row r="182" spans="14:29" x14ac:dyDescent="0.45">
      <c r="N182" s="8">
        <v>7.3559744396753999</v>
      </c>
      <c r="O182" s="100">
        <f t="shared" si="16"/>
        <v>1.7700177001795936E-3</v>
      </c>
      <c r="P182" s="8">
        <v>-2.0957179999999999E-2</v>
      </c>
      <c r="Q182" s="98">
        <f t="shared" si="17"/>
        <v>-1.6093024447738059E-2</v>
      </c>
      <c r="R182" s="8">
        <v>17.604576162380599</v>
      </c>
      <c r="S182" s="102">
        <f t="shared" si="18"/>
        <v>1.7700177001991335E-3</v>
      </c>
      <c r="T182" s="8">
        <v>0.25577563599999997</v>
      </c>
      <c r="U182" s="101">
        <f t="shared" si="19"/>
        <v>0.16188791522942853</v>
      </c>
      <c r="V182" s="8">
        <v>41.957026057494602</v>
      </c>
      <c r="W182" s="103">
        <f t="shared" si="20"/>
        <v>1.7700177002026862E-3</v>
      </c>
      <c r="X182" s="8">
        <v>0.56095762000000005</v>
      </c>
      <c r="Y182" s="104">
        <f t="shared" si="21"/>
        <v>0.37934156063768321</v>
      </c>
      <c r="Z182" s="8">
        <v>51.135326584814898</v>
      </c>
      <c r="AA182" s="106">
        <f t="shared" si="22"/>
        <v>1.7700177001955808E-3</v>
      </c>
      <c r="AB182" s="8">
        <v>0.24090448</v>
      </c>
      <c r="AC182" s="107">
        <f t="shared" si="23"/>
        <v>0.16427377103605001</v>
      </c>
    </row>
    <row r="183" spans="14:29" x14ac:dyDescent="0.45">
      <c r="N183" s="8">
        <v>7.3559844397754004</v>
      </c>
      <c r="O183" s="100">
        <f t="shared" si="16"/>
        <v>1.7800178001801115E-3</v>
      </c>
      <c r="P183" s="64">
        <v>-2.8392758000000001E-2</v>
      </c>
      <c r="Q183" s="98">
        <f t="shared" si="17"/>
        <v>-2.1802806896381591E-2</v>
      </c>
      <c r="R183" s="8">
        <v>17.604586162480601</v>
      </c>
      <c r="S183" s="102">
        <f t="shared" si="18"/>
        <v>1.7800178002005396E-3</v>
      </c>
      <c r="T183" s="64">
        <v>0.35211486400000003</v>
      </c>
      <c r="U183" s="101">
        <f t="shared" si="19"/>
        <v>0.22286384327181877</v>
      </c>
      <c r="V183" s="8">
        <v>41.9570360575946</v>
      </c>
      <c r="W183" s="103">
        <f t="shared" si="20"/>
        <v>1.7800178002005396E-3</v>
      </c>
      <c r="X183" s="64">
        <v>0.54576317799999996</v>
      </c>
      <c r="Y183" s="104">
        <f t="shared" si="21"/>
        <v>0.36906648256440772</v>
      </c>
      <c r="Z183" s="8">
        <v>51.135336584914803</v>
      </c>
      <c r="AA183" s="106">
        <f t="shared" si="22"/>
        <v>1.7800178001010636E-3</v>
      </c>
      <c r="AB183" s="64">
        <v>0.177217138</v>
      </c>
      <c r="AC183" s="107">
        <f t="shared" si="23"/>
        <v>0.12084510653963794</v>
      </c>
    </row>
    <row r="184" spans="14:29" x14ac:dyDescent="0.45">
      <c r="N184" s="8">
        <v>7.3559944398754</v>
      </c>
      <c r="O184" s="100">
        <f t="shared" si="16"/>
        <v>1.7900179001797412E-3</v>
      </c>
      <c r="P184" s="8">
        <v>-2.5806470000000001E-2</v>
      </c>
      <c r="Q184" s="98">
        <f t="shared" si="17"/>
        <v>-1.9816795609896885E-2</v>
      </c>
      <c r="R184" s="8">
        <v>17.604596162580599</v>
      </c>
      <c r="S184" s="102">
        <f t="shared" si="18"/>
        <v>1.7900179001983929E-3</v>
      </c>
      <c r="T184" s="8">
        <v>0.43325965</v>
      </c>
      <c r="U184" s="101">
        <f t="shared" si="19"/>
        <v>0.27422276252899974</v>
      </c>
      <c r="V184" s="8">
        <v>41.957046057694598</v>
      </c>
      <c r="W184" s="103">
        <f t="shared" si="20"/>
        <v>1.7900179001983929E-3</v>
      </c>
      <c r="X184" s="8">
        <v>0.49209770200000003</v>
      </c>
      <c r="Y184" s="104">
        <f t="shared" si="21"/>
        <v>0.33277578128432866</v>
      </c>
      <c r="Z184" s="8">
        <v>51.135346585014801</v>
      </c>
      <c r="AA184" s="106">
        <f t="shared" si="22"/>
        <v>1.7900179000989169E-3</v>
      </c>
      <c r="AB184" s="8">
        <v>5.8894462000000002E-2</v>
      </c>
      <c r="AC184" s="107">
        <f t="shared" si="23"/>
        <v>4.016037960721755E-2</v>
      </c>
    </row>
    <row r="185" spans="14:29" x14ac:dyDescent="0.45">
      <c r="N185" s="8">
        <v>7.3560044399753997</v>
      </c>
      <c r="O185" s="100">
        <f t="shared" si="16"/>
        <v>1.8000180001793709E-3</v>
      </c>
      <c r="P185" s="8">
        <v>-2.2896896E-2</v>
      </c>
      <c r="Q185" s="98">
        <f t="shared" si="17"/>
        <v>-1.7582532912601589E-2</v>
      </c>
      <c r="R185" s="8">
        <v>17.6046061626806</v>
      </c>
      <c r="S185" s="102">
        <f t="shared" si="18"/>
        <v>1.800018000199799E-3</v>
      </c>
      <c r="T185" s="8">
        <v>0.50987843200000005</v>
      </c>
      <c r="U185" s="101">
        <f t="shared" si="19"/>
        <v>0.32271704087143765</v>
      </c>
      <c r="V185" s="8">
        <v>41.957056057794603</v>
      </c>
      <c r="W185" s="103">
        <f t="shared" si="20"/>
        <v>1.8000180002033517E-3</v>
      </c>
      <c r="X185" s="8">
        <v>0.32625198399999999</v>
      </c>
      <c r="Y185" s="104">
        <f t="shared" si="21"/>
        <v>0.22062439720793958</v>
      </c>
      <c r="Z185" s="8">
        <v>51.135356585114899</v>
      </c>
      <c r="AA185" s="106">
        <f t="shared" si="22"/>
        <v>1.8000180001962462E-3</v>
      </c>
      <c r="AB185" s="8">
        <v>2.7859005999999999E-2</v>
      </c>
      <c r="AC185" s="107">
        <f t="shared" si="23"/>
        <v>1.8997172542976136E-2</v>
      </c>
    </row>
    <row r="186" spans="14:29" x14ac:dyDescent="0.45">
      <c r="N186" s="8">
        <v>7.3560144400754002</v>
      </c>
      <c r="O186" s="100">
        <f t="shared" si="16"/>
        <v>1.8100181001798887E-3</v>
      </c>
      <c r="P186" s="8">
        <v>-1.610789E-2</v>
      </c>
      <c r="Q186" s="98">
        <f t="shared" si="17"/>
        <v>-1.2369253285579232E-2</v>
      </c>
      <c r="R186" s="8">
        <v>17.604616162780601</v>
      </c>
      <c r="S186" s="102">
        <f t="shared" si="18"/>
        <v>1.810018100201205E-3</v>
      </c>
      <c r="T186" s="8">
        <v>0.53832760000000002</v>
      </c>
      <c r="U186" s="101">
        <f t="shared" si="19"/>
        <v>0.34072335519268038</v>
      </c>
      <c r="V186" s="8">
        <v>41.9570660578946</v>
      </c>
      <c r="W186" s="103">
        <f t="shared" si="20"/>
        <v>1.810018100201205E-3</v>
      </c>
      <c r="X186" s="8">
        <v>0.20049373000000001</v>
      </c>
      <c r="Y186" s="104">
        <f t="shared" si="21"/>
        <v>0.13558172975040481</v>
      </c>
      <c r="Z186" s="8">
        <v>51.135366585214904</v>
      </c>
      <c r="AA186" s="106">
        <f t="shared" si="22"/>
        <v>1.810018100201205E-3</v>
      </c>
      <c r="AB186" s="8">
        <v>3.076858E-2</v>
      </c>
      <c r="AC186" s="107">
        <f t="shared" si="23"/>
        <v>2.098122320524877E-2</v>
      </c>
    </row>
    <row r="187" spans="14:29" x14ac:dyDescent="0.45">
      <c r="N187" s="8">
        <v>7.3560244401753998</v>
      </c>
      <c r="O187" s="100">
        <f t="shared" si="16"/>
        <v>1.8200182001795184E-3</v>
      </c>
      <c r="P187" s="8">
        <v>2.4626146000000002E-2</v>
      </c>
      <c r="Q187" s="98">
        <f t="shared" si="17"/>
        <v>1.8910424476554902E-2</v>
      </c>
      <c r="R187" s="8">
        <v>17.604626162880599</v>
      </c>
      <c r="S187" s="102">
        <f t="shared" si="18"/>
        <v>1.8200182001990584E-3</v>
      </c>
      <c r="T187" s="8">
        <v>0.54059060199999998</v>
      </c>
      <c r="U187" s="101">
        <f t="shared" si="19"/>
        <v>0.34215567565005195</v>
      </c>
      <c r="V187" s="8">
        <v>41.957076057994598</v>
      </c>
      <c r="W187" s="103">
        <f t="shared" si="20"/>
        <v>1.8200182001990584E-3</v>
      </c>
      <c r="X187" s="8">
        <v>0.106094218</v>
      </c>
      <c r="Y187" s="104">
        <f t="shared" si="21"/>
        <v>7.1745074486651197E-2</v>
      </c>
      <c r="Z187" s="8">
        <v>51.135376585314901</v>
      </c>
      <c r="AA187" s="106">
        <f t="shared" si="22"/>
        <v>1.8200182001990584E-3</v>
      </c>
      <c r="AB187" s="8">
        <v>4.0143874000000003E-2</v>
      </c>
      <c r="AC187" s="107">
        <f t="shared" si="23"/>
        <v>2.7374275339238363E-2</v>
      </c>
    </row>
    <row r="188" spans="14:29" x14ac:dyDescent="0.45">
      <c r="N188" s="8">
        <v>7.3560344402754003</v>
      </c>
      <c r="O188" s="100">
        <f t="shared" si="16"/>
        <v>1.8300183001800363E-3</v>
      </c>
      <c r="P188" s="8">
        <v>0.10253807199999999</v>
      </c>
      <c r="Q188" s="98">
        <f t="shared" si="17"/>
        <v>7.8739014481906691E-2</v>
      </c>
      <c r="R188" s="8">
        <v>17.604636162980601</v>
      </c>
      <c r="S188" s="102">
        <f t="shared" si="18"/>
        <v>1.8300183002004644E-3</v>
      </c>
      <c r="T188" s="8">
        <v>0.45750610000000003</v>
      </c>
      <c r="U188" s="101">
        <f t="shared" si="19"/>
        <v>0.2895690531436953</v>
      </c>
      <c r="V188" s="8">
        <v>41.957086058094603</v>
      </c>
      <c r="W188" s="103">
        <f t="shared" si="20"/>
        <v>1.8300183002040171E-3</v>
      </c>
      <c r="X188" s="8">
        <v>3.0445294000000001E-2</v>
      </c>
      <c r="Y188" s="104">
        <f t="shared" si="21"/>
        <v>2.0588302802684259E-2</v>
      </c>
      <c r="Z188" s="8">
        <v>51.135386585414899</v>
      </c>
      <c r="AA188" s="106">
        <f t="shared" si="22"/>
        <v>1.8300183001969117E-3</v>
      </c>
      <c r="AB188" s="8">
        <v>3.885073E-2</v>
      </c>
      <c r="AC188" s="107">
        <f t="shared" si="23"/>
        <v>2.6492475044894971E-2</v>
      </c>
    </row>
    <row r="189" spans="14:29" x14ac:dyDescent="0.45">
      <c r="N189" s="8">
        <v>7.3560444403754</v>
      </c>
      <c r="O189" s="100">
        <f t="shared" si="16"/>
        <v>1.840018400179666E-3</v>
      </c>
      <c r="P189" s="8">
        <v>0.16331583999999999</v>
      </c>
      <c r="Q189" s="98">
        <f t="shared" si="17"/>
        <v>0.1254102797142973</v>
      </c>
      <c r="R189" s="8">
        <v>17.604646163080599</v>
      </c>
      <c r="S189" s="102">
        <f t="shared" si="18"/>
        <v>1.8400184001983177E-3</v>
      </c>
      <c r="T189" s="8">
        <v>0.34112313999999999</v>
      </c>
      <c r="U189" s="101">
        <f t="shared" si="19"/>
        <v>0.21590685819315678</v>
      </c>
      <c r="V189" s="8">
        <v>41.957096058194601</v>
      </c>
      <c r="W189" s="103">
        <f t="shared" si="20"/>
        <v>1.8400184002018705E-3</v>
      </c>
      <c r="X189" s="8">
        <v>1.298785E-2</v>
      </c>
      <c r="Y189" s="104">
        <f t="shared" si="21"/>
        <v>8.7828939525380432E-3</v>
      </c>
      <c r="Z189" s="8">
        <v>51.135396585514897</v>
      </c>
      <c r="AA189" s="106">
        <f t="shared" si="22"/>
        <v>1.840018400194765E-3</v>
      </c>
      <c r="AB189" s="8">
        <v>7.4088903999999997E-2</v>
      </c>
      <c r="AC189" s="107">
        <f t="shared" si="23"/>
        <v>5.0521533065752404E-2</v>
      </c>
    </row>
    <row r="190" spans="14:29" x14ac:dyDescent="0.45">
      <c r="N190" s="8">
        <v>7.3560544404754102</v>
      </c>
      <c r="O190" s="100">
        <f t="shared" si="16"/>
        <v>1.8500185001899538E-3</v>
      </c>
      <c r="P190" s="8">
        <v>0.189502006</v>
      </c>
      <c r="Q190" s="98">
        <f t="shared" si="17"/>
        <v>0.14551864398995495</v>
      </c>
      <c r="R190" s="8">
        <v>17.6046561631806</v>
      </c>
      <c r="S190" s="102">
        <f t="shared" si="18"/>
        <v>1.8500185001997238E-3</v>
      </c>
      <c r="T190" s="8">
        <v>0.23379218800000001</v>
      </c>
      <c r="U190" s="101">
        <f t="shared" si="19"/>
        <v>0.14797394507210462</v>
      </c>
      <c r="V190" s="8">
        <v>41.957106058294599</v>
      </c>
      <c r="W190" s="103">
        <f t="shared" si="20"/>
        <v>1.8500185001997238E-3</v>
      </c>
      <c r="X190" s="8">
        <v>1.6867282000000001E-2</v>
      </c>
      <c r="Y190" s="104">
        <f t="shared" si="21"/>
        <v>1.1406318141459424E-2</v>
      </c>
      <c r="Z190" s="8">
        <v>51.135406585614902</v>
      </c>
      <c r="AA190" s="106">
        <f t="shared" si="22"/>
        <v>1.8500185001997238E-3</v>
      </c>
      <c r="AB190" s="8">
        <v>6.5360182000000003E-2</v>
      </c>
      <c r="AC190" s="107">
        <f t="shared" si="23"/>
        <v>4.456938107893451E-2</v>
      </c>
    </row>
    <row r="191" spans="14:29" x14ac:dyDescent="0.45">
      <c r="N191" s="8">
        <v>7.3560644405754099</v>
      </c>
      <c r="O191" s="100">
        <f t="shared" si="16"/>
        <v>1.8600186001895835E-3</v>
      </c>
      <c r="P191" s="64">
        <v>0.249956488</v>
      </c>
      <c r="Q191" s="98">
        <f t="shared" si="17"/>
        <v>0.19194165781153499</v>
      </c>
      <c r="R191" s="8">
        <v>17.604666163280601</v>
      </c>
      <c r="S191" s="102">
        <f t="shared" si="18"/>
        <v>1.8600186002011299E-3</v>
      </c>
      <c r="T191" s="64">
        <v>0.138422818</v>
      </c>
      <c r="U191" s="101">
        <f t="shared" si="19"/>
        <v>8.7611868654302233E-2</v>
      </c>
      <c r="V191" s="8">
        <v>41.957116058394597</v>
      </c>
      <c r="W191" s="103">
        <f t="shared" si="20"/>
        <v>1.8600186001975771E-3</v>
      </c>
      <c r="X191" s="64">
        <v>2.2363144000000001E-2</v>
      </c>
      <c r="Y191" s="104">
        <f t="shared" si="21"/>
        <v>1.5122835742431381E-2</v>
      </c>
      <c r="Z191" s="8">
        <v>51.1354165857149</v>
      </c>
      <c r="AA191" s="106">
        <f t="shared" si="22"/>
        <v>1.8600186001975771E-3</v>
      </c>
      <c r="AB191" s="64">
        <v>3.9497301999999998E-2</v>
      </c>
      <c r="AC191" s="107">
        <f t="shared" si="23"/>
        <v>2.6933375192066664E-2</v>
      </c>
    </row>
    <row r="192" spans="14:29" x14ac:dyDescent="0.45">
      <c r="N192" s="8">
        <v>7.3560744406754104</v>
      </c>
      <c r="O192" s="100">
        <f t="shared" si="16"/>
        <v>1.8700187001901014E-3</v>
      </c>
      <c r="P192" s="8">
        <v>0.30232882</v>
      </c>
      <c r="Q192" s="98">
        <f t="shared" si="17"/>
        <v>0.2321583863628503</v>
      </c>
      <c r="R192" s="8">
        <v>17.604676163380599</v>
      </c>
      <c r="S192" s="102">
        <f t="shared" si="18"/>
        <v>1.8700187001989832E-3</v>
      </c>
      <c r="T192" s="8">
        <v>5.6308174000000003E-2</v>
      </c>
      <c r="U192" s="101">
        <f t="shared" si="19"/>
        <v>3.56390977725334E-2</v>
      </c>
      <c r="V192" s="8">
        <v>41.957126058494602</v>
      </c>
      <c r="W192" s="103">
        <f t="shared" si="20"/>
        <v>1.8700187002025359E-3</v>
      </c>
      <c r="X192" s="8">
        <v>5.0489025999999999E-2</v>
      </c>
      <c r="Y192" s="104">
        <f t="shared" si="21"/>
        <v>3.4142661112111394E-2</v>
      </c>
      <c r="Z192" s="8">
        <v>51.135426585814898</v>
      </c>
      <c r="AA192" s="106">
        <f t="shared" si="22"/>
        <v>1.8700187001954305E-3</v>
      </c>
      <c r="AB192" s="8">
        <v>2.4302859999999999E-2</v>
      </c>
      <c r="AC192" s="107">
        <f t="shared" si="23"/>
        <v>1.6572221733531806E-2</v>
      </c>
    </row>
    <row r="193" spans="14:29" x14ac:dyDescent="0.45">
      <c r="N193" s="8">
        <v>7.35608444077541</v>
      </c>
      <c r="O193" s="100">
        <f t="shared" si="16"/>
        <v>1.8800188001897311E-3</v>
      </c>
      <c r="P193" s="8">
        <v>0.35631758200000002</v>
      </c>
      <c r="Q193" s="98">
        <f t="shared" si="17"/>
        <v>0.27361637196821859</v>
      </c>
      <c r="R193" s="8">
        <v>17.604686163480601</v>
      </c>
      <c r="S193" s="102">
        <f t="shared" si="18"/>
        <v>1.8800188002003893E-3</v>
      </c>
      <c r="T193" s="8">
        <v>4.2730162000000002E-2</v>
      </c>
      <c r="U193" s="101">
        <f t="shared" si="19"/>
        <v>2.7045175028303906E-2</v>
      </c>
      <c r="V193" s="8">
        <v>41.9571360585946</v>
      </c>
      <c r="W193" s="103">
        <f t="shared" si="20"/>
        <v>1.8800188002003893E-3</v>
      </c>
      <c r="X193" s="8">
        <v>6.8916327999999999E-2</v>
      </c>
      <c r="Y193" s="104">
        <f t="shared" si="21"/>
        <v>4.6603926009487956E-2</v>
      </c>
      <c r="Z193" s="8">
        <v>51.135436585914903</v>
      </c>
      <c r="AA193" s="106">
        <f t="shared" si="22"/>
        <v>1.8800188002003893E-3</v>
      </c>
      <c r="AB193" s="8">
        <v>9.1084180000000001E-3</v>
      </c>
      <c r="AC193" s="107">
        <f t="shared" si="23"/>
        <v>6.2110682749969472E-3</v>
      </c>
    </row>
    <row r="194" spans="14:29" x14ac:dyDescent="0.45">
      <c r="N194" s="8">
        <v>7.3560944408754096</v>
      </c>
      <c r="O194" s="100">
        <f t="shared" si="16"/>
        <v>1.8900189001893608E-3</v>
      </c>
      <c r="P194" s="8">
        <v>0.39026261200000001</v>
      </c>
      <c r="Q194" s="98">
        <f t="shared" si="17"/>
        <v>0.29968277010333033</v>
      </c>
      <c r="R194" s="8">
        <v>17.604696163580599</v>
      </c>
      <c r="S194" s="102">
        <f t="shared" si="18"/>
        <v>1.8900189001982426E-3</v>
      </c>
      <c r="T194" s="8">
        <v>2.1716572E-2</v>
      </c>
      <c r="U194" s="101">
        <f t="shared" si="19"/>
        <v>1.3745056495567787E-2</v>
      </c>
      <c r="V194" s="8">
        <v>41.957146058694597</v>
      </c>
      <c r="W194" s="103">
        <f t="shared" si="20"/>
        <v>1.8900189001982426E-3</v>
      </c>
      <c r="X194" s="8">
        <v>6.1480750000000001E-2</v>
      </c>
      <c r="Y194" s="104">
        <f t="shared" si="21"/>
        <v>4.1575696314055312E-2</v>
      </c>
      <c r="Z194" s="8">
        <v>51.135446586014901</v>
      </c>
      <c r="AA194" s="106">
        <f t="shared" si="22"/>
        <v>1.8900189001982426E-3</v>
      </c>
      <c r="AB194" s="8">
        <v>-2.0957179999999999E-2</v>
      </c>
      <c r="AC194" s="107">
        <f t="shared" si="23"/>
        <v>-1.4290788568486923E-2</v>
      </c>
    </row>
    <row r="195" spans="14:29" x14ac:dyDescent="0.45">
      <c r="N195" s="8">
        <v>7.3561044409754102</v>
      </c>
      <c r="O195" s="100">
        <f t="shared" si="16"/>
        <v>1.9000190001898787E-3</v>
      </c>
      <c r="P195" s="8">
        <v>0.44425137399999998</v>
      </c>
      <c r="Q195" s="98">
        <f t="shared" si="17"/>
        <v>0.34114075570869856</v>
      </c>
      <c r="R195" s="8">
        <v>17.6047061636806</v>
      </c>
      <c r="S195" s="102">
        <f t="shared" si="18"/>
        <v>1.9000190001996486E-3</v>
      </c>
      <c r="T195" s="8">
        <v>4.0143874000000003E-2</v>
      </c>
      <c r="U195" s="101">
        <f t="shared" si="19"/>
        <v>2.5408237362736383E-2</v>
      </c>
      <c r="V195" s="8">
        <v>41.957156058794602</v>
      </c>
      <c r="W195" s="103">
        <f t="shared" si="20"/>
        <v>1.9000190002032014E-3</v>
      </c>
      <c r="X195" s="8">
        <v>6.4390323999999999E-2</v>
      </c>
      <c r="Y195" s="104">
        <f t="shared" si="21"/>
        <v>4.3543264455746349E-2</v>
      </c>
      <c r="Z195" s="8">
        <v>51.135456586114898</v>
      </c>
      <c r="AA195" s="106">
        <f t="shared" si="22"/>
        <v>1.9000190001960959E-3</v>
      </c>
      <c r="AB195" s="8">
        <v>-1.5138031999999999E-2</v>
      </c>
      <c r="AC195" s="107">
        <f t="shared" si="23"/>
        <v>-1.0322687243941657E-2</v>
      </c>
    </row>
    <row r="196" spans="14:29" x14ac:dyDescent="0.45">
      <c r="N196" s="8">
        <v>7.3561144410754098</v>
      </c>
      <c r="O196" s="100">
        <f t="shared" si="16"/>
        <v>1.9100191001895084E-3</v>
      </c>
      <c r="P196" s="8">
        <v>0.38993932599999998</v>
      </c>
      <c r="Q196" s="98">
        <f t="shared" si="17"/>
        <v>0.29943451869251969</v>
      </c>
      <c r="R196" s="8">
        <v>17.604716163780601</v>
      </c>
      <c r="S196" s="102">
        <f t="shared" si="18"/>
        <v>1.9100191002010547E-3</v>
      </c>
      <c r="T196" s="8">
        <v>5.3075313999999998E-2</v>
      </c>
      <c r="U196" s="101">
        <f t="shared" si="19"/>
        <v>3.359292569057399E-2</v>
      </c>
      <c r="V196" s="8">
        <v>41.9571660588946</v>
      </c>
      <c r="W196" s="103">
        <f t="shared" si="20"/>
        <v>1.9100191002010547E-3</v>
      </c>
      <c r="X196" s="8">
        <v>3.4001440000000001E-2</v>
      </c>
      <c r="Y196" s="104">
        <f t="shared" si="21"/>
        <v>2.2993108309195525E-2</v>
      </c>
      <c r="Z196" s="8">
        <v>51.135466586214903</v>
      </c>
      <c r="AA196" s="106">
        <f t="shared" si="22"/>
        <v>1.9100191002010547E-3</v>
      </c>
      <c r="AB196" s="8">
        <v>-2.6453042E-2</v>
      </c>
      <c r="AC196" s="107">
        <f t="shared" si="23"/>
        <v>-1.8038439819446341E-2</v>
      </c>
    </row>
    <row r="197" spans="14:29" x14ac:dyDescent="0.45">
      <c r="N197" s="8">
        <v>7.3561244411754103</v>
      </c>
      <c r="O197" s="100">
        <f t="shared" ref="O197:O235" si="24">N197-$N$5</f>
        <v>1.9200192001900263E-3</v>
      </c>
      <c r="P197" s="8">
        <v>0.29198366799999997</v>
      </c>
      <c r="Q197" s="98">
        <f t="shared" si="17"/>
        <v>0.22421434121691144</v>
      </c>
      <c r="R197" s="8">
        <v>17.604726163880599</v>
      </c>
      <c r="S197" s="102">
        <f t="shared" si="18"/>
        <v>1.920019200198908E-3</v>
      </c>
      <c r="T197" s="8">
        <v>5.3721886000000003E-2</v>
      </c>
      <c r="U197" s="101">
        <f t="shared" si="19"/>
        <v>3.4002160106965877E-2</v>
      </c>
      <c r="V197" s="8">
        <v>41.957176058994598</v>
      </c>
      <c r="W197" s="103">
        <f t="shared" si="20"/>
        <v>1.920019200198908E-3</v>
      </c>
      <c r="X197" s="8">
        <v>1.4280994E-2</v>
      </c>
      <c r="Y197" s="104">
        <f t="shared" si="21"/>
        <v>9.6573686821785024E-3</v>
      </c>
      <c r="Z197" s="8">
        <v>51.135476586314901</v>
      </c>
      <c r="AA197" s="106">
        <f t="shared" si="22"/>
        <v>1.920019200198908E-3</v>
      </c>
      <c r="AB197" s="8">
        <v>-2.5483183999999999E-2</v>
      </c>
      <c r="AC197" s="107">
        <f t="shared" si="23"/>
        <v>-1.7377089598688795E-2</v>
      </c>
    </row>
    <row r="198" spans="14:29" x14ac:dyDescent="0.45">
      <c r="N198" s="8">
        <v>7.3561344412754099</v>
      </c>
      <c r="O198" s="100">
        <f t="shared" si="24"/>
        <v>1.930019300189656E-3</v>
      </c>
      <c r="P198" s="8">
        <v>0.212132026</v>
      </c>
      <c r="Q198" s="98">
        <f t="shared" ref="Q198:Q261" si="25">P198/$Q$3</f>
        <v>0.16289624274669615</v>
      </c>
      <c r="R198" s="8">
        <v>17.604736163980601</v>
      </c>
      <c r="S198" s="102">
        <f t="shared" ref="S198:S235" si="26">R198-$R$5</f>
        <v>1.9300193002003141E-3</v>
      </c>
      <c r="T198" s="8">
        <v>3.9174015999999999E-2</v>
      </c>
      <c r="U198" s="101">
        <f t="shared" ref="U198:U261" si="27">T198/$U$3</f>
        <v>2.4794385738148562E-2</v>
      </c>
      <c r="V198" s="8">
        <v>41.957186059094603</v>
      </c>
      <c r="W198" s="103">
        <f t="shared" ref="W198:W235" si="28">V198-$V$5</f>
        <v>1.9300193002038668E-3</v>
      </c>
      <c r="X198" s="8">
        <v>-4.1463079999999996E-3</v>
      </c>
      <c r="Y198" s="104">
        <f t="shared" ref="Y198:Y261" si="29">X198/$Y$3</f>
        <v>-2.8038962151980583E-3</v>
      </c>
      <c r="Z198" s="8">
        <v>51.135486586414899</v>
      </c>
      <c r="AA198" s="106">
        <f t="shared" ref="AA198:AA235" si="30">Z198-$Z$5</f>
        <v>1.9300193001967614E-3</v>
      </c>
      <c r="AB198" s="8">
        <v>-3.0655760000000001E-2</v>
      </c>
      <c r="AC198" s="107">
        <f t="shared" ref="AC198:AC261" si="31">AB198/$AC$3</f>
        <v>-2.0904290776062366E-2</v>
      </c>
    </row>
    <row r="199" spans="14:29" x14ac:dyDescent="0.45">
      <c r="N199" s="8">
        <v>7.3561444413754096</v>
      </c>
      <c r="O199" s="100">
        <f t="shared" si="24"/>
        <v>1.9400194001892856E-3</v>
      </c>
      <c r="P199" s="8">
        <v>0.115146226</v>
      </c>
      <c r="Q199" s="98">
        <f t="shared" si="25"/>
        <v>8.842081950351964E-2</v>
      </c>
      <c r="R199" s="8">
        <v>17.604746164080598</v>
      </c>
      <c r="S199" s="102">
        <f t="shared" si="26"/>
        <v>1.9400194001981674E-3</v>
      </c>
      <c r="T199" s="8">
        <v>3.5941156000000002E-2</v>
      </c>
      <c r="U199" s="101">
        <f t="shared" si="27"/>
        <v>2.2748213656189158E-2</v>
      </c>
      <c r="V199" s="8">
        <v>41.957196059194601</v>
      </c>
      <c r="W199" s="103">
        <f t="shared" si="28"/>
        <v>1.9400194002017201E-3</v>
      </c>
      <c r="X199" s="8">
        <v>-2.3543468000000001E-2</v>
      </c>
      <c r="Y199" s="104">
        <f t="shared" si="29"/>
        <v>-1.5921017159804967E-2</v>
      </c>
      <c r="Z199" s="8">
        <v>51.135496586514897</v>
      </c>
      <c r="AA199" s="106">
        <f t="shared" si="30"/>
        <v>1.9400194001946147E-3</v>
      </c>
      <c r="AB199" s="8">
        <v>-2.2250323999999998E-2</v>
      </c>
      <c r="AC199" s="107">
        <f t="shared" si="31"/>
        <v>-1.5172588862830315E-2</v>
      </c>
    </row>
    <row r="200" spans="14:29" x14ac:dyDescent="0.45">
      <c r="N200" s="8">
        <v>7.3561544414754101</v>
      </c>
      <c r="O200" s="100">
        <f t="shared" si="24"/>
        <v>1.9500195001898035E-3</v>
      </c>
      <c r="P200" s="64">
        <v>3.9174015999999999E-2</v>
      </c>
      <c r="Q200" s="98">
        <f t="shared" si="25"/>
        <v>3.0081737963031374E-2</v>
      </c>
      <c r="R200" s="8">
        <v>17.6047561641806</v>
      </c>
      <c r="S200" s="102">
        <f t="shared" si="26"/>
        <v>1.9500195001995735E-3</v>
      </c>
      <c r="T200" s="64">
        <v>1.4604280000000001E-2</v>
      </c>
      <c r="U200" s="101">
        <f t="shared" si="27"/>
        <v>9.243477915257101E-3</v>
      </c>
      <c r="V200" s="8">
        <v>41.957206059294599</v>
      </c>
      <c r="W200" s="103">
        <f t="shared" si="28"/>
        <v>1.9500195001995735E-3</v>
      </c>
      <c r="X200" s="64">
        <v>-2.1280466000000001E-2</v>
      </c>
      <c r="Y200" s="104">
        <f t="shared" si="29"/>
        <v>-1.4390686382934162E-2</v>
      </c>
      <c r="Z200" s="8">
        <v>51.135506586614902</v>
      </c>
      <c r="AA200" s="106">
        <f t="shared" si="30"/>
        <v>1.9500195001995735E-3</v>
      </c>
      <c r="AB200" s="64">
        <v>-2.7099614000000001E-2</v>
      </c>
      <c r="AC200" s="107">
        <f t="shared" si="31"/>
        <v>-1.8479339966618036E-2</v>
      </c>
    </row>
    <row r="201" spans="14:29" x14ac:dyDescent="0.45">
      <c r="N201" s="8">
        <v>7.3561644415754204</v>
      </c>
      <c r="O201" s="100">
        <f t="shared" si="24"/>
        <v>1.9600196002000914E-3</v>
      </c>
      <c r="P201" s="8">
        <v>1.9776855999999999E-2</v>
      </c>
      <c r="Q201" s="98">
        <f t="shared" si="25"/>
        <v>1.5186653314396073E-2</v>
      </c>
      <c r="R201" s="8">
        <v>17.604766164280601</v>
      </c>
      <c r="S201" s="102">
        <f t="shared" si="26"/>
        <v>1.9600196002009795E-3</v>
      </c>
      <c r="T201" s="8">
        <v>1.349554E-3</v>
      </c>
      <c r="U201" s="101">
        <f t="shared" si="27"/>
        <v>8.5417237922354812E-4</v>
      </c>
      <c r="V201" s="8">
        <v>41.957216059394597</v>
      </c>
      <c r="W201" s="103">
        <f t="shared" si="28"/>
        <v>1.9600196001974268E-3</v>
      </c>
      <c r="X201" s="8">
        <v>-2.2896896E-2</v>
      </c>
      <c r="Y201" s="104">
        <f t="shared" si="29"/>
        <v>-1.5483779794984736E-2</v>
      </c>
      <c r="Z201" s="8">
        <v>51.1355165867149</v>
      </c>
      <c r="AA201" s="106">
        <f t="shared" si="30"/>
        <v>1.9600196001974268E-3</v>
      </c>
      <c r="AB201" s="8">
        <v>-1.8370892E-2</v>
      </c>
      <c r="AC201" s="107">
        <f t="shared" si="31"/>
        <v>-1.2527187979800139E-2</v>
      </c>
    </row>
    <row r="202" spans="14:29" x14ac:dyDescent="0.45">
      <c r="N202" s="8">
        <v>7.35617444167542</v>
      </c>
      <c r="O202" s="100">
        <f t="shared" si="24"/>
        <v>1.9700197001997211E-3</v>
      </c>
      <c r="P202" s="8">
        <v>1.137142E-2</v>
      </c>
      <c r="Q202" s="98">
        <f t="shared" si="25"/>
        <v>8.7321166333207776E-3</v>
      </c>
      <c r="R202" s="8">
        <v>17.604776164380599</v>
      </c>
      <c r="S202" s="102">
        <f t="shared" si="26"/>
        <v>1.9700197001988329E-3</v>
      </c>
      <c r="T202" s="8">
        <v>-1.6754462000000001E-2</v>
      </c>
      <c r="U202" s="101">
        <f t="shared" si="27"/>
        <v>-1.0604391279749109E-2</v>
      </c>
      <c r="V202" s="8">
        <v>41.957226059494602</v>
      </c>
      <c r="W202" s="103">
        <f t="shared" si="28"/>
        <v>1.9700197002023856E-3</v>
      </c>
      <c r="X202" s="8">
        <v>-2.6129756000000001E-2</v>
      </c>
      <c r="Y202" s="104">
        <f t="shared" si="29"/>
        <v>-1.7669966619085889E-2</v>
      </c>
      <c r="Z202" s="8">
        <v>51.135526586814898</v>
      </c>
      <c r="AA202" s="106">
        <f t="shared" si="30"/>
        <v>1.9700197001952802E-3</v>
      </c>
      <c r="AB202" s="8">
        <v>-3.0332474000000002E-2</v>
      </c>
      <c r="AC202" s="107">
        <f t="shared" si="31"/>
        <v>-2.068384070247652E-2</v>
      </c>
    </row>
    <row r="203" spans="14:29" x14ac:dyDescent="0.45">
      <c r="N203" s="8">
        <v>7.3561844417754196</v>
      </c>
      <c r="O203" s="100">
        <f t="shared" si="24"/>
        <v>1.9800198001993508E-3</v>
      </c>
      <c r="P203" s="8">
        <v>6.1988440000000002E-3</v>
      </c>
      <c r="Q203" s="98">
        <f t="shared" si="25"/>
        <v>4.7600940603513631E-3</v>
      </c>
      <c r="R203" s="8">
        <v>17.604786164480601</v>
      </c>
      <c r="S203" s="102">
        <f t="shared" si="26"/>
        <v>1.9800198002002389E-3</v>
      </c>
      <c r="T203" s="8">
        <v>-1.8047606000000001E-2</v>
      </c>
      <c r="U203" s="101">
        <f t="shared" si="27"/>
        <v>-1.142286011253287E-2</v>
      </c>
      <c r="V203" s="8">
        <v>41.957236059594599</v>
      </c>
      <c r="W203" s="103">
        <f t="shared" si="28"/>
        <v>1.9800198002002389E-3</v>
      </c>
      <c r="X203" s="8">
        <v>-1.0612028000000001E-2</v>
      </c>
      <c r="Y203" s="104">
        <f t="shared" si="29"/>
        <v>-7.1762698634003615E-3</v>
      </c>
      <c r="Z203" s="8">
        <v>51.135536586914903</v>
      </c>
      <c r="AA203" s="106">
        <f t="shared" si="30"/>
        <v>1.9800198002002389E-3</v>
      </c>
      <c r="AB203" s="8">
        <v>-2.4836612000000001E-2</v>
      </c>
      <c r="AC203" s="107">
        <f t="shared" si="31"/>
        <v>-1.6936189451517102E-2</v>
      </c>
    </row>
    <row r="204" spans="14:29" x14ac:dyDescent="0.45">
      <c r="N204" s="8">
        <v>7.3561944418754202</v>
      </c>
      <c r="O204" s="100">
        <f t="shared" si="24"/>
        <v>1.9900199001998686E-3</v>
      </c>
      <c r="P204" s="8">
        <v>9.7549899999999998E-3</v>
      </c>
      <c r="Q204" s="98">
        <f t="shared" si="25"/>
        <v>7.490859579267835E-3</v>
      </c>
      <c r="R204" s="8">
        <v>17.604796164580598</v>
      </c>
      <c r="S204" s="102">
        <f t="shared" si="26"/>
        <v>1.9900199001980923E-3</v>
      </c>
      <c r="T204" s="8">
        <v>-2.4836612000000001E-2</v>
      </c>
      <c r="U204" s="101">
        <f t="shared" si="27"/>
        <v>-1.5719821484647616E-2</v>
      </c>
      <c r="V204" s="8">
        <v>41.957246059694597</v>
      </c>
      <c r="W204" s="103">
        <f t="shared" si="28"/>
        <v>1.9900199001980923E-3</v>
      </c>
      <c r="X204" s="8">
        <v>-2.1927037999999999E-2</v>
      </c>
      <c r="Y204" s="104">
        <f t="shared" si="29"/>
        <v>-1.4827923747754389E-2</v>
      </c>
      <c r="Z204" s="8">
        <v>51.1355465870149</v>
      </c>
      <c r="AA204" s="106">
        <f t="shared" si="30"/>
        <v>1.9900199001980923E-3</v>
      </c>
      <c r="AB204" s="8">
        <v>-1.9664035999999999E-2</v>
      </c>
      <c r="AC204" s="107">
        <f t="shared" si="31"/>
        <v>-1.3408988274143531E-2</v>
      </c>
    </row>
    <row r="205" spans="14:29" x14ac:dyDescent="0.45">
      <c r="N205" s="8">
        <v>7.3562044419754198</v>
      </c>
      <c r="O205" s="100">
        <f t="shared" si="24"/>
        <v>2.0000200001994983E-3</v>
      </c>
      <c r="P205" s="8">
        <v>2.6565861999999999E-2</v>
      </c>
      <c r="Q205" s="98">
        <f t="shared" si="25"/>
        <v>2.0399932941418428E-2</v>
      </c>
      <c r="R205" s="8">
        <v>17.6048061646806</v>
      </c>
      <c r="S205" s="102">
        <f t="shared" si="26"/>
        <v>2.0000200001994983E-3</v>
      </c>
      <c r="T205" s="8">
        <v>-2.0957179999999999E-2</v>
      </c>
      <c r="U205" s="101">
        <f t="shared" si="27"/>
        <v>-1.3264414986296331E-2</v>
      </c>
      <c r="V205" s="8">
        <v>41.957256059794602</v>
      </c>
      <c r="W205" s="103">
        <f t="shared" si="28"/>
        <v>2.000020000203051E-3</v>
      </c>
      <c r="X205" s="8">
        <v>-1.7077748E-2</v>
      </c>
      <c r="Y205" s="104">
        <f t="shared" si="29"/>
        <v>-1.1548643511602664E-2</v>
      </c>
      <c r="Z205" s="8">
        <v>51.135556587114898</v>
      </c>
      <c r="AA205" s="106">
        <f t="shared" si="30"/>
        <v>2.0000200001959456E-3</v>
      </c>
      <c r="AB205" s="8">
        <v>-1.8047606000000001E-2</v>
      </c>
      <c r="AC205" s="107">
        <f t="shared" si="31"/>
        <v>-1.2306737906214291E-2</v>
      </c>
    </row>
    <row r="206" spans="14:29" x14ac:dyDescent="0.45">
      <c r="N206" s="8">
        <v>7.3562144420754203</v>
      </c>
      <c r="O206" s="100">
        <f t="shared" si="24"/>
        <v>2.0100201002000162E-3</v>
      </c>
      <c r="P206" s="8">
        <v>3.9174015999999999E-2</v>
      </c>
      <c r="Q206" s="98">
        <f t="shared" si="25"/>
        <v>3.0081737963031374E-2</v>
      </c>
      <c r="R206" s="8">
        <v>17.604816164780601</v>
      </c>
      <c r="S206" s="102">
        <f t="shared" si="26"/>
        <v>2.0100201002009044E-3</v>
      </c>
      <c r="T206" s="8">
        <v>-3.2595475999999998E-2</v>
      </c>
      <c r="U206" s="101">
        <f t="shared" si="27"/>
        <v>-2.063063448135018E-2</v>
      </c>
      <c r="V206" s="8">
        <v>41.9572660598946</v>
      </c>
      <c r="W206" s="103">
        <f t="shared" si="28"/>
        <v>2.0100201002009044E-3</v>
      </c>
      <c r="X206" s="8">
        <v>-2.7099614000000001E-2</v>
      </c>
      <c r="Y206" s="104">
        <f t="shared" si="29"/>
        <v>-1.8325822666316233E-2</v>
      </c>
      <c r="Z206" s="8">
        <v>51.135566587214903</v>
      </c>
      <c r="AA206" s="106">
        <f t="shared" si="30"/>
        <v>2.0100201002009044E-3</v>
      </c>
      <c r="AB206" s="8">
        <v>-2.4836612000000001E-2</v>
      </c>
      <c r="AC206" s="107">
        <f t="shared" si="31"/>
        <v>-1.6936189451517102E-2</v>
      </c>
    </row>
    <row r="207" spans="14:29" x14ac:dyDescent="0.45">
      <c r="N207" s="8">
        <v>7.3562244421754199</v>
      </c>
      <c r="O207" s="100">
        <f t="shared" si="24"/>
        <v>2.0200202001996459E-3</v>
      </c>
      <c r="P207" s="8">
        <v>3.9497301999999998E-2</v>
      </c>
      <c r="Q207" s="98">
        <f t="shared" si="25"/>
        <v>3.0329989373841963E-2</v>
      </c>
      <c r="R207" s="8">
        <v>17.604826164880699</v>
      </c>
      <c r="S207" s="102">
        <f t="shared" si="26"/>
        <v>2.0200202002982337E-3</v>
      </c>
      <c r="T207" s="8">
        <v>-1.934075E-2</v>
      </c>
      <c r="U207" s="101">
        <f t="shared" si="27"/>
        <v>-1.224132894531663E-2</v>
      </c>
      <c r="V207" s="8">
        <v>41.957276059994598</v>
      </c>
      <c r="W207" s="103">
        <f t="shared" si="28"/>
        <v>2.0200202001987577E-3</v>
      </c>
      <c r="X207" s="8">
        <v>-2.5159898E-2</v>
      </c>
      <c r="Y207" s="104">
        <f t="shared" si="29"/>
        <v>-1.7014110571855541E-2</v>
      </c>
      <c r="Z207" s="8">
        <v>51.135576587314901</v>
      </c>
      <c r="AA207" s="106">
        <f t="shared" si="30"/>
        <v>2.0200202001987577E-3</v>
      </c>
      <c r="AB207" s="8">
        <v>-2.3220181999999999E-2</v>
      </c>
      <c r="AC207" s="107">
        <f t="shared" si="31"/>
        <v>-1.5833939083587861E-2</v>
      </c>
    </row>
    <row r="208" spans="14:29" x14ac:dyDescent="0.45">
      <c r="N208" s="8">
        <v>7.3562344422754196</v>
      </c>
      <c r="O208" s="100">
        <f t="shared" si="24"/>
        <v>2.0300203001992756E-3</v>
      </c>
      <c r="P208" s="8">
        <v>3.1415152000000002E-2</v>
      </c>
      <c r="Q208" s="98">
        <f t="shared" si="25"/>
        <v>2.4123704103577257E-2</v>
      </c>
      <c r="R208" s="8">
        <v>17.6048361649807</v>
      </c>
      <c r="S208" s="102">
        <f t="shared" si="26"/>
        <v>2.0300203002996398E-3</v>
      </c>
      <c r="T208" s="8">
        <v>-2.2573610000000001E-2</v>
      </c>
      <c r="U208" s="101">
        <f t="shared" si="27"/>
        <v>-1.4287501027276033E-2</v>
      </c>
      <c r="V208" s="8">
        <v>41.957286060094603</v>
      </c>
      <c r="W208" s="103">
        <f t="shared" si="28"/>
        <v>2.0300203002037165E-3</v>
      </c>
      <c r="X208" s="8">
        <v>-2.6129756000000001E-2</v>
      </c>
      <c r="Y208" s="104">
        <f t="shared" si="29"/>
        <v>-1.7669966619085889E-2</v>
      </c>
      <c r="Z208" s="8">
        <v>51.135586587414899</v>
      </c>
      <c r="AA208" s="106">
        <f t="shared" si="30"/>
        <v>2.0300203001966111E-3</v>
      </c>
      <c r="AB208" s="8">
        <v>-2.1927037999999999E-2</v>
      </c>
      <c r="AC208" s="107">
        <f t="shared" si="31"/>
        <v>-1.4952138789244467E-2</v>
      </c>
    </row>
    <row r="209" spans="14:29" x14ac:dyDescent="0.45">
      <c r="N209" s="8">
        <v>7.3562444423754201</v>
      </c>
      <c r="O209" s="100">
        <f t="shared" si="24"/>
        <v>2.0400204001997935E-3</v>
      </c>
      <c r="P209" s="8">
        <v>2.6889148000000002E-2</v>
      </c>
      <c r="Q209" s="98">
        <f t="shared" si="25"/>
        <v>2.064818435222902E-2</v>
      </c>
      <c r="R209" s="8">
        <v>17.604846165080598</v>
      </c>
      <c r="S209" s="102">
        <f t="shared" si="26"/>
        <v>2.0400204001980171E-3</v>
      </c>
      <c r="T209" s="8">
        <v>-1.6754462000000001E-2</v>
      </c>
      <c r="U209" s="101">
        <f t="shared" si="27"/>
        <v>-1.0604391279749109E-2</v>
      </c>
      <c r="V209" s="8">
        <v>41.957296060194601</v>
      </c>
      <c r="W209" s="103">
        <f t="shared" si="28"/>
        <v>2.0400204002015698E-3</v>
      </c>
      <c r="X209" s="8">
        <v>-2.7099614000000001E-2</v>
      </c>
      <c r="Y209" s="104">
        <f t="shared" si="29"/>
        <v>-1.8325822666316233E-2</v>
      </c>
      <c r="Z209" s="8">
        <v>51.135596587514897</v>
      </c>
      <c r="AA209" s="106">
        <f t="shared" si="30"/>
        <v>2.0400204001944644E-3</v>
      </c>
      <c r="AB209" s="8">
        <v>-2.5483183999999999E-2</v>
      </c>
      <c r="AC209" s="107">
        <f t="shared" si="31"/>
        <v>-1.7377089598688795E-2</v>
      </c>
    </row>
    <row r="210" spans="14:29" x14ac:dyDescent="0.45">
      <c r="N210" s="8">
        <v>7.3562544424754304</v>
      </c>
      <c r="O210" s="100">
        <f t="shared" si="24"/>
        <v>2.0500205002100813E-3</v>
      </c>
      <c r="P210" s="8">
        <v>1.0724848E-2</v>
      </c>
      <c r="Q210" s="98">
        <f t="shared" si="25"/>
        <v>8.2356138116996009E-3</v>
      </c>
      <c r="R210" s="8">
        <v>17.604856165180699</v>
      </c>
      <c r="S210" s="102">
        <f t="shared" si="26"/>
        <v>2.0500205002988992E-3</v>
      </c>
      <c r="T210" s="8">
        <v>-1.1258600000000001E-2</v>
      </c>
      <c r="U210" s="101">
        <f t="shared" si="27"/>
        <v>-7.1258987404181229E-3</v>
      </c>
      <c r="V210" s="8">
        <v>41.957306060294599</v>
      </c>
      <c r="W210" s="103">
        <f t="shared" si="28"/>
        <v>2.0500205001994232E-3</v>
      </c>
      <c r="X210" s="8">
        <v>-2.5483183999999999E-2</v>
      </c>
      <c r="Y210" s="104">
        <f t="shared" si="29"/>
        <v>-1.7232729254265656E-2</v>
      </c>
      <c r="Z210" s="8">
        <v>51.135606587614902</v>
      </c>
      <c r="AA210" s="106">
        <f t="shared" si="30"/>
        <v>2.0500205001994232E-3</v>
      </c>
      <c r="AB210" s="8">
        <v>2.3194119999999999E-3</v>
      </c>
      <c r="AC210" s="107">
        <f t="shared" si="31"/>
        <v>1.5816167296941377E-3</v>
      </c>
    </row>
    <row r="211" spans="14:29" x14ac:dyDescent="0.45">
      <c r="N211" s="8">
        <v>7.35626444257543</v>
      </c>
      <c r="O211" s="100">
        <f t="shared" si="24"/>
        <v>2.060020600209711E-3</v>
      </c>
      <c r="P211" s="8">
        <v>-1.3844888E-2</v>
      </c>
      <c r="Q211" s="98">
        <f t="shared" si="25"/>
        <v>-1.0631493409905114E-2</v>
      </c>
      <c r="R211" s="8">
        <v>17.604866165280701</v>
      </c>
      <c r="S211" s="102">
        <f t="shared" si="26"/>
        <v>2.0600206003003052E-3</v>
      </c>
      <c r="T211" s="8">
        <v>-8.9955980000000005E-3</v>
      </c>
      <c r="U211" s="101">
        <f t="shared" si="27"/>
        <v>-5.6935782830465414E-3</v>
      </c>
      <c r="V211" s="8">
        <v>41.957316060394596</v>
      </c>
      <c r="W211" s="103">
        <f t="shared" si="28"/>
        <v>2.0600206001972765E-3</v>
      </c>
      <c r="X211" s="8">
        <v>-2.8069472000000002E-2</v>
      </c>
      <c r="Y211" s="104">
        <f t="shared" si="29"/>
        <v>-1.8981678713546578E-2</v>
      </c>
      <c r="Z211" s="8">
        <v>51.1356165877149</v>
      </c>
      <c r="AA211" s="106">
        <f t="shared" si="30"/>
        <v>2.0600206001972765E-3</v>
      </c>
      <c r="AB211" s="8">
        <v>5.6631460000000002E-2</v>
      </c>
      <c r="AC211" s="107">
        <f t="shared" si="31"/>
        <v>3.8617229092116616E-2</v>
      </c>
    </row>
    <row r="212" spans="14:29" x14ac:dyDescent="0.45">
      <c r="N212" s="8">
        <v>7.3562744426754296</v>
      </c>
      <c r="O212" s="100">
        <f t="shared" si="24"/>
        <v>2.0700207002093407E-3</v>
      </c>
      <c r="P212" s="8">
        <v>-1.9664035999999999E-2</v>
      </c>
      <c r="Q212" s="98">
        <f t="shared" si="25"/>
        <v>-1.5100018804495704E-2</v>
      </c>
      <c r="R212" s="8">
        <v>17.604876165380698</v>
      </c>
      <c r="S212" s="102">
        <f t="shared" si="26"/>
        <v>2.0700207002981585E-3</v>
      </c>
      <c r="T212" s="8">
        <v>-8.9955980000000005E-3</v>
      </c>
      <c r="U212" s="101">
        <f t="shared" si="27"/>
        <v>-5.6935782830465414E-3</v>
      </c>
      <c r="V212" s="8">
        <v>41.957326060494601</v>
      </c>
      <c r="W212" s="103">
        <f t="shared" si="28"/>
        <v>2.0700207002022353E-3</v>
      </c>
      <c r="X212" s="8">
        <v>-2.7099614000000001E-2</v>
      </c>
      <c r="Y212" s="104">
        <f t="shared" si="29"/>
        <v>-1.8325822666316233E-2</v>
      </c>
      <c r="Z212" s="8">
        <v>51.135626587814897</v>
      </c>
      <c r="AA212" s="106">
        <f t="shared" si="30"/>
        <v>2.0700207001951298E-3</v>
      </c>
      <c r="AB212" s="8">
        <v>8.7343630000000005E-2</v>
      </c>
      <c r="AC212" s="107">
        <f t="shared" si="31"/>
        <v>5.955998608277218E-2</v>
      </c>
    </row>
    <row r="213" spans="14:29" x14ac:dyDescent="0.45">
      <c r="N213" s="8">
        <v>7.3562844427754301</v>
      </c>
      <c r="O213" s="100">
        <f t="shared" si="24"/>
        <v>2.0800208002098586E-3</v>
      </c>
      <c r="P213" s="8">
        <v>-2.1280466000000001E-2</v>
      </c>
      <c r="Q213" s="98">
        <f t="shared" si="25"/>
        <v>-1.6341275858548648E-2</v>
      </c>
      <c r="R213" s="8">
        <v>17.6048861654807</v>
      </c>
      <c r="S213" s="102">
        <f t="shared" si="26"/>
        <v>2.0800208002995646E-3</v>
      </c>
      <c r="T213" s="8">
        <v>-7.3791680000000002E-3</v>
      </c>
      <c r="U213" s="101">
        <f t="shared" si="27"/>
        <v>-4.6704922420668397E-3</v>
      </c>
      <c r="V213" s="8">
        <v>41.957336060594599</v>
      </c>
      <c r="W213" s="103">
        <f t="shared" si="28"/>
        <v>2.0800208002000886E-3</v>
      </c>
      <c r="X213" s="8">
        <v>-2.1927037999999999E-2</v>
      </c>
      <c r="Y213" s="104">
        <f t="shared" si="29"/>
        <v>-1.4827923747754389E-2</v>
      </c>
      <c r="Z213" s="8">
        <v>51.135636587914902</v>
      </c>
      <c r="AA213" s="106">
        <f t="shared" si="30"/>
        <v>2.0800208002000886E-3</v>
      </c>
      <c r="AB213" s="8">
        <v>8.3140911999999997E-2</v>
      </c>
      <c r="AC213" s="107">
        <f t="shared" si="31"/>
        <v>5.6694135126156155E-2</v>
      </c>
    </row>
    <row r="214" spans="14:29" x14ac:dyDescent="0.45">
      <c r="N214" s="8">
        <v>7.3562944428754298</v>
      </c>
      <c r="O214" s="100">
        <f t="shared" si="24"/>
        <v>2.0900209002094883E-3</v>
      </c>
      <c r="P214" s="8">
        <v>-2.8716044E-2</v>
      </c>
      <c r="Q214" s="98">
        <f t="shared" si="25"/>
        <v>-2.205105830719218E-2</v>
      </c>
      <c r="R214" s="8">
        <v>17.604896165580701</v>
      </c>
      <c r="S214" s="102">
        <f t="shared" si="26"/>
        <v>2.0900209003009707E-3</v>
      </c>
      <c r="T214" s="8">
        <v>-1.0935314E-2</v>
      </c>
      <c r="U214" s="101">
        <f t="shared" si="27"/>
        <v>-6.9212815322221826E-3</v>
      </c>
      <c r="V214" s="8">
        <v>41.957346060694597</v>
      </c>
      <c r="W214" s="103">
        <f t="shared" si="28"/>
        <v>2.090020900197942E-3</v>
      </c>
      <c r="X214" s="8">
        <v>-2.6776327999999999E-2</v>
      </c>
      <c r="Y214" s="104">
        <f t="shared" si="29"/>
        <v>-1.8107203983906115E-2</v>
      </c>
      <c r="Z214" s="8">
        <v>51.1356465880149</v>
      </c>
      <c r="AA214" s="106">
        <f t="shared" si="30"/>
        <v>2.090020900197942E-3</v>
      </c>
      <c r="AB214" s="8">
        <v>8.4110770000000001E-2</v>
      </c>
      <c r="AC214" s="107">
        <f t="shared" si="31"/>
        <v>5.7355485346913697E-2</v>
      </c>
    </row>
    <row r="215" spans="14:29" x14ac:dyDescent="0.45">
      <c r="N215" s="8">
        <v>7.3563044429754303</v>
      </c>
      <c r="O215" s="100">
        <f t="shared" si="24"/>
        <v>2.1000210002100062E-3</v>
      </c>
      <c r="P215" s="8">
        <v>-2.1280466000000001E-2</v>
      </c>
      <c r="Q215" s="98">
        <f t="shared" si="25"/>
        <v>-1.6341275858548648E-2</v>
      </c>
      <c r="R215" s="8">
        <v>17.604906165680699</v>
      </c>
      <c r="S215" s="102">
        <f t="shared" si="26"/>
        <v>2.100021000298824E-3</v>
      </c>
      <c r="T215" s="8">
        <v>-1.1258600000000001E-2</v>
      </c>
      <c r="U215" s="101">
        <f t="shared" si="27"/>
        <v>-7.1258987404181229E-3</v>
      </c>
      <c r="V215" s="8">
        <v>41.957356060794602</v>
      </c>
      <c r="W215" s="103">
        <f t="shared" si="28"/>
        <v>2.1000210002029007E-3</v>
      </c>
      <c r="X215" s="8">
        <v>-1.610789E-2</v>
      </c>
      <c r="Y215" s="104">
        <f t="shared" si="29"/>
        <v>-1.0892787464372318E-2</v>
      </c>
      <c r="Z215" s="8">
        <v>51.135656588114898</v>
      </c>
      <c r="AA215" s="106">
        <f t="shared" si="30"/>
        <v>2.1000210001957953E-3</v>
      </c>
      <c r="AB215" s="8">
        <v>7.8291622000000005E-2</v>
      </c>
      <c r="AC215" s="107">
        <f t="shared" si="31"/>
        <v>5.3387384022368436E-2</v>
      </c>
    </row>
    <row r="216" spans="14:29" x14ac:dyDescent="0.45">
      <c r="N216" s="8">
        <v>7.3563144430754299</v>
      </c>
      <c r="O216" s="100">
        <f t="shared" si="24"/>
        <v>2.1100211002096358E-3</v>
      </c>
      <c r="P216" s="8">
        <v>-1.8047606000000001E-2</v>
      </c>
      <c r="Q216" s="98">
        <f t="shared" si="25"/>
        <v>-1.3858761750442764E-2</v>
      </c>
      <c r="R216" s="8">
        <v>17.604916165780701</v>
      </c>
      <c r="S216" s="102">
        <f t="shared" si="26"/>
        <v>2.11002110030023E-3</v>
      </c>
      <c r="T216" s="8">
        <v>-1.9017464000000001E-2</v>
      </c>
      <c r="U216" s="101">
        <f t="shared" si="27"/>
        <v>-1.2036711737120691E-2</v>
      </c>
      <c r="V216" s="8">
        <v>41.9573660608946</v>
      </c>
      <c r="W216" s="103">
        <f t="shared" si="28"/>
        <v>2.1100211002007541E-3</v>
      </c>
      <c r="X216" s="8">
        <v>-2.2250323999999998E-2</v>
      </c>
      <c r="Y216" s="104">
        <f t="shared" si="29"/>
        <v>-1.5046542430164504E-2</v>
      </c>
      <c r="Z216" s="8">
        <v>51.135666588214903</v>
      </c>
      <c r="AA216" s="106">
        <f t="shared" si="30"/>
        <v>2.1100211002007541E-3</v>
      </c>
      <c r="AB216" s="8">
        <v>6.7299897999999997E-2</v>
      </c>
      <c r="AC216" s="107">
        <f t="shared" si="31"/>
        <v>4.5892081520449594E-2</v>
      </c>
    </row>
    <row r="217" spans="14:29" x14ac:dyDescent="0.45">
      <c r="N217" s="8">
        <v>7.3563244431754304</v>
      </c>
      <c r="O217" s="100">
        <f t="shared" si="24"/>
        <v>2.1200212002101537E-3</v>
      </c>
      <c r="P217" s="8">
        <v>-1.4168174E-2</v>
      </c>
      <c r="Q217" s="98">
        <f t="shared" si="25"/>
        <v>-1.0879744820715704E-2</v>
      </c>
      <c r="R217" s="8">
        <v>17.604926165880698</v>
      </c>
      <c r="S217" s="102">
        <f t="shared" si="26"/>
        <v>2.1200212002980834E-3</v>
      </c>
      <c r="T217" s="8">
        <v>-1.3844888E-2</v>
      </c>
      <c r="U217" s="101">
        <f t="shared" si="27"/>
        <v>-8.7628364059856457E-3</v>
      </c>
      <c r="V217" s="8">
        <v>41.957376060994598</v>
      </c>
      <c r="W217" s="103">
        <f t="shared" si="28"/>
        <v>2.1200212001986074E-3</v>
      </c>
      <c r="X217" s="8">
        <v>-2.3866754E-2</v>
      </c>
      <c r="Y217" s="104">
        <f t="shared" si="29"/>
        <v>-1.6139635842215082E-2</v>
      </c>
      <c r="Z217" s="8">
        <v>51.135676588314901</v>
      </c>
      <c r="AA217" s="106">
        <f t="shared" si="30"/>
        <v>2.1200212001986074E-3</v>
      </c>
      <c r="AB217" s="8">
        <v>6.1157464000000002E-2</v>
      </c>
      <c r="AC217" s="107">
        <f t="shared" si="31"/>
        <v>4.1703530122318484E-2</v>
      </c>
    </row>
    <row r="218" spans="14:29" x14ac:dyDescent="0.45">
      <c r="N218" s="8">
        <v>7.3563344432754301</v>
      </c>
      <c r="O218" s="100">
        <f t="shared" si="24"/>
        <v>2.1300213002097834E-3</v>
      </c>
      <c r="P218" s="8">
        <v>-1.610789E-2</v>
      </c>
      <c r="Q218" s="98">
        <f t="shared" si="25"/>
        <v>-1.2369253285579232E-2</v>
      </c>
      <c r="R218" s="8">
        <v>17.6049361659807</v>
      </c>
      <c r="S218" s="102">
        <f t="shared" si="26"/>
        <v>2.1300213002994894E-3</v>
      </c>
      <c r="T218" s="8">
        <v>-9.6421700000000003E-3</v>
      </c>
      <c r="U218" s="101">
        <f t="shared" si="27"/>
        <v>-6.1028126994384221E-3</v>
      </c>
      <c r="V218" s="8">
        <v>41.957386061094603</v>
      </c>
      <c r="W218" s="103">
        <f t="shared" si="28"/>
        <v>2.1300213002035662E-3</v>
      </c>
      <c r="X218" s="8">
        <v>-8.6723119999999997E-3</v>
      </c>
      <c r="Y218" s="104">
        <f t="shared" si="29"/>
        <v>-5.86455776893967E-3</v>
      </c>
      <c r="Z218" s="8">
        <v>51.135686588414899</v>
      </c>
      <c r="AA218" s="106">
        <f t="shared" si="30"/>
        <v>2.1300213001964607E-3</v>
      </c>
      <c r="AB218" s="8">
        <v>8.7020343999999999E-2</v>
      </c>
      <c r="AC218" s="107">
        <f t="shared" si="31"/>
        <v>5.9339536009186331E-2</v>
      </c>
    </row>
    <row r="219" spans="14:29" x14ac:dyDescent="0.45">
      <c r="N219" s="8">
        <v>7.3563444433754297</v>
      </c>
      <c r="O219" s="100">
        <f t="shared" si="24"/>
        <v>2.1400214002094131E-3</v>
      </c>
      <c r="P219" s="8">
        <v>-2.6453042E-2</v>
      </c>
      <c r="Q219" s="98">
        <f t="shared" si="25"/>
        <v>-2.0313298431518061E-2</v>
      </c>
      <c r="R219" s="8">
        <v>17.604946166080701</v>
      </c>
      <c r="S219" s="102">
        <f t="shared" si="26"/>
        <v>2.1400214003008955E-3</v>
      </c>
      <c r="T219" s="8">
        <v>-6.7325960000000004E-3</v>
      </c>
      <c r="U219" s="101">
        <f t="shared" si="27"/>
        <v>-4.261257825674959E-3</v>
      </c>
      <c r="V219" s="8">
        <v>41.957396061194601</v>
      </c>
      <c r="W219" s="103">
        <f t="shared" si="28"/>
        <v>2.1400214002014195E-3</v>
      </c>
      <c r="X219" s="8">
        <v>6.2773893999999997E-2</v>
      </c>
      <c r="Y219" s="104">
        <f t="shared" si="29"/>
        <v>4.2450171043695771E-2</v>
      </c>
      <c r="Z219" s="8">
        <v>51.135696588514897</v>
      </c>
      <c r="AA219" s="106">
        <f t="shared" si="30"/>
        <v>2.1400214001943141E-3</v>
      </c>
      <c r="AB219" s="8">
        <v>0.10932707799999999</v>
      </c>
      <c r="AC219" s="107">
        <f t="shared" si="31"/>
        <v>7.4550591086609844E-2</v>
      </c>
    </row>
    <row r="220" spans="14:29" x14ac:dyDescent="0.45">
      <c r="N220" s="8">
        <v>7.35635444347544</v>
      </c>
      <c r="O220" s="100">
        <f t="shared" si="24"/>
        <v>2.150021500219701E-3</v>
      </c>
      <c r="P220" s="8">
        <v>-2.3220181999999999E-2</v>
      </c>
      <c r="Q220" s="98">
        <f t="shared" si="25"/>
        <v>-1.7830784323412178E-2</v>
      </c>
      <c r="R220" s="8">
        <v>17.604956166180699</v>
      </c>
      <c r="S220" s="102">
        <f t="shared" si="26"/>
        <v>2.1500215002987488E-3</v>
      </c>
      <c r="T220" s="8">
        <v>-7.3791680000000002E-3</v>
      </c>
      <c r="U220" s="101">
        <f t="shared" si="27"/>
        <v>-4.6704922420668397E-3</v>
      </c>
      <c r="V220" s="8">
        <v>41.957406061294598</v>
      </c>
      <c r="W220" s="103">
        <f t="shared" si="28"/>
        <v>2.1500215001992729E-3</v>
      </c>
      <c r="X220" s="8">
        <v>0.11611608399999999</v>
      </c>
      <c r="Y220" s="104">
        <f t="shared" si="29"/>
        <v>7.8522253641364767E-2</v>
      </c>
      <c r="Z220" s="8">
        <v>51.135706588614902</v>
      </c>
      <c r="AA220" s="106">
        <f t="shared" si="30"/>
        <v>2.1500215001992729E-3</v>
      </c>
      <c r="AB220" s="8">
        <v>0.139715962</v>
      </c>
      <c r="AC220" s="107">
        <f t="shared" si="31"/>
        <v>9.5272898003679565E-2</v>
      </c>
    </row>
    <row r="221" spans="14:29" x14ac:dyDescent="0.45">
      <c r="N221" s="8">
        <v>7.3563644435754396</v>
      </c>
      <c r="O221" s="100">
        <f t="shared" si="24"/>
        <v>2.1600216002193307E-3</v>
      </c>
      <c r="P221" s="8">
        <v>-2.5483183999999999E-2</v>
      </c>
      <c r="Q221" s="98">
        <f t="shared" si="25"/>
        <v>-1.9568544199086296E-2</v>
      </c>
      <c r="R221" s="8">
        <v>17.6049661662807</v>
      </c>
      <c r="S221" s="102">
        <f t="shared" si="26"/>
        <v>2.1600216003001549E-3</v>
      </c>
      <c r="T221" s="8">
        <v>-1.0935314E-2</v>
      </c>
      <c r="U221" s="101">
        <f t="shared" si="27"/>
        <v>-6.9212815322221826E-3</v>
      </c>
      <c r="V221" s="8">
        <v>41.957416061394603</v>
      </c>
      <c r="W221" s="103">
        <f t="shared" si="28"/>
        <v>2.1600216002042316E-3</v>
      </c>
      <c r="X221" s="8">
        <v>9.8981925999999998E-2</v>
      </c>
      <c r="Y221" s="104">
        <f t="shared" si="29"/>
        <v>6.6935463473628665E-2</v>
      </c>
      <c r="Z221" s="8">
        <v>51.135716588714899</v>
      </c>
      <c r="AA221" s="106">
        <f t="shared" si="30"/>
        <v>2.1600216001971262E-3</v>
      </c>
      <c r="AB221" s="8">
        <v>0.16622541399999999</v>
      </c>
      <c r="AC221" s="107">
        <f t="shared" si="31"/>
        <v>0.1133498040377191</v>
      </c>
    </row>
    <row r="222" spans="14:29" x14ac:dyDescent="0.45">
      <c r="N222" s="8">
        <v>7.3563744436754401</v>
      </c>
      <c r="O222" s="100">
        <f t="shared" si="24"/>
        <v>2.1700217002198485E-3</v>
      </c>
      <c r="P222" s="8">
        <v>-2.9039329999999999E-2</v>
      </c>
      <c r="Q222" s="98">
        <f t="shared" si="25"/>
        <v>-2.2299309718002765E-2</v>
      </c>
      <c r="R222" s="8">
        <v>17.604976166380698</v>
      </c>
      <c r="S222" s="102">
        <f t="shared" si="26"/>
        <v>2.1700217002980082E-3</v>
      </c>
      <c r="T222" s="8">
        <v>-1.4491459999999999E-2</v>
      </c>
      <c r="U222" s="101">
        <f t="shared" si="27"/>
        <v>-9.1720708223775246E-3</v>
      </c>
      <c r="V222" s="8">
        <v>41.957426061494601</v>
      </c>
      <c r="W222" s="103">
        <f t="shared" si="28"/>
        <v>2.170021700202085E-3</v>
      </c>
      <c r="X222" s="8">
        <v>4.8872595999999997E-2</v>
      </c>
      <c r="Y222" s="104">
        <f t="shared" si="29"/>
        <v>3.3049567700060817E-2</v>
      </c>
      <c r="Z222" s="8">
        <v>51.135726588814897</v>
      </c>
      <c r="AA222" s="106">
        <f t="shared" si="30"/>
        <v>2.1700217001949795E-3</v>
      </c>
      <c r="AB222" s="8">
        <v>0.12581466399999999</v>
      </c>
      <c r="AC222" s="107">
        <f t="shared" si="31"/>
        <v>8.579354483948809E-2</v>
      </c>
    </row>
    <row r="223" spans="14:29" x14ac:dyDescent="0.45">
      <c r="N223" s="8">
        <v>7.3563844437754398</v>
      </c>
      <c r="O223" s="100">
        <f t="shared" si="24"/>
        <v>2.1800218002194782E-3</v>
      </c>
      <c r="P223" s="8">
        <v>-2.3543468000000001E-2</v>
      </c>
      <c r="Q223" s="98">
        <f t="shared" si="25"/>
        <v>-1.8079035734222766E-2</v>
      </c>
      <c r="R223" s="8">
        <v>17.6049861664807</v>
      </c>
      <c r="S223" s="102">
        <f t="shared" si="26"/>
        <v>2.1800218002994143E-3</v>
      </c>
      <c r="T223" s="8">
        <v>-1.2228457999999999E-2</v>
      </c>
      <c r="U223" s="101">
        <f t="shared" si="27"/>
        <v>-7.7397503650059431E-3</v>
      </c>
      <c r="V223" s="8">
        <v>41.957436061594599</v>
      </c>
      <c r="W223" s="103">
        <f t="shared" si="28"/>
        <v>2.1800218001999383E-3</v>
      </c>
      <c r="X223" s="8">
        <v>4.1113732E-2</v>
      </c>
      <c r="Y223" s="104">
        <f t="shared" si="29"/>
        <v>2.7802719322218058E-2</v>
      </c>
      <c r="Z223" s="8">
        <v>51.135736588914902</v>
      </c>
      <c r="AA223" s="106">
        <f t="shared" si="30"/>
        <v>2.1800218001999383E-3</v>
      </c>
      <c r="AB223" s="8">
        <v>3.9820587999999997E-2</v>
      </c>
      <c r="AC223" s="107">
        <f t="shared" si="31"/>
        <v>2.7153825265652513E-2</v>
      </c>
    </row>
    <row r="224" spans="14:29" x14ac:dyDescent="0.45">
      <c r="N224" s="8">
        <v>7.3563944438754403</v>
      </c>
      <c r="O224" s="100">
        <f t="shared" si="24"/>
        <v>2.1900219002199961E-3</v>
      </c>
      <c r="P224" s="8">
        <v>-2.5806470000000001E-2</v>
      </c>
      <c r="Q224" s="98">
        <f t="shared" si="25"/>
        <v>-1.9816795609896885E-2</v>
      </c>
      <c r="R224" s="8">
        <v>17.604996166580701</v>
      </c>
      <c r="S224" s="102">
        <f t="shared" si="26"/>
        <v>2.1900219003008203E-3</v>
      </c>
      <c r="T224" s="8">
        <v>-1.8047606000000001E-2</v>
      </c>
      <c r="U224" s="101">
        <f t="shared" si="27"/>
        <v>-1.142286011253287E-2</v>
      </c>
      <c r="V224" s="8">
        <v>41.957446061694597</v>
      </c>
      <c r="W224" s="103">
        <f t="shared" si="28"/>
        <v>2.1900219001977916E-3</v>
      </c>
      <c r="X224" s="8">
        <v>4.5639736E-2</v>
      </c>
      <c r="Y224" s="104">
        <f t="shared" si="29"/>
        <v>3.0863380875959669E-2</v>
      </c>
      <c r="Z224" s="8">
        <v>51.1357465890149</v>
      </c>
      <c r="AA224" s="106">
        <f t="shared" si="30"/>
        <v>2.1900219001977916E-3</v>
      </c>
      <c r="AB224" s="8">
        <v>-1.4491459999999999E-2</v>
      </c>
      <c r="AC224" s="107">
        <f t="shared" si="31"/>
        <v>-9.8817870967699614E-3</v>
      </c>
    </row>
    <row r="225" spans="13:29" x14ac:dyDescent="0.45">
      <c r="N225" s="8">
        <v>7.3564044439754399</v>
      </c>
      <c r="O225" s="100">
        <f t="shared" si="24"/>
        <v>2.2000220002196258E-3</v>
      </c>
      <c r="P225" s="8">
        <v>-2.6129756000000001E-2</v>
      </c>
      <c r="Q225" s="98">
        <f t="shared" si="25"/>
        <v>-2.0065047020707473E-2</v>
      </c>
      <c r="R225" s="8">
        <v>17.605006166680699</v>
      </c>
      <c r="S225" s="102">
        <f t="shared" si="26"/>
        <v>2.2000220002986737E-3</v>
      </c>
      <c r="T225" s="8">
        <v>-1.8694177999999999E-2</v>
      </c>
      <c r="U225" s="101">
        <f t="shared" si="27"/>
        <v>-1.1832094528924749E-2</v>
      </c>
      <c r="V225" s="8">
        <v>41.957456061794602</v>
      </c>
      <c r="W225" s="103">
        <f t="shared" si="28"/>
        <v>2.2000220002027504E-3</v>
      </c>
      <c r="X225" s="8">
        <v>4.8226023999999999E-2</v>
      </c>
      <c r="Y225" s="104">
        <f t="shared" si="29"/>
        <v>3.2612330335240587E-2</v>
      </c>
      <c r="Z225" s="8">
        <v>51.135756589114898</v>
      </c>
      <c r="AA225" s="106">
        <f t="shared" si="30"/>
        <v>2.200022000195645E-3</v>
      </c>
      <c r="AB225" s="8">
        <v>-6.4093099999999997E-3</v>
      </c>
      <c r="AC225" s="107">
        <f t="shared" si="31"/>
        <v>-4.3705352571237598E-3</v>
      </c>
    </row>
    <row r="226" spans="13:29" x14ac:dyDescent="0.45">
      <c r="N226" s="8">
        <v>7.3564144440754404</v>
      </c>
      <c r="O226" s="100">
        <f t="shared" si="24"/>
        <v>2.2100221002201437E-3</v>
      </c>
      <c r="P226" s="8">
        <v>-2.5159898E-2</v>
      </c>
      <c r="Q226" s="98">
        <f t="shared" si="25"/>
        <v>-1.9320292788275708E-2</v>
      </c>
      <c r="R226" s="8">
        <v>17.6050161667807</v>
      </c>
      <c r="S226" s="102">
        <f t="shared" si="26"/>
        <v>2.2100221003000797E-3</v>
      </c>
      <c r="T226" s="8">
        <v>-9.9654559999999993E-3</v>
      </c>
      <c r="U226" s="101">
        <f t="shared" si="27"/>
        <v>-6.3074299076343616E-3</v>
      </c>
      <c r="V226" s="8">
        <v>41.9574660618946</v>
      </c>
      <c r="W226" s="103">
        <f t="shared" si="28"/>
        <v>2.2100221002006037E-3</v>
      </c>
      <c r="X226" s="8">
        <v>8.5403913999999997E-2</v>
      </c>
      <c r="Y226" s="104">
        <f t="shared" si="29"/>
        <v>5.7753478812403829E-2</v>
      </c>
      <c r="Z226" s="8">
        <v>51.135766589214903</v>
      </c>
      <c r="AA226" s="106">
        <f t="shared" si="30"/>
        <v>2.2100221002006037E-3</v>
      </c>
      <c r="AB226" s="8">
        <v>4.5824139999999999E-3</v>
      </c>
      <c r="AC226" s="107">
        <f t="shared" si="31"/>
        <v>3.1247672447950741E-3</v>
      </c>
    </row>
    <row r="227" spans="13:29" x14ac:dyDescent="0.45">
      <c r="N227" s="8">
        <v>7.3564244441754401</v>
      </c>
      <c r="O227" s="100">
        <f t="shared" si="24"/>
        <v>2.2200222002197734E-3</v>
      </c>
      <c r="P227" s="8">
        <v>-2.2573610000000001E-2</v>
      </c>
      <c r="Q227" s="98">
        <f t="shared" si="25"/>
        <v>-1.7334281501791001E-2</v>
      </c>
      <c r="R227" s="8">
        <v>17.605026166880702</v>
      </c>
      <c r="S227" s="102">
        <f t="shared" si="26"/>
        <v>2.2200222003014858E-3</v>
      </c>
      <c r="T227" s="8">
        <v>1.349554E-3</v>
      </c>
      <c r="U227" s="101">
        <f t="shared" si="27"/>
        <v>8.5417237922354812E-4</v>
      </c>
      <c r="V227" s="8">
        <v>41.957476061994598</v>
      </c>
      <c r="W227" s="103">
        <f t="shared" si="28"/>
        <v>2.2200222001984571E-3</v>
      </c>
      <c r="X227" s="8">
        <v>0.12969409600000001</v>
      </c>
      <c r="Y227" s="104">
        <f t="shared" si="29"/>
        <v>8.770423830258961E-2</v>
      </c>
      <c r="Z227" s="8">
        <v>51.135776589314901</v>
      </c>
      <c r="AA227" s="106">
        <f t="shared" si="30"/>
        <v>2.2200222001984571E-3</v>
      </c>
      <c r="AB227" s="8">
        <v>4.1113732E-2</v>
      </c>
      <c r="AC227" s="107">
        <f t="shared" si="31"/>
        <v>2.8035625559995905E-2</v>
      </c>
    </row>
    <row r="228" spans="13:29" x14ac:dyDescent="0.45">
      <c r="N228" s="8">
        <v>7.3564344442754397</v>
      </c>
      <c r="O228" s="100">
        <f t="shared" si="24"/>
        <v>2.2300223002194031E-3</v>
      </c>
      <c r="P228" s="8">
        <v>-1.3844888E-2</v>
      </c>
      <c r="Q228" s="98">
        <f t="shared" si="25"/>
        <v>-1.0631493409905114E-2</v>
      </c>
      <c r="R228" s="8">
        <v>17.6050361669807</v>
      </c>
      <c r="S228" s="102">
        <f t="shared" si="26"/>
        <v>2.2300223002993391E-3</v>
      </c>
      <c r="T228" s="8">
        <v>1.7513853999999999E-2</v>
      </c>
      <c r="U228" s="101">
        <f t="shared" si="27"/>
        <v>1.1085032789020562E-2</v>
      </c>
      <c r="V228" s="8">
        <v>41.957486062094603</v>
      </c>
      <c r="W228" s="103">
        <f t="shared" si="28"/>
        <v>2.2300223002034159E-3</v>
      </c>
      <c r="X228" s="8">
        <v>0.120318802</v>
      </c>
      <c r="Y228" s="104">
        <f t="shared" si="29"/>
        <v>8.1364296512696263E-2</v>
      </c>
      <c r="Z228" s="8">
        <v>51.135786589414899</v>
      </c>
      <c r="AA228" s="106">
        <f t="shared" si="30"/>
        <v>2.2300223001963104E-3</v>
      </c>
      <c r="AB228" s="8">
        <v>1.9130284000000001E-2</v>
      </c>
      <c r="AC228" s="107">
        <f t="shared" si="31"/>
        <v>1.3045020556158238E-2</v>
      </c>
    </row>
    <row r="229" spans="13:29" x14ac:dyDescent="0.45">
      <c r="N229" s="8">
        <v>7.3564444443754402</v>
      </c>
      <c r="O229" s="100">
        <f t="shared" si="24"/>
        <v>2.2400224002199209E-3</v>
      </c>
      <c r="P229" s="8">
        <v>-9.13447999999999E-4</v>
      </c>
      <c r="Q229" s="98">
        <f t="shared" si="25"/>
        <v>-7.0143697748158E-4</v>
      </c>
      <c r="R229" s="8">
        <v>17.605046167080701</v>
      </c>
      <c r="S229" s="102">
        <f t="shared" si="26"/>
        <v>2.2400224003007452E-3</v>
      </c>
      <c r="T229" s="8">
        <v>2.8505578E-2</v>
      </c>
      <c r="U229" s="101">
        <f t="shared" si="27"/>
        <v>1.8042017867682534E-2</v>
      </c>
      <c r="V229" s="8">
        <v>41.9574960621946</v>
      </c>
      <c r="W229" s="103">
        <f t="shared" si="28"/>
        <v>2.2400224002012692E-3</v>
      </c>
      <c r="X229" s="8">
        <v>8.3464198000000003E-2</v>
      </c>
      <c r="Y229" s="104">
        <f t="shared" si="29"/>
        <v>5.644176671794314E-2</v>
      </c>
      <c r="Z229" s="8">
        <v>51.135796589514896</v>
      </c>
      <c r="AA229" s="106">
        <f t="shared" si="30"/>
        <v>2.2400224001941638E-3</v>
      </c>
      <c r="AB229" s="8">
        <v>3.0445294000000001E-2</v>
      </c>
      <c r="AC229" s="107">
        <f t="shared" si="31"/>
        <v>2.076077313166292E-2</v>
      </c>
    </row>
    <row r="230" spans="13:29" x14ac:dyDescent="0.45">
      <c r="N230" s="8">
        <v>7.3564544444754496</v>
      </c>
      <c r="O230" s="100">
        <f t="shared" si="24"/>
        <v>2.2500225002293206E-3</v>
      </c>
      <c r="P230" s="8">
        <v>6.8916327999999999E-2</v>
      </c>
      <c r="Q230" s="98">
        <f t="shared" si="25"/>
        <v>5.2920867757605503E-2</v>
      </c>
      <c r="R230" s="8">
        <v>17.605056167180699</v>
      </c>
      <c r="S230" s="102">
        <f t="shared" si="26"/>
        <v>2.2500225002985985E-3</v>
      </c>
      <c r="T230" s="8">
        <v>4.3700019999999999E-2</v>
      </c>
      <c r="U230" s="101">
        <f t="shared" si="27"/>
        <v>2.7659026652891727E-2</v>
      </c>
      <c r="V230" s="8">
        <v>41.957506062294598</v>
      </c>
      <c r="W230" s="103">
        <f t="shared" si="28"/>
        <v>2.2500225001991225E-3</v>
      </c>
      <c r="X230" s="8">
        <v>5.2752027999999999E-2</v>
      </c>
      <c r="Y230" s="104">
        <f t="shared" si="29"/>
        <v>3.5672991888982201E-2</v>
      </c>
      <c r="Z230" s="8">
        <v>51.135806589614901</v>
      </c>
      <c r="AA230" s="106">
        <f t="shared" si="30"/>
        <v>2.2500225001991225E-3</v>
      </c>
      <c r="AB230" s="8">
        <v>4.7579452000000001E-2</v>
      </c>
      <c r="AC230" s="107">
        <f t="shared" si="31"/>
        <v>3.2444627031712865E-2</v>
      </c>
    </row>
    <row r="231" spans="13:29" x14ac:dyDescent="0.45">
      <c r="N231" s="8">
        <v>7.3564644445754501</v>
      </c>
      <c r="O231" s="100">
        <f t="shared" si="24"/>
        <v>2.2600226002298385E-3</v>
      </c>
      <c r="P231" s="8">
        <v>9.8981925999999998E-2</v>
      </c>
      <c r="Q231" s="98">
        <f t="shared" si="25"/>
        <v>7.6008248962990216E-2</v>
      </c>
      <c r="R231" s="8">
        <v>17.6050661672807</v>
      </c>
      <c r="S231" s="102">
        <f t="shared" si="26"/>
        <v>2.2600226003000046E-3</v>
      </c>
      <c r="T231" s="8">
        <v>4.8549309999999998E-2</v>
      </c>
      <c r="U231" s="101">
        <f t="shared" si="27"/>
        <v>3.0728284775830828E-2</v>
      </c>
      <c r="V231" s="8">
        <v>41.957516062394603</v>
      </c>
      <c r="W231" s="103">
        <f t="shared" si="28"/>
        <v>2.2600226002040813E-3</v>
      </c>
      <c r="X231" s="8">
        <v>5.016574E-2</v>
      </c>
      <c r="Y231" s="104">
        <f t="shared" si="29"/>
        <v>3.3924042429701283E-2</v>
      </c>
      <c r="Z231" s="8">
        <v>51.135816589714899</v>
      </c>
      <c r="AA231" s="106">
        <f t="shared" si="30"/>
        <v>2.2600226001969759E-3</v>
      </c>
      <c r="AB231" s="8">
        <v>2.2363144000000001E-2</v>
      </c>
      <c r="AC231" s="107">
        <f t="shared" si="31"/>
        <v>1.5249521292016718E-2</v>
      </c>
    </row>
    <row r="232" spans="13:29" x14ac:dyDescent="0.45">
      <c r="N232" s="8">
        <v>7.3564744446754498</v>
      </c>
      <c r="O232" s="100">
        <f t="shared" si="24"/>
        <v>2.2700227002294682E-3</v>
      </c>
      <c r="P232" s="8">
        <v>7.8291622000000005E-2</v>
      </c>
      <c r="Q232" s="98">
        <f t="shared" si="25"/>
        <v>6.0120158671112568E-2</v>
      </c>
      <c r="R232" s="8">
        <v>17.605076167380702</v>
      </c>
      <c r="S232" s="102">
        <f t="shared" si="26"/>
        <v>2.2700227003014106E-3</v>
      </c>
      <c r="T232" s="8">
        <v>4.9195882000000003E-2</v>
      </c>
      <c r="U232" s="101">
        <f t="shared" si="27"/>
        <v>3.1137519192222712E-2</v>
      </c>
      <c r="V232" s="8">
        <v>41.957526062494601</v>
      </c>
      <c r="W232" s="103">
        <f t="shared" si="28"/>
        <v>2.2700227002019346E-3</v>
      </c>
      <c r="X232" s="8">
        <v>4.3700019999999999E-2</v>
      </c>
      <c r="Y232" s="104">
        <f t="shared" si="29"/>
        <v>2.955166878149898E-2</v>
      </c>
      <c r="Z232" s="8">
        <v>51.135826589814897</v>
      </c>
      <c r="AA232" s="106">
        <f t="shared" si="30"/>
        <v>2.2700227001948292E-3</v>
      </c>
      <c r="AB232" s="8">
        <v>-5.90161999999999E-4</v>
      </c>
      <c r="AC232" s="107">
        <f t="shared" si="31"/>
        <v>-4.0243393257849414E-4</v>
      </c>
    </row>
    <row r="233" spans="13:29" x14ac:dyDescent="0.45">
      <c r="N233" s="8">
        <v>7.3564844447754503</v>
      </c>
      <c r="O233" s="100">
        <f t="shared" si="24"/>
        <v>2.280022800229986E-3</v>
      </c>
      <c r="P233" s="8">
        <v>4.9842454000000001E-2</v>
      </c>
      <c r="Q233" s="98">
        <f t="shared" si="25"/>
        <v>3.8274034519780793E-2</v>
      </c>
      <c r="R233" s="8">
        <v>17.6050861674807</v>
      </c>
      <c r="S233" s="102">
        <f t="shared" si="26"/>
        <v>2.280022800299264E-3</v>
      </c>
      <c r="T233" s="8">
        <v>4.7579452000000001E-2</v>
      </c>
      <c r="U233" s="101">
        <f t="shared" si="27"/>
        <v>3.0114433151243011E-2</v>
      </c>
      <c r="V233" s="8">
        <v>41.957536062594599</v>
      </c>
      <c r="W233" s="103">
        <f t="shared" si="28"/>
        <v>2.280022800199788E-3</v>
      </c>
      <c r="X233" s="8">
        <v>-6.0860239999999998E-3</v>
      </c>
      <c r="Y233" s="104">
        <f t="shared" si="29"/>
        <v>-4.1156083096587489E-3</v>
      </c>
      <c r="Z233" s="8">
        <v>51.135836589914902</v>
      </c>
      <c r="AA233" s="106">
        <f t="shared" si="30"/>
        <v>2.280022800199788E-3</v>
      </c>
      <c r="AB233" s="8">
        <v>1.8806997999999998E-2</v>
      </c>
      <c r="AC233" s="107">
        <f t="shared" si="31"/>
        <v>1.2824570482572389E-2</v>
      </c>
    </row>
    <row r="234" spans="13:29" x14ac:dyDescent="0.45">
      <c r="N234" s="8">
        <v>7.3564944448754499</v>
      </c>
      <c r="O234" s="100">
        <f t="shared" si="24"/>
        <v>2.2900229002296157E-3</v>
      </c>
      <c r="P234" s="8">
        <v>5.3075313999999998E-2</v>
      </c>
      <c r="Q234" s="98">
        <f t="shared" si="25"/>
        <v>4.075654862788667E-2</v>
      </c>
      <c r="R234" s="8">
        <v>17.605096167580701</v>
      </c>
      <c r="S234" s="102">
        <f t="shared" si="26"/>
        <v>2.29002290030067E-3</v>
      </c>
      <c r="T234" s="8">
        <v>6.0510891999999997E-2</v>
      </c>
      <c r="U234" s="101">
        <f t="shared" si="27"/>
        <v>3.8299121479080621E-2</v>
      </c>
      <c r="V234" s="8">
        <v>41.957546062694597</v>
      </c>
      <c r="W234" s="103">
        <f t="shared" si="28"/>
        <v>2.2900229001976413E-3</v>
      </c>
      <c r="X234" s="8">
        <v>-4.8759775999999998E-2</v>
      </c>
      <c r="Y234" s="104">
        <f t="shared" si="29"/>
        <v>-3.2973274387793947E-2</v>
      </c>
      <c r="Z234" s="8">
        <v>51.1358465900149</v>
      </c>
      <c r="AA234" s="106">
        <f t="shared" si="30"/>
        <v>2.2900229001976413E-3</v>
      </c>
      <c r="AB234" s="8">
        <v>4.6609593999999997E-2</v>
      </c>
      <c r="AC234" s="107">
        <f t="shared" si="31"/>
        <v>3.1783276810955323E-2</v>
      </c>
    </row>
    <row r="235" spans="13:29" x14ac:dyDescent="0.45">
      <c r="N235" s="8">
        <v>7.3565044449754504</v>
      </c>
      <c r="O235" s="100">
        <f t="shared" si="24"/>
        <v>2.3000230002301336E-3</v>
      </c>
      <c r="P235" s="8">
        <v>4.3053448000000001E-2</v>
      </c>
      <c r="Q235" s="98">
        <f t="shared" si="25"/>
        <v>3.3060754892758434E-2</v>
      </c>
      <c r="R235" s="8">
        <v>17.605106167680699</v>
      </c>
      <c r="S235" s="102">
        <f t="shared" si="26"/>
        <v>2.3000230002985234E-3</v>
      </c>
      <c r="T235" s="8">
        <v>6.5360182000000003E-2</v>
      </c>
      <c r="U235" s="101">
        <f t="shared" si="27"/>
        <v>4.1368379602019729E-2</v>
      </c>
      <c r="V235" s="8">
        <v>41.957556062794602</v>
      </c>
      <c r="W235" s="103">
        <f t="shared" si="28"/>
        <v>2.3000230002026001E-3</v>
      </c>
      <c r="X235" s="8">
        <v>-5.5872067999999997E-2</v>
      </c>
      <c r="Y235" s="104">
        <f t="shared" si="29"/>
        <v>-3.7782885400816479E-2</v>
      </c>
      <c r="Z235" s="8">
        <v>51.135856590114898</v>
      </c>
      <c r="AA235" s="106">
        <f t="shared" si="30"/>
        <v>2.3000230001954947E-3</v>
      </c>
      <c r="AB235" s="8">
        <v>6.0834178000000003E-2</v>
      </c>
      <c r="AC235" s="107">
        <f t="shared" si="31"/>
        <v>4.1483080048732641E-2</v>
      </c>
    </row>
    <row r="236" spans="13:29" x14ac:dyDescent="0.45">
      <c r="M236" s="6" t="s">
        <v>50</v>
      </c>
      <c r="N236" s="8">
        <v>7.35651444507545</v>
      </c>
      <c r="O236" s="63"/>
      <c r="P236" s="8">
        <v>4.6286307999999998E-2</v>
      </c>
      <c r="Q236" s="98">
        <f t="shared" si="25"/>
        <v>3.5543269000864318E-2</v>
      </c>
      <c r="R236" s="8">
        <v>17.6051161677807</v>
      </c>
      <c r="S236" s="63"/>
      <c r="T236" s="8">
        <v>5.2428742E-2</v>
      </c>
      <c r="U236" s="101">
        <f t="shared" si="27"/>
        <v>3.3183691274182116E-2</v>
      </c>
      <c r="V236" s="8">
        <v>41.9575660628946</v>
      </c>
      <c r="W236" s="63"/>
      <c r="X236" s="8">
        <v>-3.2272189999999999E-2</v>
      </c>
      <c r="Y236" s="104">
        <f t="shared" si="29"/>
        <v>-2.1823721584878074E-2</v>
      </c>
      <c r="Z236" s="8">
        <v>51.135866590214903</v>
      </c>
      <c r="AA236" s="63"/>
      <c r="AB236" s="8">
        <v>9.9305212000000004E-2</v>
      </c>
      <c r="AC236" s="107">
        <f t="shared" si="31"/>
        <v>6.7716638805448565E-2</v>
      </c>
    </row>
    <row r="237" spans="13:29" x14ac:dyDescent="0.45">
      <c r="N237" s="8">
        <v>7.3565244451754497</v>
      </c>
      <c r="O237" s="63"/>
      <c r="P237" s="8">
        <v>7.3119045999999993E-2</v>
      </c>
      <c r="Q237" s="98">
        <f t="shared" si="25"/>
        <v>5.6148136098143148E-2</v>
      </c>
      <c r="R237" s="8">
        <v>17.605126167880702</v>
      </c>
      <c r="S237" s="63"/>
      <c r="T237" s="8">
        <v>4.7256166000000002E-2</v>
      </c>
      <c r="U237" s="101">
        <f t="shared" si="27"/>
        <v>2.990981594304707E-2</v>
      </c>
      <c r="V237" s="8">
        <v>41.957576062994598</v>
      </c>
      <c r="W237" s="63"/>
      <c r="X237" s="8">
        <v>-1.1905172E-2</v>
      </c>
      <c r="Y237" s="104">
        <f t="shared" si="29"/>
        <v>-8.0507445930408216E-3</v>
      </c>
      <c r="Z237" s="8">
        <v>51.135876590314901</v>
      </c>
      <c r="AA237" s="63"/>
      <c r="AB237" s="8">
        <v>0.14230224999999999</v>
      </c>
      <c r="AC237" s="107">
        <f t="shared" si="31"/>
        <v>9.7036498592366349E-2</v>
      </c>
    </row>
    <row r="238" spans="13:29" x14ac:dyDescent="0.45">
      <c r="N238" s="8">
        <v>7.3565344452754502</v>
      </c>
      <c r="O238" s="63"/>
      <c r="P238" s="8">
        <v>0.13098724</v>
      </c>
      <c r="Q238" s="98">
        <f t="shared" si="25"/>
        <v>0.10058513863323847</v>
      </c>
      <c r="R238" s="8">
        <v>17.605136167980699</v>
      </c>
      <c r="S238" s="63"/>
      <c r="T238" s="8">
        <v>3.7234299999999998E-2</v>
      </c>
      <c r="U238" s="101">
        <f t="shared" si="27"/>
        <v>2.356668248897292E-2</v>
      </c>
      <c r="V238" s="8">
        <v>41.957586063094602</v>
      </c>
      <c r="W238" s="63"/>
      <c r="X238" s="8">
        <v>0.10480107399999999</v>
      </c>
      <c r="Y238" s="104">
        <f t="shared" si="29"/>
        <v>7.0870599757010738E-2</v>
      </c>
      <c r="Z238" s="8">
        <v>51.135886590414898</v>
      </c>
      <c r="AA238" s="63"/>
      <c r="AB238" s="8">
        <v>0.19047186399999999</v>
      </c>
      <c r="AC238" s="107">
        <f t="shared" si="31"/>
        <v>0.1298835595566577</v>
      </c>
    </row>
    <row r="239" spans="13:29" x14ac:dyDescent="0.45">
      <c r="N239" s="8">
        <v>7.3565444453754498</v>
      </c>
      <c r="O239" s="63"/>
      <c r="P239" s="8">
        <v>0.14812139799999999</v>
      </c>
      <c r="Q239" s="98">
        <f t="shared" si="25"/>
        <v>0.11374246340619965</v>
      </c>
      <c r="R239" s="8">
        <v>17.605146168080701</v>
      </c>
      <c r="S239" s="63"/>
      <c r="T239" s="8">
        <v>1.6220709999999999E-2</v>
      </c>
      <c r="U239" s="101">
        <f t="shared" si="27"/>
        <v>1.0266563956236801E-2</v>
      </c>
      <c r="V239" s="8">
        <v>41.9575960631946</v>
      </c>
      <c r="W239" s="63"/>
      <c r="X239" s="8">
        <v>-3.4997359999999998E-3</v>
      </c>
      <c r="Y239" s="104">
        <f t="shared" si="29"/>
        <v>-2.3666588503778283E-3</v>
      </c>
      <c r="Z239" s="8">
        <v>51.135896590514903</v>
      </c>
      <c r="AA239" s="63"/>
      <c r="AB239" s="8">
        <v>0.21859774600000001</v>
      </c>
      <c r="AC239" s="107">
        <f t="shared" si="31"/>
        <v>0.1490627159586265</v>
      </c>
    </row>
    <row r="240" spans="13:29" x14ac:dyDescent="0.45">
      <c r="N240" s="8">
        <v>7.3565544454754601</v>
      </c>
      <c r="O240" s="63"/>
      <c r="P240" s="8">
        <v>0.105770932</v>
      </c>
      <c r="Q240" s="98">
        <f t="shared" si="25"/>
        <v>8.1221528590012568E-2</v>
      </c>
      <c r="R240" s="8">
        <v>17.605156168180699</v>
      </c>
      <c r="S240" s="63"/>
      <c r="T240" s="8">
        <v>1.5897424E-2</v>
      </c>
      <c r="U240" s="101">
        <f t="shared" si="27"/>
        <v>1.0061946748040861E-2</v>
      </c>
      <c r="V240" s="8">
        <v>41.957606063294598</v>
      </c>
      <c r="W240" s="63"/>
      <c r="X240" s="8">
        <v>8.4618460000000003E-3</v>
      </c>
      <c r="Y240" s="104">
        <f t="shared" si="29"/>
        <v>5.7222323987964315E-3</v>
      </c>
      <c r="Z240" s="8">
        <v>51.135906590614901</v>
      </c>
      <c r="AA240" s="63"/>
      <c r="AB240" s="8">
        <v>0.24187433799999999</v>
      </c>
      <c r="AC240" s="107">
        <f t="shared" si="31"/>
        <v>0.16493512125680757</v>
      </c>
    </row>
    <row r="241" spans="14:29" x14ac:dyDescent="0.45">
      <c r="N241" s="8">
        <v>7.3565644455754597</v>
      </c>
      <c r="O241" s="63"/>
      <c r="P241" s="8">
        <v>5.8894462000000002E-2</v>
      </c>
      <c r="Q241" s="98">
        <f t="shared" si="25"/>
        <v>4.5225074022477267E-2</v>
      </c>
      <c r="R241" s="8">
        <v>17.6051661682807</v>
      </c>
      <c r="S241" s="63"/>
      <c r="T241" s="8">
        <v>1.7190568E-2</v>
      </c>
      <c r="U241" s="101">
        <f t="shared" si="27"/>
        <v>1.0880415580824622E-2</v>
      </c>
      <c r="V241" s="8">
        <v>41.957616063394603</v>
      </c>
      <c r="W241" s="63"/>
      <c r="X241" s="8">
        <v>7.8938194000000003E-2</v>
      </c>
      <c r="Y241" s="104">
        <f t="shared" si="29"/>
        <v>5.3381105164201532E-2</v>
      </c>
      <c r="Z241" s="8">
        <v>51.135916590714899</v>
      </c>
      <c r="AA241" s="63"/>
      <c r="AB241" s="8">
        <v>0.24187433799999999</v>
      </c>
      <c r="AC241" s="107">
        <f t="shared" si="31"/>
        <v>0.16493512125680757</v>
      </c>
    </row>
    <row r="242" spans="14:29" x14ac:dyDescent="0.45">
      <c r="N242" s="8">
        <v>7.3565744456754603</v>
      </c>
      <c r="O242" s="63"/>
      <c r="P242" s="8">
        <v>3.6911013999999999E-2</v>
      </c>
      <c r="Q242" s="98">
        <f t="shared" si="25"/>
        <v>2.8343978087357256E-2</v>
      </c>
      <c r="R242" s="8">
        <v>17.605176168380702</v>
      </c>
      <c r="S242" s="63"/>
      <c r="T242" s="64">
        <v>5.6410000000000702E-5</v>
      </c>
      <c r="U242" s="101">
        <f t="shared" si="27"/>
        <v>3.5703546439787482E-5</v>
      </c>
      <c r="V242" s="8">
        <v>41.957626063494601</v>
      </c>
      <c r="W242" s="63"/>
      <c r="X242" s="8">
        <v>7.5382047999999993E-2</v>
      </c>
      <c r="Y242" s="104">
        <f t="shared" si="29"/>
        <v>5.0976299657690259E-2</v>
      </c>
      <c r="Z242" s="8">
        <v>51.135926590814897</v>
      </c>
      <c r="AA242" s="63"/>
      <c r="AB242" s="8">
        <v>0.22474018000000001</v>
      </c>
      <c r="AC242" s="107">
        <f t="shared" si="31"/>
        <v>0.15325126735675762</v>
      </c>
    </row>
    <row r="243" spans="14:29" x14ac:dyDescent="0.45">
      <c r="N243" s="8">
        <v>7.3565844457754599</v>
      </c>
      <c r="O243" s="63"/>
      <c r="P243" s="8">
        <v>3.6587728E-2</v>
      </c>
      <c r="Q243" s="98">
        <f t="shared" si="25"/>
        <v>2.8095726676546667E-2</v>
      </c>
      <c r="R243" s="8">
        <v>17.605186168480699</v>
      </c>
      <c r="S243" s="63"/>
      <c r="T243" s="8">
        <v>-2.9362616000000001E-2</v>
      </c>
      <c r="U243" s="101">
        <f t="shared" si="27"/>
        <v>-1.858446239939078E-2</v>
      </c>
      <c r="V243" s="8">
        <v>41.957636063594599</v>
      </c>
      <c r="W243" s="63"/>
      <c r="X243" s="8">
        <v>2.1393286000000001E-2</v>
      </c>
      <c r="Y243" s="104">
        <f t="shared" si="29"/>
        <v>1.4466979695201037E-2</v>
      </c>
      <c r="Z243" s="8">
        <v>51.135936590914902</v>
      </c>
      <c r="AA243" s="63"/>
      <c r="AB243" s="8">
        <v>0.18756228999999999</v>
      </c>
      <c r="AC243" s="107">
        <f t="shared" si="31"/>
        <v>0.12789950889438509</v>
      </c>
    </row>
    <row r="244" spans="14:29" x14ac:dyDescent="0.45">
      <c r="N244" s="8">
        <v>7.3565944458754604</v>
      </c>
      <c r="O244" s="63"/>
      <c r="P244" s="8">
        <v>6.0834178000000003E-2</v>
      </c>
      <c r="Q244" s="98">
        <f t="shared" si="25"/>
        <v>4.6714582487340797E-2</v>
      </c>
      <c r="R244" s="8">
        <v>17.605196168580701</v>
      </c>
      <c r="S244" s="63"/>
      <c r="T244" s="8">
        <v>-4.9406348000000003E-2</v>
      </c>
      <c r="U244" s="101">
        <f t="shared" si="27"/>
        <v>-3.1270729307539082E-2</v>
      </c>
      <c r="V244" s="8">
        <v>41.957646063694597</v>
      </c>
      <c r="W244" s="63"/>
      <c r="X244" s="8">
        <v>7.0532758000000001E-2</v>
      </c>
      <c r="Y244" s="104">
        <f t="shared" si="29"/>
        <v>4.7697019421538533E-2</v>
      </c>
      <c r="Z244" s="8">
        <v>51.1359465910149</v>
      </c>
      <c r="AA244" s="63"/>
      <c r="AB244" s="8">
        <v>0.159436408</v>
      </c>
      <c r="AC244" s="107">
        <f t="shared" si="31"/>
        <v>0.10872035249241629</v>
      </c>
    </row>
    <row r="245" spans="14:29" x14ac:dyDescent="0.45">
      <c r="N245" s="8">
        <v>7.35660444597546</v>
      </c>
      <c r="O245" s="63"/>
      <c r="P245" s="8">
        <v>-1.7401033999999999E-2</v>
      </c>
      <c r="Q245" s="98">
        <f t="shared" si="25"/>
        <v>-1.3362258928821586E-2</v>
      </c>
      <c r="R245" s="8">
        <v>17.605206168680699</v>
      </c>
      <c r="S245" s="63"/>
      <c r="T245" s="8">
        <v>-2.1927037999999999E-2</v>
      </c>
      <c r="U245" s="101">
        <f t="shared" si="27"/>
        <v>-1.3878266610884153E-2</v>
      </c>
      <c r="V245" s="8">
        <v>41.957656063794602</v>
      </c>
      <c r="W245" s="63"/>
      <c r="X245" s="8">
        <v>9.5749065999999994E-2</v>
      </c>
      <c r="Y245" s="104">
        <f t="shared" si="29"/>
        <v>6.474927664952751E-2</v>
      </c>
      <c r="Z245" s="8">
        <v>51.135956591114898</v>
      </c>
      <c r="AA245" s="63"/>
      <c r="AB245" s="8">
        <v>0.124198234</v>
      </c>
      <c r="AC245" s="107">
        <f t="shared" si="31"/>
        <v>8.4691294471558862E-2</v>
      </c>
    </row>
    <row r="246" spans="14:29" x14ac:dyDescent="0.45">
      <c r="N246" s="8">
        <v>7.3566144460754597</v>
      </c>
      <c r="O246" s="63"/>
      <c r="P246" s="8">
        <v>7.02982E-4</v>
      </c>
      <c r="Q246" s="98">
        <f t="shared" si="25"/>
        <v>5.3982007657136101E-4</v>
      </c>
      <c r="R246" s="8">
        <v>17.6052161687807</v>
      </c>
      <c r="S246" s="63"/>
      <c r="T246" s="8">
        <v>1.0724848E-2</v>
      </c>
      <c r="U246" s="101">
        <f t="shared" si="27"/>
        <v>6.7880714169058168E-3</v>
      </c>
      <c r="V246" s="8">
        <v>41.9576660638946</v>
      </c>
      <c r="W246" s="63"/>
      <c r="X246" s="8">
        <v>0.135189958</v>
      </c>
      <c r="Y246" s="104">
        <f t="shared" si="29"/>
        <v>9.1420755903561551E-2</v>
      </c>
      <c r="Z246" s="8">
        <v>51.135966591214903</v>
      </c>
      <c r="AA246" s="63"/>
      <c r="AB246" s="8">
        <v>0.10480107399999999</v>
      </c>
      <c r="AC246" s="107">
        <f t="shared" si="31"/>
        <v>7.1464290056407975E-2</v>
      </c>
    </row>
    <row r="247" spans="14:29" x14ac:dyDescent="0.45">
      <c r="N247" s="8">
        <v>7.3566244461754602</v>
      </c>
      <c r="O247" s="63"/>
      <c r="P247" s="8">
        <v>2.6565861999999999E-2</v>
      </c>
      <c r="Q247" s="98">
        <f t="shared" si="25"/>
        <v>2.0399932941418428E-2</v>
      </c>
      <c r="R247" s="8">
        <v>17.605226168880701</v>
      </c>
      <c r="S247" s="63"/>
      <c r="T247" s="8">
        <v>1.945357E-2</v>
      </c>
      <c r="U247" s="101">
        <f t="shared" si="27"/>
        <v>1.2312736038196204E-2</v>
      </c>
      <c r="V247" s="8">
        <v>41.957676063994597</v>
      </c>
      <c r="W247" s="63"/>
      <c r="X247" s="8">
        <v>0.150061114</v>
      </c>
      <c r="Y247" s="104">
        <f t="shared" si="29"/>
        <v>0.10147721529442685</v>
      </c>
      <c r="Z247" s="8">
        <v>51.1359765913149</v>
      </c>
      <c r="AA247" s="63"/>
      <c r="AB247" s="8">
        <v>7.5705333999999999E-2</v>
      </c>
      <c r="AC247" s="107">
        <f t="shared" si="31"/>
        <v>5.1623783433681646E-2</v>
      </c>
    </row>
    <row r="248" spans="14:29" x14ac:dyDescent="0.45">
      <c r="N248" s="8">
        <v>7.3566344462754598</v>
      </c>
      <c r="O248" s="63"/>
      <c r="P248" s="8">
        <v>6.845416E-3</v>
      </c>
      <c r="Q248" s="98">
        <f t="shared" si="25"/>
        <v>5.2565968819725398E-3</v>
      </c>
      <c r="R248" s="8">
        <v>17.605236168980699</v>
      </c>
      <c r="S248" s="63"/>
      <c r="T248" s="8">
        <v>-1.0935314E-2</v>
      </c>
      <c r="U248" s="101">
        <f t="shared" si="27"/>
        <v>-6.9212815322221826E-3</v>
      </c>
      <c r="V248" s="8">
        <v>41.957686064094602</v>
      </c>
      <c r="W248" s="63"/>
      <c r="X248" s="8">
        <v>0.24122776600000001</v>
      </c>
      <c r="Y248" s="104">
        <f t="shared" si="29"/>
        <v>0.16312768373407932</v>
      </c>
      <c r="Z248" s="8">
        <v>51.135986591414898</v>
      </c>
      <c r="AA248" s="63"/>
      <c r="AB248" s="8">
        <v>6.2450607999999998E-2</v>
      </c>
      <c r="AC248" s="107">
        <f t="shared" si="31"/>
        <v>4.2585330416661876E-2</v>
      </c>
    </row>
    <row r="249" spans="14:29" x14ac:dyDescent="0.45">
      <c r="N249" s="8">
        <v>7.3566444463754603</v>
      </c>
      <c r="O249" s="63"/>
      <c r="P249" s="8">
        <v>-2.3866754E-2</v>
      </c>
      <c r="Q249" s="98">
        <f t="shared" si="25"/>
        <v>-1.8327287145033355E-2</v>
      </c>
      <c r="R249" s="8">
        <v>17.605246169080701</v>
      </c>
      <c r="S249" s="63"/>
      <c r="T249" s="8">
        <v>-1.5600200000000001E-3</v>
      </c>
      <c r="U249" s="101">
        <f t="shared" si="27"/>
        <v>-9.8738249453991442E-4</v>
      </c>
      <c r="V249" s="8">
        <v>41.9576960641946</v>
      </c>
      <c r="W249" s="63"/>
      <c r="X249" s="8">
        <v>0.26159478400000002</v>
      </c>
      <c r="Y249" s="104">
        <f t="shared" si="29"/>
        <v>0.17690066072591659</v>
      </c>
      <c r="Z249" s="8">
        <v>51.135996591514903</v>
      </c>
      <c r="AA249" s="63"/>
      <c r="AB249" s="8">
        <v>5.1458884000000003E-2</v>
      </c>
      <c r="AC249" s="107">
        <f t="shared" si="31"/>
        <v>3.5090027914743048E-2</v>
      </c>
    </row>
    <row r="250" spans="14:29" x14ac:dyDescent="0.45">
      <c r="N250" s="8">
        <v>7.3566544464754697</v>
      </c>
      <c r="O250" s="63"/>
      <c r="P250" s="8">
        <v>-3.1764499999999999E-3</v>
      </c>
      <c r="Q250" s="98">
        <f t="shared" si="25"/>
        <v>-2.4391968531556991E-3</v>
      </c>
      <c r="R250" s="8">
        <v>17.605256169180699</v>
      </c>
      <c r="S250" s="63"/>
      <c r="T250" s="8">
        <v>8.9283346E-2</v>
      </c>
      <c r="U250" s="101">
        <f t="shared" si="27"/>
        <v>5.6510053008519308E-2</v>
      </c>
      <c r="V250" s="8">
        <v>41.957706064294698</v>
      </c>
      <c r="W250" s="63"/>
      <c r="X250" s="8">
        <v>0.23055932800000001</v>
      </c>
      <c r="Y250" s="104">
        <f t="shared" si="29"/>
        <v>0.15591326721454551</v>
      </c>
      <c r="Z250" s="8">
        <v>51.136006591614901</v>
      </c>
      <c r="AA250" s="63"/>
      <c r="AB250" s="8">
        <v>5.4691744E-2</v>
      </c>
      <c r="AC250" s="107">
        <f t="shared" si="31"/>
        <v>3.7294528650601524E-2</v>
      </c>
    </row>
    <row r="251" spans="14:29" x14ac:dyDescent="0.45">
      <c r="N251" s="8">
        <v>7.3566644465754703</v>
      </c>
      <c r="O251" s="63"/>
      <c r="P251" s="8">
        <v>-1.2228457999999999E-2</v>
      </c>
      <c r="Q251" s="98">
        <f t="shared" si="25"/>
        <v>-9.3902363558521721E-3</v>
      </c>
      <c r="R251" s="8">
        <v>17.6052661692807</v>
      </c>
      <c r="S251" s="63"/>
      <c r="T251" s="8">
        <v>3.1415152000000002E-2</v>
      </c>
      <c r="U251" s="101">
        <f t="shared" si="27"/>
        <v>1.9883572741445997E-2</v>
      </c>
      <c r="V251" s="8">
        <v>41.957716064394603</v>
      </c>
      <c r="W251" s="63"/>
      <c r="X251" s="8">
        <v>0.18529928800000001</v>
      </c>
      <c r="Y251" s="104">
        <f t="shared" si="29"/>
        <v>0.1253066516771294</v>
      </c>
      <c r="Z251" s="8">
        <v>51.136016591714899</v>
      </c>
      <c r="AA251" s="63"/>
      <c r="AB251" s="8">
        <v>5.016574E-2</v>
      </c>
      <c r="AC251" s="107">
        <f t="shared" si="31"/>
        <v>3.4208227620399649E-2</v>
      </c>
    </row>
    <row r="252" spans="14:29" x14ac:dyDescent="0.45">
      <c r="N252" s="8">
        <v>7.3566744466754699</v>
      </c>
      <c r="O252" s="63"/>
      <c r="P252" s="8">
        <v>5.5522719999999996E-3</v>
      </c>
      <c r="Q252" s="98">
        <f t="shared" si="25"/>
        <v>4.2635912387301864E-3</v>
      </c>
      <c r="R252" s="8">
        <v>17.605276169380701</v>
      </c>
      <c r="S252" s="63"/>
      <c r="T252" s="8">
        <v>3.7234299999999998E-2</v>
      </c>
      <c r="U252" s="101">
        <f t="shared" si="27"/>
        <v>2.356668248897292E-2</v>
      </c>
      <c r="V252" s="8">
        <v>41.9577260644947</v>
      </c>
      <c r="W252" s="63"/>
      <c r="X252" s="8">
        <v>0.208899166</v>
      </c>
      <c r="Y252" s="104">
        <f t="shared" si="29"/>
        <v>0.1412658154930678</v>
      </c>
      <c r="Z252" s="8">
        <v>51.136026591814897</v>
      </c>
      <c r="AA252" s="63"/>
      <c r="AB252" s="8">
        <v>5.3075313999999998E-2</v>
      </c>
      <c r="AC252" s="107">
        <f t="shared" si="31"/>
        <v>3.6192278282672283E-2</v>
      </c>
    </row>
    <row r="253" spans="14:29" x14ac:dyDescent="0.45">
      <c r="N253" s="8">
        <v>7.3566844467754704</v>
      </c>
      <c r="O253" s="63"/>
      <c r="P253" s="8">
        <v>1.4604280000000001E-2</v>
      </c>
      <c r="Q253" s="98">
        <f t="shared" si="25"/>
        <v>1.1214630741426661E-2</v>
      </c>
      <c r="R253" s="8">
        <v>17.605286169480699</v>
      </c>
      <c r="S253" s="63"/>
      <c r="T253" s="8">
        <v>8.3787483999999995E-2</v>
      </c>
      <c r="U253" s="101">
        <f t="shared" si="27"/>
        <v>5.3031560469188319E-2</v>
      </c>
      <c r="V253" s="8">
        <v>41.957736064594698</v>
      </c>
      <c r="W253" s="63"/>
      <c r="X253" s="8">
        <v>8.4434055999999993E-2</v>
      </c>
      <c r="Y253" s="104">
        <f t="shared" si="29"/>
        <v>5.7097622765173481E-2</v>
      </c>
      <c r="Z253" s="8">
        <v>51.136036591914902</v>
      </c>
      <c r="AA253" s="63"/>
      <c r="AB253" s="8">
        <v>2.1069999999999998E-2</v>
      </c>
      <c r="AC253" s="107">
        <f t="shared" si="31"/>
        <v>1.4367720997673325E-2</v>
      </c>
    </row>
    <row r="254" spans="14:29" x14ac:dyDescent="0.45">
      <c r="N254" s="8">
        <v>7.35669444687547</v>
      </c>
      <c r="O254" s="63"/>
      <c r="P254" s="8">
        <v>2.5272718E-2</v>
      </c>
      <c r="Q254" s="98">
        <f t="shared" si="25"/>
        <v>1.9406927298176075E-2</v>
      </c>
      <c r="R254" s="8">
        <v>17.605296169580701</v>
      </c>
      <c r="S254" s="63"/>
      <c r="T254" s="8">
        <v>0.11159007999999999</v>
      </c>
      <c r="U254" s="101">
        <f t="shared" si="27"/>
        <v>7.0628640374039181E-2</v>
      </c>
      <c r="V254" s="8">
        <v>41.957746064694597</v>
      </c>
      <c r="W254" s="63"/>
      <c r="X254" s="8">
        <v>7.9908051999999993E-2</v>
      </c>
      <c r="Y254" s="104">
        <f t="shared" si="29"/>
        <v>5.4036961211431866E-2</v>
      </c>
      <c r="Z254" s="8">
        <v>51.1360465920149</v>
      </c>
      <c r="AA254" s="63"/>
      <c r="AB254" s="8">
        <v>1.5250852000000001E-2</v>
      </c>
      <c r="AC254" s="107">
        <f t="shared" si="31"/>
        <v>1.0399619673128061E-2</v>
      </c>
    </row>
    <row r="255" spans="14:29" x14ac:dyDescent="0.45">
      <c r="N255" s="8">
        <v>7.3567044469754697</v>
      </c>
      <c r="O255" s="63"/>
      <c r="P255" s="8">
        <v>2.0746713999999999E-2</v>
      </c>
      <c r="Q255" s="98">
        <f t="shared" si="25"/>
        <v>1.5931407546827838E-2</v>
      </c>
      <c r="R255" s="8">
        <v>17.605306169680699</v>
      </c>
      <c r="S255" s="63"/>
      <c r="T255" s="8">
        <v>0.108680506</v>
      </c>
      <c r="U255" s="101">
        <f t="shared" si="27"/>
        <v>6.8787085500275721E-2</v>
      </c>
      <c r="V255" s="8">
        <v>41.957756064794701</v>
      </c>
      <c r="W255" s="63"/>
      <c r="X255" s="8">
        <v>5.1135597999999997E-2</v>
      </c>
      <c r="Y255" s="104">
        <f t="shared" si="29"/>
        <v>3.4579898476931624E-2</v>
      </c>
      <c r="Z255" s="8">
        <v>51.136056592114898</v>
      </c>
      <c r="AA255" s="63"/>
      <c r="AB255" s="8">
        <v>-4.1463079999999996E-3</v>
      </c>
      <c r="AC255" s="107">
        <f t="shared" si="31"/>
        <v>-2.8273847420228235E-3</v>
      </c>
    </row>
    <row r="256" spans="14:29" x14ac:dyDescent="0.45">
      <c r="N256" s="8">
        <v>7.3567144470754702</v>
      </c>
      <c r="O256" s="63"/>
      <c r="P256" s="8">
        <v>1.5250852000000001E-2</v>
      </c>
      <c r="Q256" s="98">
        <f t="shared" si="25"/>
        <v>1.1711133563047838E-2</v>
      </c>
      <c r="R256" s="8">
        <v>17.6053161697807</v>
      </c>
      <c r="S256" s="63"/>
      <c r="T256" s="8">
        <v>0.18238971400000001</v>
      </c>
      <c r="U256" s="101">
        <f t="shared" si="27"/>
        <v>0.11543980896895012</v>
      </c>
      <c r="V256" s="8">
        <v>41.957766064894699</v>
      </c>
      <c r="W256" s="63"/>
      <c r="X256" s="8">
        <v>7.1502616000000005E-2</v>
      </c>
      <c r="Y256" s="104">
        <f t="shared" si="29"/>
        <v>4.8352875468768881E-2</v>
      </c>
      <c r="Z256" s="8">
        <v>51.136066592214902</v>
      </c>
      <c r="AA256" s="63"/>
      <c r="AB256" s="8">
        <v>-9.9654559999999993E-3</v>
      </c>
      <c r="AC256" s="107">
        <f t="shared" si="31"/>
        <v>-6.7954860665680886E-3</v>
      </c>
    </row>
    <row r="257" spans="14:29" x14ac:dyDescent="0.45">
      <c r="N257" s="8">
        <v>7.3567244471754698</v>
      </c>
      <c r="O257" s="63"/>
      <c r="P257" s="8">
        <v>1.1694705999999999E-2</v>
      </c>
      <c r="Q257" s="98">
        <f t="shared" si="25"/>
        <v>8.9803680441313642E-3</v>
      </c>
      <c r="R257" s="8">
        <v>17.605326169880701</v>
      </c>
      <c r="S257" s="63"/>
      <c r="T257" s="8">
        <v>0.21180874</v>
      </c>
      <c r="U257" s="101">
        <f t="shared" si="27"/>
        <v>0.13405997491478067</v>
      </c>
      <c r="V257" s="8">
        <v>41.957776064994697</v>
      </c>
      <c r="W257" s="63"/>
      <c r="X257" s="8">
        <v>1.2341278000000001E-2</v>
      </c>
      <c r="Y257" s="104">
        <f t="shared" si="29"/>
        <v>8.3456565877178136E-3</v>
      </c>
      <c r="Z257" s="8">
        <v>51.1360765923149</v>
      </c>
      <c r="AA257" s="63"/>
      <c r="AB257" s="8">
        <v>-2.5483183999999999E-2</v>
      </c>
      <c r="AC257" s="107">
        <f t="shared" si="31"/>
        <v>-1.7377089598688795E-2</v>
      </c>
    </row>
    <row r="258" spans="14:29" x14ac:dyDescent="0.45">
      <c r="N258" s="8">
        <v>7.3567344472754703</v>
      </c>
      <c r="O258" s="63"/>
      <c r="P258" s="8">
        <v>4.5824139999999999E-3</v>
      </c>
      <c r="Q258" s="98">
        <f t="shared" si="25"/>
        <v>3.5188370062984213E-3</v>
      </c>
      <c r="R258" s="8">
        <v>17.605336169980699</v>
      </c>
      <c r="S258" s="63"/>
      <c r="T258" s="8">
        <v>0.225386752</v>
      </c>
      <c r="U258" s="101">
        <f t="shared" si="27"/>
        <v>0.14265389765901015</v>
      </c>
      <c r="V258" s="8">
        <v>41.957786065094702</v>
      </c>
      <c r="W258" s="63"/>
      <c r="X258" s="8">
        <v>5.2105456000000001E-2</v>
      </c>
      <c r="Y258" s="104">
        <f t="shared" si="29"/>
        <v>3.5235754524161972E-2</v>
      </c>
      <c r="Z258" s="8">
        <v>51.136086592414898</v>
      </c>
      <c r="AA258" s="63"/>
      <c r="AB258" s="8">
        <v>-3.2595475999999998E-2</v>
      </c>
      <c r="AC258" s="107">
        <f t="shared" si="31"/>
        <v>-2.2226991217577454E-2</v>
      </c>
    </row>
    <row r="259" spans="14:29" x14ac:dyDescent="0.45">
      <c r="N259" s="8">
        <v>7.35674444737547</v>
      </c>
      <c r="O259" s="63"/>
      <c r="P259" s="8">
        <v>2.8505578E-2</v>
      </c>
      <c r="Q259" s="98">
        <f t="shared" si="25"/>
        <v>2.1889441406281959E-2</v>
      </c>
      <c r="R259" s="8">
        <v>17.605346170080701</v>
      </c>
      <c r="S259" s="63"/>
      <c r="T259" s="8">
        <v>0.233145616</v>
      </c>
      <c r="U259" s="101">
        <f t="shared" si="27"/>
        <v>0.14756471065571272</v>
      </c>
      <c r="V259" s="8">
        <v>41.9577960651947</v>
      </c>
      <c r="W259" s="63"/>
      <c r="X259" s="8">
        <v>1.8483711999999999E-2</v>
      </c>
      <c r="Y259" s="104">
        <f t="shared" si="29"/>
        <v>1.2499411553509998E-2</v>
      </c>
      <c r="Z259" s="8">
        <v>51.136096592514903</v>
      </c>
      <c r="AA259" s="63"/>
      <c r="AB259" s="8">
        <v>-2.9362616000000001E-2</v>
      </c>
      <c r="AC259" s="107">
        <f t="shared" si="31"/>
        <v>-2.0022490481718974E-2</v>
      </c>
    </row>
    <row r="260" spans="14:29" x14ac:dyDescent="0.45">
      <c r="N260" s="8">
        <v>7.3567544474754802</v>
      </c>
      <c r="O260" s="63"/>
      <c r="P260" s="8">
        <v>9.2192919999999998E-2</v>
      </c>
      <c r="Q260" s="98">
        <f t="shared" si="25"/>
        <v>7.0794969335967864E-2</v>
      </c>
      <c r="R260" s="8">
        <v>17.605356170180698</v>
      </c>
      <c r="S260" s="63"/>
      <c r="T260" s="8">
        <v>0.26062492599999998</v>
      </c>
      <c r="U260" s="101">
        <f t="shared" si="27"/>
        <v>0.16495717335236765</v>
      </c>
      <c r="V260" s="8">
        <v>41.957806065294697</v>
      </c>
      <c r="W260" s="63"/>
      <c r="X260" s="8">
        <v>4.9842454000000001E-2</v>
      </c>
      <c r="Y260" s="104">
        <f t="shared" si="29"/>
        <v>3.3705423747291165E-2</v>
      </c>
      <c r="Z260" s="8">
        <v>51.136106592614901</v>
      </c>
      <c r="AA260" s="63"/>
      <c r="AB260" s="8">
        <v>-2.6776327999999999E-2</v>
      </c>
      <c r="AC260" s="107">
        <f t="shared" si="31"/>
        <v>-1.8258889893032187E-2</v>
      </c>
    </row>
    <row r="261" spans="14:29" x14ac:dyDescent="0.45">
      <c r="N261" s="8">
        <v>7.3567644475754799</v>
      </c>
      <c r="O261" s="63"/>
      <c r="P261" s="8">
        <v>0.113529796</v>
      </c>
      <c r="Q261" s="98">
        <f t="shared" si="25"/>
        <v>8.7179562449466702E-2</v>
      </c>
      <c r="R261" s="8">
        <v>17.6053661702807</v>
      </c>
      <c r="S261" s="63"/>
      <c r="T261" s="8">
        <v>0.20340330400000001</v>
      </c>
      <c r="U261" s="101">
        <f t="shared" si="27"/>
        <v>0.12873992750168622</v>
      </c>
      <c r="V261" s="8">
        <v>41.957816065394702</v>
      </c>
      <c r="W261" s="63"/>
      <c r="X261" s="8">
        <v>2.5596003999999999E-2</v>
      </c>
      <c r="Y261" s="104">
        <f t="shared" si="29"/>
        <v>1.7309022566532533E-2</v>
      </c>
      <c r="Z261" s="8">
        <v>51.136116592714899</v>
      </c>
      <c r="AA261" s="63"/>
      <c r="AB261" s="8">
        <v>-2.4190039999999999E-2</v>
      </c>
      <c r="AC261" s="107">
        <f t="shared" si="31"/>
        <v>-1.6495289304345403E-2</v>
      </c>
    </row>
    <row r="262" spans="14:29" x14ac:dyDescent="0.45">
      <c r="N262" s="8">
        <v>7.3567744476754804</v>
      </c>
      <c r="O262" s="63"/>
      <c r="P262" s="8">
        <v>0.104154502</v>
      </c>
      <c r="Q262" s="98">
        <f t="shared" ref="Q262:Q325" si="32">P262/$Q$3</f>
        <v>7.9980271535959629E-2</v>
      </c>
      <c r="R262" s="8">
        <v>17.605376170380701</v>
      </c>
      <c r="S262" s="63"/>
      <c r="T262" s="8">
        <v>0.138099532</v>
      </c>
      <c r="U262" s="101">
        <f t="shared" ref="U262:U325" si="33">T262/$U$3</f>
        <v>8.7407251446106282E-2</v>
      </c>
      <c r="V262" s="8">
        <v>41.9578260654947</v>
      </c>
      <c r="W262" s="63"/>
      <c r="X262" s="8">
        <v>6.0834178000000003E-2</v>
      </c>
      <c r="Y262" s="104">
        <f t="shared" ref="Y262:Y325" si="34">X262/$Y$3</f>
        <v>4.1138458949235082E-2</v>
      </c>
      <c r="Z262" s="8">
        <v>51.136126592814897</v>
      </c>
      <c r="AA262" s="63"/>
      <c r="AB262" s="8">
        <v>-2.1603752E-2</v>
      </c>
      <c r="AC262" s="107">
        <f t="shared" ref="AC262:AC325" si="35">AB262/$AC$3</f>
        <v>-1.4731688715658619E-2</v>
      </c>
    </row>
    <row r="263" spans="14:29" x14ac:dyDescent="0.45">
      <c r="N263" s="8">
        <v>7.35678444777548</v>
      </c>
      <c r="O263" s="63"/>
      <c r="P263" s="8">
        <v>0.117085942</v>
      </c>
      <c r="Q263" s="98">
        <f t="shared" si="32"/>
        <v>8.9910327968383164E-2</v>
      </c>
      <c r="R263" s="8">
        <v>17.605386170480699</v>
      </c>
      <c r="S263" s="63"/>
      <c r="T263" s="8">
        <v>0.10706407599999999</v>
      </c>
      <c r="U263" s="101">
        <f t="shared" si="33"/>
        <v>6.7763999459296023E-2</v>
      </c>
      <c r="V263" s="8">
        <v>41.957836065594698</v>
      </c>
      <c r="W263" s="63"/>
      <c r="X263" s="8">
        <v>1.6543995999999998E-2</v>
      </c>
      <c r="Y263" s="104">
        <f t="shared" si="34"/>
        <v>1.1187699459049308E-2</v>
      </c>
      <c r="Z263" s="8">
        <v>51.136136592914902</v>
      </c>
      <c r="AA263" s="63"/>
      <c r="AB263" s="8">
        <v>-2.6453042E-2</v>
      </c>
      <c r="AC263" s="107">
        <f t="shared" si="35"/>
        <v>-1.8038439819446341E-2</v>
      </c>
    </row>
    <row r="264" spans="14:29" x14ac:dyDescent="0.45">
      <c r="N264" s="8">
        <v>7.3567944478754796</v>
      </c>
      <c r="O264" s="63"/>
      <c r="P264" s="8">
        <v>0.15555697600000001</v>
      </c>
      <c r="Q264" s="98">
        <f t="shared" si="32"/>
        <v>0.11945224585484319</v>
      </c>
      <c r="R264" s="8">
        <v>17.6053961705807</v>
      </c>
      <c r="S264" s="63"/>
      <c r="T264" s="8">
        <v>8.1524481999999995E-2</v>
      </c>
      <c r="U264" s="101">
        <f t="shared" si="33"/>
        <v>5.1599240011816733E-2</v>
      </c>
      <c r="V264" s="8">
        <v>41.957846065694703</v>
      </c>
      <c r="W264" s="63"/>
      <c r="X264" s="8">
        <v>3.0445294000000001E-2</v>
      </c>
      <c r="Y264" s="104">
        <f t="shared" si="34"/>
        <v>2.0588302802684259E-2</v>
      </c>
      <c r="Z264" s="8">
        <v>51.1361465930149</v>
      </c>
      <c r="AA264" s="63"/>
      <c r="AB264" s="8">
        <v>-2.4190039999999999E-2</v>
      </c>
      <c r="AC264" s="107">
        <f t="shared" si="35"/>
        <v>-1.6495289304345403E-2</v>
      </c>
    </row>
    <row r="265" spans="14:29" x14ac:dyDescent="0.45">
      <c r="N265" s="8">
        <v>7.3568044479754802</v>
      </c>
      <c r="O265" s="63"/>
      <c r="P265" s="8">
        <v>0.14327210800000001</v>
      </c>
      <c r="Q265" s="98">
        <f t="shared" si="32"/>
        <v>0.11001869224404083</v>
      </c>
      <c r="R265" s="8">
        <v>17.605406170680698</v>
      </c>
      <c r="S265" s="63"/>
      <c r="T265" s="8">
        <v>1.7190568E-2</v>
      </c>
      <c r="U265" s="101">
        <f t="shared" si="33"/>
        <v>1.0880415580824622E-2</v>
      </c>
      <c r="V265" s="8">
        <v>41.957856065794701</v>
      </c>
      <c r="W265" s="63"/>
      <c r="X265" s="8">
        <v>-1.5461318E-2</v>
      </c>
      <c r="Y265" s="104">
        <f t="shared" si="34"/>
        <v>-1.0455550099552088E-2</v>
      </c>
      <c r="Z265" s="8">
        <v>51.136156593114897</v>
      </c>
      <c r="AA265" s="63"/>
      <c r="AB265" s="8">
        <v>-2.4836612000000001E-2</v>
      </c>
      <c r="AC265" s="107">
        <f t="shared" si="35"/>
        <v>-1.6936189451517102E-2</v>
      </c>
    </row>
    <row r="266" spans="14:29" x14ac:dyDescent="0.45">
      <c r="N266" s="8">
        <v>7.3568144480754798</v>
      </c>
      <c r="O266" s="63"/>
      <c r="P266" s="8">
        <v>0.15717340599999999</v>
      </c>
      <c r="Q266" s="98">
        <f t="shared" si="32"/>
        <v>0.12069350290889612</v>
      </c>
      <c r="R266" s="8">
        <v>17.6054161707807</v>
      </c>
      <c r="S266" s="63"/>
      <c r="T266" s="8">
        <v>-9.3188839999999995E-3</v>
      </c>
      <c r="U266" s="101">
        <f t="shared" si="33"/>
        <v>-5.8981954912424809E-3</v>
      </c>
      <c r="V266" s="8">
        <v>41.957866065894699</v>
      </c>
      <c r="W266" s="63"/>
      <c r="X266" s="8">
        <v>6.845416E-3</v>
      </c>
      <c r="Y266" s="104">
        <f t="shared" si="34"/>
        <v>4.6291389867458557E-3</v>
      </c>
      <c r="Z266" s="8">
        <v>51.136166593214902</v>
      </c>
      <c r="AA266" s="63"/>
      <c r="AB266" s="8">
        <v>-2.74229E-2</v>
      </c>
      <c r="AC266" s="107">
        <f t="shared" si="35"/>
        <v>-1.8699790040203886E-2</v>
      </c>
    </row>
    <row r="267" spans="14:29" x14ac:dyDescent="0.45">
      <c r="N267" s="8">
        <v>7.3568244481754803</v>
      </c>
      <c r="O267" s="63"/>
      <c r="P267" s="8">
        <v>0.22021417600000001</v>
      </c>
      <c r="Q267" s="98">
        <f t="shared" si="32"/>
        <v>0.16910252801696085</v>
      </c>
      <c r="R267" s="8">
        <v>17.605426170880701</v>
      </c>
      <c r="S267" s="63"/>
      <c r="T267" s="8">
        <v>-2.2250323999999998E-2</v>
      </c>
      <c r="U267" s="101">
        <f t="shared" si="33"/>
        <v>-1.4082883819080091E-2</v>
      </c>
      <c r="V267" s="8">
        <v>41.957876065994697</v>
      </c>
      <c r="W267" s="63"/>
      <c r="X267" s="8">
        <v>-3.2595475999999998E-2</v>
      </c>
      <c r="Y267" s="104">
        <f t="shared" si="34"/>
        <v>-2.2042340267288189E-2</v>
      </c>
      <c r="Z267" s="8">
        <v>51.1361765933149</v>
      </c>
      <c r="AA267" s="63"/>
      <c r="AB267" s="8">
        <v>-2.6129756000000001E-2</v>
      </c>
      <c r="AC267" s="107">
        <f t="shared" si="35"/>
        <v>-1.7817989745860494E-2</v>
      </c>
    </row>
    <row r="268" spans="14:29" x14ac:dyDescent="0.45">
      <c r="N268" s="8">
        <v>7.3568344482754799</v>
      </c>
      <c r="O268" s="63"/>
      <c r="P268" s="8">
        <v>0.243490768</v>
      </c>
      <c r="Q268" s="98">
        <f t="shared" si="32"/>
        <v>0.18697662959532321</v>
      </c>
      <c r="R268" s="8">
        <v>17.605436170980699</v>
      </c>
      <c r="S268" s="63"/>
      <c r="T268" s="8">
        <v>-2.2573610000000001E-2</v>
      </c>
      <c r="U268" s="101">
        <f t="shared" si="33"/>
        <v>-1.4287501027276033E-2</v>
      </c>
      <c r="V268" s="8">
        <v>41.957886066094702</v>
      </c>
      <c r="W268" s="63"/>
      <c r="X268" s="8">
        <v>-1.5784604000000001E-2</v>
      </c>
      <c r="Y268" s="104">
        <f t="shared" si="34"/>
        <v>-1.0674168781962203E-2</v>
      </c>
      <c r="Z268" s="8">
        <v>51.136186593414898</v>
      </c>
      <c r="AA268" s="63"/>
      <c r="AB268" s="8">
        <v>-1.8047606000000001E-2</v>
      </c>
      <c r="AC268" s="107">
        <f t="shared" si="35"/>
        <v>-1.2306737906214291E-2</v>
      </c>
    </row>
    <row r="269" spans="14:29" x14ac:dyDescent="0.45">
      <c r="N269" s="8">
        <v>7.3568444483754796</v>
      </c>
      <c r="O269" s="63"/>
      <c r="P269" s="8">
        <v>0.17139799</v>
      </c>
      <c r="Q269" s="98">
        <f t="shared" si="32"/>
        <v>0.13161656498456201</v>
      </c>
      <c r="R269" s="8">
        <v>17.6054461710807</v>
      </c>
      <c r="S269" s="63"/>
      <c r="T269" s="8">
        <v>-2.8069472000000002E-2</v>
      </c>
      <c r="U269" s="101">
        <f t="shared" si="33"/>
        <v>-1.7765993566607019E-2</v>
      </c>
      <c r="V269" s="8">
        <v>41.957896066194699</v>
      </c>
      <c r="W269" s="63"/>
      <c r="X269" s="8">
        <v>-3.3888620000000001E-2</v>
      </c>
      <c r="Y269" s="104">
        <f t="shared" si="34"/>
        <v>-2.2916814996928651E-2</v>
      </c>
      <c r="Z269" s="8">
        <v>51.136196593514903</v>
      </c>
      <c r="AA269" s="63"/>
      <c r="AB269" s="8">
        <v>-2.3543468000000001E-2</v>
      </c>
      <c r="AC269" s="107">
        <f t="shared" si="35"/>
        <v>-1.605438915717371E-2</v>
      </c>
    </row>
    <row r="270" spans="14:29" x14ac:dyDescent="0.45">
      <c r="N270" s="8">
        <v>7.3568544484754801</v>
      </c>
      <c r="O270" s="63"/>
      <c r="P270" s="8">
        <v>0.151677544</v>
      </c>
      <c r="Q270" s="98">
        <f t="shared" si="32"/>
        <v>0.11647322892511612</v>
      </c>
      <c r="R270" s="8">
        <v>17.605456171180698</v>
      </c>
      <c r="S270" s="63"/>
      <c r="T270" s="8">
        <v>-2.4190039999999999E-2</v>
      </c>
      <c r="U270" s="101">
        <f t="shared" si="33"/>
        <v>-1.5310587068255733E-2</v>
      </c>
      <c r="V270" s="8">
        <v>41.957906066294697</v>
      </c>
      <c r="W270" s="63"/>
      <c r="X270" s="8">
        <v>-8.3490260000000007E-3</v>
      </c>
      <c r="Y270" s="104">
        <f t="shared" si="34"/>
        <v>-5.6459390865295561E-3</v>
      </c>
      <c r="Z270" s="8">
        <v>51.136206593614901</v>
      </c>
      <c r="AA270" s="63"/>
      <c r="AB270" s="8">
        <v>-2.8069472000000002E-2</v>
      </c>
      <c r="AC270" s="107">
        <f t="shared" si="35"/>
        <v>-1.9140690187375582E-2</v>
      </c>
    </row>
    <row r="271" spans="14:29" x14ac:dyDescent="0.45">
      <c r="N271" s="8">
        <v>7.3568644485754904</v>
      </c>
      <c r="O271" s="63"/>
      <c r="P271" s="8">
        <v>0.14068581999999999</v>
      </c>
      <c r="Q271" s="98">
        <f t="shared" si="32"/>
        <v>0.10803268095755611</v>
      </c>
      <c r="R271" s="8">
        <v>17.6054661712807</v>
      </c>
      <c r="S271" s="63"/>
      <c r="T271" s="8">
        <v>-1.4168174E-2</v>
      </c>
      <c r="U271" s="101">
        <f t="shared" si="33"/>
        <v>-8.967453614181586E-3</v>
      </c>
      <c r="V271" s="8">
        <v>41.957916066394702</v>
      </c>
      <c r="W271" s="63"/>
      <c r="X271" s="8">
        <v>-3.0009187999999999E-2</v>
      </c>
      <c r="Y271" s="104">
        <f t="shared" si="34"/>
        <v>-2.0293390808007267E-2</v>
      </c>
      <c r="Z271" s="8">
        <v>51.136216593714899</v>
      </c>
      <c r="AA271" s="63"/>
      <c r="AB271" s="8">
        <v>-2.9362616000000001E-2</v>
      </c>
      <c r="AC271" s="107">
        <f t="shared" si="35"/>
        <v>-2.0022490481718974E-2</v>
      </c>
    </row>
    <row r="272" spans="14:29" x14ac:dyDescent="0.45">
      <c r="N272" s="8">
        <v>7.35687444867549</v>
      </c>
      <c r="O272" s="63"/>
      <c r="P272" s="8">
        <v>8.6697057999999994E-2</v>
      </c>
      <c r="Q272" s="98">
        <f t="shared" si="32"/>
        <v>6.6574695352187852E-2</v>
      </c>
      <c r="R272" s="8">
        <v>17.605476171380701</v>
      </c>
      <c r="S272" s="63"/>
      <c r="T272" s="8">
        <v>1.3957707999999999E-2</v>
      </c>
      <c r="U272" s="101">
        <f t="shared" si="33"/>
        <v>8.8342434988652185E-3</v>
      </c>
      <c r="V272" s="8">
        <v>41.9579260664947</v>
      </c>
      <c r="W272" s="63"/>
      <c r="X272" s="8">
        <v>-1.4491459999999999E-2</v>
      </c>
      <c r="Y272" s="104">
        <f t="shared" si="34"/>
        <v>-9.7996940523217418E-3</v>
      </c>
      <c r="Z272" s="8">
        <v>51.136226593814897</v>
      </c>
      <c r="AA272" s="63"/>
      <c r="AB272" s="8">
        <v>-2.9362616000000001E-2</v>
      </c>
      <c r="AC272" s="107">
        <f t="shared" si="35"/>
        <v>-2.0022490481718974E-2</v>
      </c>
    </row>
    <row r="273" spans="14:29" x14ac:dyDescent="0.45">
      <c r="N273" s="8">
        <v>7.3568844487754896</v>
      </c>
      <c r="O273" s="63"/>
      <c r="P273" s="8">
        <v>6.1157464000000002E-2</v>
      </c>
      <c r="Q273" s="98">
        <f t="shared" si="32"/>
        <v>4.6962833898151382E-2</v>
      </c>
      <c r="R273" s="8">
        <v>17.605486171480699</v>
      </c>
      <c r="S273" s="63"/>
      <c r="T273" s="8">
        <v>4.6286307999999998E-2</v>
      </c>
      <c r="U273" s="101">
        <f t="shared" si="33"/>
        <v>2.9295964318459246E-2</v>
      </c>
      <c r="V273" s="8">
        <v>41.957936066594698</v>
      </c>
      <c r="W273" s="63"/>
      <c r="X273" s="8">
        <v>-2.3543468000000001E-2</v>
      </c>
      <c r="Y273" s="104">
        <f t="shared" si="34"/>
        <v>-1.5921017159804967E-2</v>
      </c>
      <c r="Z273" s="8">
        <v>51.136236593914902</v>
      </c>
      <c r="AA273" s="63"/>
      <c r="AB273" s="8">
        <v>-2.8069472000000002E-2</v>
      </c>
      <c r="AC273" s="107">
        <f t="shared" si="35"/>
        <v>-1.9140690187375582E-2</v>
      </c>
    </row>
    <row r="274" spans="14:29" x14ac:dyDescent="0.45">
      <c r="N274" s="8">
        <v>7.3568944488754902</v>
      </c>
      <c r="O274" s="63"/>
      <c r="P274" s="8">
        <v>2.6565861999999999E-2</v>
      </c>
      <c r="Q274" s="98">
        <f t="shared" si="32"/>
        <v>2.0399932941418428E-2</v>
      </c>
      <c r="R274" s="8">
        <v>17.6054961715807</v>
      </c>
      <c r="S274" s="63"/>
      <c r="T274" s="8">
        <v>6.6976612000000005E-2</v>
      </c>
      <c r="U274" s="101">
        <f t="shared" si="33"/>
        <v>4.2391465642999428E-2</v>
      </c>
      <c r="V274" s="8">
        <v>41.957946066694703</v>
      </c>
      <c r="W274" s="63"/>
      <c r="X274" s="8">
        <v>-1.7724319999999998E-2</v>
      </c>
      <c r="Y274" s="104">
        <f t="shared" si="34"/>
        <v>-1.1985880876422893E-2</v>
      </c>
      <c r="Z274" s="8">
        <v>51.136246594014899</v>
      </c>
      <c r="AA274" s="63"/>
      <c r="AB274" s="8">
        <v>-2.3543468000000001E-2</v>
      </c>
      <c r="AC274" s="107">
        <f t="shared" si="35"/>
        <v>-1.605438915717371E-2</v>
      </c>
    </row>
    <row r="275" spans="14:29" x14ac:dyDescent="0.45">
      <c r="N275" s="8">
        <v>7.3569044489754898</v>
      </c>
      <c r="O275" s="63"/>
      <c r="P275" s="8">
        <v>-9.13447999999999E-4</v>
      </c>
      <c r="Q275" s="98">
        <f t="shared" si="32"/>
        <v>-7.0143697748158E-4</v>
      </c>
      <c r="R275" s="8">
        <v>17.605506171680702</v>
      </c>
      <c r="S275" s="63"/>
      <c r="T275" s="8">
        <v>8.9929917999999998E-2</v>
      </c>
      <c r="U275" s="101">
        <f t="shared" si="33"/>
        <v>5.6919287424911182E-2</v>
      </c>
      <c r="V275" s="8">
        <v>41.957956066794701</v>
      </c>
      <c r="W275" s="63"/>
      <c r="X275" s="8">
        <v>-2.4190039999999999E-2</v>
      </c>
      <c r="Y275" s="104">
        <f t="shared" si="34"/>
        <v>-1.6358254524625197E-2</v>
      </c>
      <c r="Z275" s="8">
        <v>51.136256594114897</v>
      </c>
      <c r="AA275" s="63"/>
      <c r="AB275" s="8">
        <v>-3.1948904E-2</v>
      </c>
      <c r="AC275" s="107">
        <f t="shared" si="35"/>
        <v>-2.1786091070405758E-2</v>
      </c>
    </row>
    <row r="276" spans="14:29" x14ac:dyDescent="0.45">
      <c r="N276" s="8">
        <v>7.3569144490754903</v>
      </c>
      <c r="O276" s="63"/>
      <c r="P276" s="8">
        <v>-6.0860239999999998E-3</v>
      </c>
      <c r="Q276" s="98">
        <f t="shared" si="32"/>
        <v>-4.6734595504509943E-3</v>
      </c>
      <c r="R276" s="8">
        <v>17.6055161717807</v>
      </c>
      <c r="S276" s="63"/>
      <c r="T276" s="8">
        <v>9.5102493999999996E-2</v>
      </c>
      <c r="U276" s="101">
        <f t="shared" si="33"/>
        <v>6.0193162756046227E-2</v>
      </c>
      <c r="V276" s="8">
        <v>41.957966066894699</v>
      </c>
      <c r="W276" s="63"/>
      <c r="X276" s="8">
        <v>-2.6776327999999999E-2</v>
      </c>
      <c r="Y276" s="104">
        <f t="shared" si="34"/>
        <v>-1.8107203983906115E-2</v>
      </c>
      <c r="Z276" s="8">
        <v>51.136266594214902</v>
      </c>
      <c r="AA276" s="63"/>
      <c r="AB276" s="8">
        <v>-2.1603752E-2</v>
      </c>
      <c r="AC276" s="107">
        <f t="shared" si="35"/>
        <v>-1.4731688715658619E-2</v>
      </c>
    </row>
    <row r="277" spans="14:29" x14ac:dyDescent="0.45">
      <c r="N277" s="8">
        <v>7.3569244491754899</v>
      </c>
      <c r="O277" s="63"/>
      <c r="P277" s="8">
        <v>8.1385599999999995E-3</v>
      </c>
      <c r="Q277" s="98">
        <f t="shared" si="32"/>
        <v>6.2496025252148932E-3</v>
      </c>
      <c r="R277" s="8">
        <v>17.605526171880701</v>
      </c>
      <c r="S277" s="63"/>
      <c r="T277" s="8">
        <v>9.1869634000000006E-2</v>
      </c>
      <c r="U277" s="101">
        <f t="shared" si="33"/>
        <v>5.8146990674086831E-2</v>
      </c>
      <c r="V277" s="8">
        <v>41.957976066994704</v>
      </c>
      <c r="W277" s="63"/>
      <c r="X277" s="8">
        <v>-2.5483183999999999E-2</v>
      </c>
      <c r="Y277" s="104">
        <f t="shared" si="34"/>
        <v>-1.7232729254265656E-2</v>
      </c>
      <c r="Z277" s="8">
        <v>51.1362765943149</v>
      </c>
      <c r="AA277" s="63"/>
      <c r="AB277" s="8">
        <v>-2.4190039999999999E-2</v>
      </c>
      <c r="AC277" s="107">
        <f t="shared" si="35"/>
        <v>-1.6495289304345403E-2</v>
      </c>
    </row>
    <row r="278" spans="14:29" x14ac:dyDescent="0.45">
      <c r="N278" s="8">
        <v>7.3569344492754896</v>
      </c>
      <c r="O278" s="63"/>
      <c r="P278" s="8">
        <v>-1.4491459999999999E-2</v>
      </c>
      <c r="Q278" s="98">
        <f t="shared" si="32"/>
        <v>-1.1127996231526291E-2</v>
      </c>
      <c r="R278" s="8">
        <v>17.605536171980699</v>
      </c>
      <c r="S278" s="63"/>
      <c r="T278" s="8">
        <v>7.6351905999999997E-2</v>
      </c>
      <c r="U278" s="101">
        <f t="shared" si="33"/>
        <v>4.8325364680681694E-2</v>
      </c>
      <c r="V278" s="8">
        <v>41.957986067094701</v>
      </c>
      <c r="W278" s="63"/>
      <c r="X278" s="8">
        <v>-2.8069472000000002E-2</v>
      </c>
      <c r="Y278" s="104">
        <f t="shared" si="34"/>
        <v>-1.8981678713546578E-2</v>
      </c>
      <c r="Z278" s="8">
        <v>51.136286594414898</v>
      </c>
      <c r="AA278" s="63"/>
      <c r="AB278" s="8">
        <v>-2.5159898E-2</v>
      </c>
      <c r="AC278" s="107">
        <f t="shared" si="35"/>
        <v>-1.7156639525102949E-2</v>
      </c>
    </row>
    <row r="279" spans="14:29" x14ac:dyDescent="0.45">
      <c r="N279" s="8">
        <v>7.3569444493754901</v>
      </c>
      <c r="O279" s="63"/>
      <c r="P279" s="8">
        <v>-3.7768052000000003E-2</v>
      </c>
      <c r="Q279" s="98">
        <f t="shared" si="32"/>
        <v>-2.9002097809888657E-2</v>
      </c>
      <c r="R279" s="8">
        <v>17.6055461720807</v>
      </c>
      <c r="S279" s="63"/>
      <c r="T279" s="8">
        <v>2.7212434000000001E-2</v>
      </c>
      <c r="U279" s="101">
        <f t="shared" si="33"/>
        <v>1.7223549034898773E-2</v>
      </c>
      <c r="V279" s="8">
        <v>41.957996067194699</v>
      </c>
      <c r="W279" s="63"/>
      <c r="X279" s="8">
        <v>-1.9664035999999999E-2</v>
      </c>
      <c r="Y279" s="104">
        <f t="shared" si="34"/>
        <v>-1.3297592970883584E-2</v>
      </c>
      <c r="Z279" s="8">
        <v>51.136296594514903</v>
      </c>
      <c r="AA279" s="63"/>
      <c r="AB279" s="8">
        <v>-2.0310608000000001E-2</v>
      </c>
      <c r="AC279" s="107">
        <f t="shared" si="35"/>
        <v>-1.3849888421315227E-2</v>
      </c>
    </row>
    <row r="280" spans="14:29" x14ac:dyDescent="0.45">
      <c r="N280" s="8">
        <v>7.3569544494755004</v>
      </c>
      <c r="O280" s="63"/>
      <c r="P280" s="8">
        <v>-3.8414624000000001E-2</v>
      </c>
      <c r="Q280" s="98">
        <f t="shared" si="32"/>
        <v>-2.949860063150983E-2</v>
      </c>
      <c r="R280" s="8">
        <v>17.605556172180702</v>
      </c>
      <c r="S280" s="63"/>
      <c r="T280" s="8">
        <v>-1.236734E-3</v>
      </c>
      <c r="U280" s="101">
        <f t="shared" si="33"/>
        <v>-7.8276528634397408E-4</v>
      </c>
      <c r="V280" s="8">
        <v>41.958006067294697</v>
      </c>
      <c r="W280" s="63"/>
      <c r="X280" s="8">
        <v>-3.0655760000000001E-2</v>
      </c>
      <c r="Y280" s="104">
        <f t="shared" si="34"/>
        <v>-2.07306281728275E-2</v>
      </c>
      <c r="Z280" s="8">
        <v>51.136306594614901</v>
      </c>
      <c r="AA280" s="63"/>
      <c r="AB280" s="8">
        <v>-2.5483183999999999E-2</v>
      </c>
      <c r="AC280" s="107">
        <f t="shared" si="35"/>
        <v>-1.7377089598688795E-2</v>
      </c>
    </row>
    <row r="281" spans="14:29" x14ac:dyDescent="0.45">
      <c r="N281" s="8">
        <v>7.3569644495755</v>
      </c>
      <c r="O281" s="63"/>
      <c r="P281" s="8">
        <v>-1.8694177999999999E-2</v>
      </c>
      <c r="Q281" s="98">
        <f t="shared" si="32"/>
        <v>-1.4355264572063939E-2</v>
      </c>
      <c r="R281" s="8">
        <v>17.6055661722807</v>
      </c>
      <c r="S281" s="63"/>
      <c r="T281" s="8">
        <v>-2.5483183999999999E-2</v>
      </c>
      <c r="U281" s="101">
        <f t="shared" si="33"/>
        <v>-1.6129055901039496E-2</v>
      </c>
      <c r="V281" s="8">
        <v>41.958016067394702</v>
      </c>
      <c r="W281" s="63"/>
      <c r="X281" s="8">
        <v>-2.3543468000000001E-2</v>
      </c>
      <c r="Y281" s="104">
        <f t="shared" si="34"/>
        <v>-1.5921017159804967E-2</v>
      </c>
      <c r="Z281" s="8">
        <v>51.136316594714899</v>
      </c>
      <c r="AA281" s="63"/>
      <c r="AB281" s="8">
        <v>-2.9685902E-2</v>
      </c>
      <c r="AC281" s="107">
        <f t="shared" si="35"/>
        <v>-2.024294055530482E-2</v>
      </c>
    </row>
    <row r="282" spans="14:29" x14ac:dyDescent="0.45">
      <c r="N282" s="8">
        <v>7.3569744496754996</v>
      </c>
      <c r="O282" s="63"/>
      <c r="P282" s="8">
        <v>-1.3521602000000001E-2</v>
      </c>
      <c r="Q282" s="98">
        <f t="shared" si="32"/>
        <v>-1.0383241999094527E-2</v>
      </c>
      <c r="R282" s="8">
        <v>17.605576172380701</v>
      </c>
      <c r="S282" s="63"/>
      <c r="T282" s="8">
        <v>-2.6129756000000001E-2</v>
      </c>
      <c r="U282" s="101">
        <f t="shared" si="33"/>
        <v>-1.6538290317431377E-2</v>
      </c>
      <c r="V282" s="8">
        <v>41.9580260674947</v>
      </c>
      <c r="W282" s="63"/>
      <c r="X282" s="8">
        <v>-2.74229E-2</v>
      </c>
      <c r="Y282" s="104">
        <f t="shared" si="34"/>
        <v>-1.8544441348726348E-2</v>
      </c>
      <c r="Z282" s="8">
        <v>51.136326594814904</v>
      </c>
      <c r="AA282" s="63"/>
      <c r="AB282" s="8">
        <v>-2.9039329999999999E-2</v>
      </c>
      <c r="AC282" s="107">
        <f t="shared" si="35"/>
        <v>-1.9802040408133124E-2</v>
      </c>
    </row>
    <row r="283" spans="14:29" x14ac:dyDescent="0.45">
      <c r="N283" s="8">
        <v>7.3569844497755001</v>
      </c>
      <c r="O283" s="63"/>
      <c r="P283" s="8">
        <v>-2.1280466000000001E-2</v>
      </c>
      <c r="Q283" s="98">
        <f t="shared" si="32"/>
        <v>-1.6341275858548648E-2</v>
      </c>
      <c r="R283" s="8">
        <v>17.605586172480699</v>
      </c>
      <c r="S283" s="63"/>
      <c r="T283" s="8">
        <v>-3.0009187999999999E-2</v>
      </c>
      <c r="U283" s="101">
        <f t="shared" si="33"/>
        <v>-1.8993696815782658E-2</v>
      </c>
      <c r="V283" s="8">
        <v>41.958036067594698</v>
      </c>
      <c r="W283" s="63"/>
      <c r="X283" s="8">
        <v>-2.9362616000000001E-2</v>
      </c>
      <c r="Y283" s="104">
        <f t="shared" si="34"/>
        <v>-1.9856153443187041E-2</v>
      </c>
      <c r="Z283" s="8">
        <v>51.136336594914901</v>
      </c>
      <c r="AA283" s="63"/>
      <c r="AB283" s="8">
        <v>-2.5483183999999999E-2</v>
      </c>
      <c r="AC283" s="107">
        <f t="shared" si="35"/>
        <v>-1.7377089598688795E-2</v>
      </c>
    </row>
    <row r="284" spans="14:29" x14ac:dyDescent="0.45">
      <c r="N284" s="8">
        <v>7.3569944498754998</v>
      </c>
      <c r="O284" s="63"/>
      <c r="P284" s="8">
        <v>-3.0009187999999999E-2</v>
      </c>
      <c r="Q284" s="98">
        <f t="shared" si="32"/>
        <v>-2.3044063950434533E-2</v>
      </c>
      <c r="R284" s="8">
        <v>17.6055961725807</v>
      </c>
      <c r="S284" s="63"/>
      <c r="T284" s="8">
        <v>-3.0009187999999999E-2</v>
      </c>
      <c r="U284" s="101">
        <f t="shared" si="33"/>
        <v>-1.8993696815782658E-2</v>
      </c>
      <c r="V284" s="8">
        <v>41.958046067694703</v>
      </c>
      <c r="W284" s="63"/>
      <c r="X284" s="8">
        <v>-3.6798193999999999E-2</v>
      </c>
      <c r="Y284" s="104">
        <f t="shared" si="34"/>
        <v>-2.4884383138619685E-2</v>
      </c>
      <c r="Z284" s="8">
        <v>51.136346595014999</v>
      </c>
      <c r="AA284" s="63"/>
      <c r="AB284" s="8">
        <v>-1.9017464000000001E-2</v>
      </c>
      <c r="AC284" s="107">
        <f t="shared" si="35"/>
        <v>-1.2968088126971835E-2</v>
      </c>
    </row>
    <row r="285" spans="14:29" x14ac:dyDescent="0.45">
      <c r="N285" s="8">
        <v>7.3570044499755003</v>
      </c>
      <c r="O285" s="63"/>
      <c r="P285" s="8">
        <v>-1.8047606000000001E-2</v>
      </c>
      <c r="Q285" s="98">
        <f t="shared" si="32"/>
        <v>-1.3858761750442764E-2</v>
      </c>
      <c r="R285" s="8">
        <v>17.605606172680702</v>
      </c>
      <c r="S285" s="63"/>
      <c r="T285" s="8">
        <v>-2.5483183999999999E-2</v>
      </c>
      <c r="U285" s="101">
        <f t="shared" si="33"/>
        <v>-1.6129055901039496E-2</v>
      </c>
      <c r="V285" s="8">
        <v>41.958056067794701</v>
      </c>
      <c r="W285" s="63"/>
      <c r="X285" s="8">
        <v>-2.0633894E-2</v>
      </c>
      <c r="Y285" s="104">
        <f t="shared" si="34"/>
        <v>-1.395344901811393E-2</v>
      </c>
      <c r="Z285" s="8">
        <v>51.136356595114997</v>
      </c>
      <c r="AA285" s="63"/>
      <c r="AB285" s="8">
        <v>-3.2272189999999999E-2</v>
      </c>
      <c r="AC285" s="107">
        <f t="shared" si="35"/>
        <v>-2.2006541143991604E-2</v>
      </c>
    </row>
    <row r="286" spans="14:29" x14ac:dyDescent="0.45">
      <c r="N286" s="8">
        <v>7.3570144500754999</v>
      </c>
      <c r="O286" s="63"/>
      <c r="P286" s="8">
        <v>-2.7099614000000001E-2</v>
      </c>
      <c r="Q286" s="98">
        <f t="shared" si="32"/>
        <v>-2.0809801253139238E-2</v>
      </c>
      <c r="R286" s="8">
        <v>17.605616172780699</v>
      </c>
      <c r="S286" s="63"/>
      <c r="T286" s="8">
        <v>-3.0009187999999999E-2</v>
      </c>
      <c r="U286" s="101">
        <f t="shared" si="33"/>
        <v>-1.8993696815782658E-2</v>
      </c>
      <c r="V286" s="8">
        <v>41.958066067894698</v>
      </c>
      <c r="W286" s="63"/>
      <c r="X286" s="8">
        <v>-3.9707767999999997E-2</v>
      </c>
      <c r="Y286" s="104">
        <f t="shared" si="34"/>
        <v>-2.6851951280310721E-2</v>
      </c>
      <c r="Z286" s="8">
        <v>51.136366595215001</v>
      </c>
      <c r="AA286" s="63"/>
      <c r="AB286" s="8">
        <v>-3.5181763999999997E-2</v>
      </c>
      <c r="AC286" s="107">
        <f t="shared" si="35"/>
        <v>-2.3990591806264238E-2</v>
      </c>
    </row>
    <row r="287" spans="14:29" x14ac:dyDescent="0.45">
      <c r="N287" s="8">
        <v>7.3570244501755004</v>
      </c>
      <c r="O287" s="63"/>
      <c r="P287" s="8">
        <v>-1.6754462000000001E-2</v>
      </c>
      <c r="Q287" s="98">
        <f t="shared" si="32"/>
        <v>-1.2865756107200411E-2</v>
      </c>
      <c r="R287" s="8">
        <v>17.605626172880701</v>
      </c>
      <c r="S287" s="63"/>
      <c r="T287" s="8">
        <v>-2.5483183999999999E-2</v>
      </c>
      <c r="U287" s="101">
        <f t="shared" si="33"/>
        <v>-1.6129055901039496E-2</v>
      </c>
      <c r="V287" s="8">
        <v>41.958076067994703</v>
      </c>
      <c r="W287" s="63"/>
      <c r="X287" s="8">
        <v>-2.8716044E-2</v>
      </c>
      <c r="Y287" s="104">
        <f t="shared" si="34"/>
        <v>-1.9418916078366807E-2</v>
      </c>
      <c r="Z287" s="8">
        <v>51.136376595314999</v>
      </c>
      <c r="AA287" s="63"/>
      <c r="AB287" s="8">
        <v>-9.3188839999999995E-3</v>
      </c>
      <c r="AC287" s="107">
        <f t="shared" si="35"/>
        <v>-6.3545859193963926E-3</v>
      </c>
    </row>
    <row r="288" spans="14:29" x14ac:dyDescent="0.45">
      <c r="N288" s="8">
        <v>7.3570344502755001</v>
      </c>
      <c r="O288" s="63"/>
      <c r="P288" s="8">
        <v>-4.2940628000000002E-2</v>
      </c>
      <c r="Q288" s="98">
        <f t="shared" si="32"/>
        <v>-3.2974120382858067E-2</v>
      </c>
      <c r="R288" s="8">
        <v>17.605636172980699</v>
      </c>
      <c r="S288" s="63"/>
      <c r="T288" s="8">
        <v>-2.9362616000000001E-2</v>
      </c>
      <c r="U288" s="101">
        <f t="shared" si="33"/>
        <v>-1.858446239939078E-2</v>
      </c>
      <c r="V288" s="8">
        <v>41.958086068094701</v>
      </c>
      <c r="W288" s="63"/>
      <c r="X288" s="8">
        <v>-3.6798193999999999E-2</v>
      </c>
      <c r="Y288" s="104">
        <f t="shared" si="34"/>
        <v>-2.4884383138619685E-2</v>
      </c>
      <c r="Z288" s="8">
        <v>51.136386595414997</v>
      </c>
      <c r="AA288" s="63"/>
      <c r="AB288" s="8">
        <v>3.5617870000000003E-2</v>
      </c>
      <c r="AC288" s="107">
        <f t="shared" si="35"/>
        <v>2.4287974309036491E-2</v>
      </c>
    </row>
    <row r="289" spans="14:29" x14ac:dyDescent="0.45">
      <c r="N289" s="8">
        <v>7.3570444503754997</v>
      </c>
      <c r="O289" s="63"/>
      <c r="P289" s="8">
        <v>-2.9685902E-2</v>
      </c>
      <c r="Q289" s="98">
        <f t="shared" si="32"/>
        <v>-2.2795812539623945E-2</v>
      </c>
      <c r="R289" s="8">
        <v>17.6056461730807</v>
      </c>
      <c r="S289" s="63"/>
      <c r="T289" s="8">
        <v>-2.0310608000000001E-2</v>
      </c>
      <c r="U289" s="101">
        <f t="shared" si="33"/>
        <v>-1.2855180569904451E-2</v>
      </c>
      <c r="V289" s="8">
        <v>41.958096068194699</v>
      </c>
      <c r="W289" s="63"/>
      <c r="X289" s="8">
        <v>-2.2250323999999998E-2</v>
      </c>
      <c r="Y289" s="104">
        <f t="shared" si="34"/>
        <v>-1.5046542430164504E-2</v>
      </c>
      <c r="Z289" s="8">
        <v>51.136396595515002</v>
      </c>
      <c r="AA289" s="63"/>
      <c r="AB289" s="8">
        <v>5.4045172000000002E-2</v>
      </c>
      <c r="AC289" s="107">
        <f t="shared" si="35"/>
        <v>3.6853628503429832E-2</v>
      </c>
    </row>
    <row r="290" spans="14:29" x14ac:dyDescent="0.45">
      <c r="N290" s="8">
        <v>7.35705445047551</v>
      </c>
      <c r="O290" s="63"/>
      <c r="P290" s="8">
        <v>-3.2918761999999997E-2</v>
      </c>
      <c r="Q290" s="98">
        <f t="shared" si="32"/>
        <v>-2.5278326647729825E-2</v>
      </c>
      <c r="R290" s="8">
        <v>17.605656173180702</v>
      </c>
      <c r="S290" s="63"/>
      <c r="T290" s="8">
        <v>-7.3791680000000002E-3</v>
      </c>
      <c r="U290" s="101">
        <f t="shared" si="33"/>
        <v>-4.6704922420668397E-3</v>
      </c>
      <c r="V290" s="8">
        <v>41.958106068294697</v>
      </c>
      <c r="W290" s="63"/>
      <c r="X290" s="8">
        <v>-3.1302332000000002E-2</v>
      </c>
      <c r="Y290" s="104">
        <f t="shared" si="34"/>
        <v>-2.1167865537647729E-2</v>
      </c>
      <c r="Z290" s="8">
        <v>51.136406595615</v>
      </c>
      <c r="AA290" s="63"/>
      <c r="AB290" s="8">
        <v>4.2406876000000003E-2</v>
      </c>
      <c r="AC290" s="107">
        <f t="shared" si="35"/>
        <v>2.8917425854339301E-2</v>
      </c>
    </row>
    <row r="291" spans="14:29" x14ac:dyDescent="0.45">
      <c r="N291" s="8">
        <v>7.3570644505755096</v>
      </c>
      <c r="O291" s="63"/>
      <c r="P291" s="8">
        <v>-2.5483183999999999E-2</v>
      </c>
      <c r="Q291" s="98">
        <f t="shared" si="32"/>
        <v>-1.9568544199086296E-2</v>
      </c>
      <c r="R291" s="8">
        <v>17.605666173280699</v>
      </c>
      <c r="S291" s="63"/>
      <c r="T291" s="8">
        <v>1.6728400000000001E-3</v>
      </c>
      <c r="U291" s="101">
        <f t="shared" si="33"/>
        <v>1.0587895874194886E-3</v>
      </c>
      <c r="V291" s="8">
        <v>41.958116068394702</v>
      </c>
      <c r="W291" s="63"/>
      <c r="X291" s="8">
        <v>-2.0957179999999999E-2</v>
      </c>
      <c r="Y291" s="104">
        <f t="shared" si="34"/>
        <v>-1.4172067700524045E-2</v>
      </c>
      <c r="Z291" s="8">
        <v>51.136416595714998</v>
      </c>
      <c r="AA291" s="63"/>
      <c r="AB291" s="8">
        <v>3.4001440000000001E-2</v>
      </c>
      <c r="AC291" s="107">
        <f t="shared" si="35"/>
        <v>2.318572394110725E-2</v>
      </c>
    </row>
    <row r="292" spans="14:29" x14ac:dyDescent="0.45">
      <c r="N292" s="8">
        <v>7.3570744506755101</v>
      </c>
      <c r="O292" s="63"/>
      <c r="P292" s="8">
        <v>-2.7099614000000001E-2</v>
      </c>
      <c r="Q292" s="98">
        <f t="shared" si="32"/>
        <v>-2.0809801253139238E-2</v>
      </c>
      <c r="R292" s="8">
        <v>17.605676173380701</v>
      </c>
      <c r="S292" s="63"/>
      <c r="T292" s="8">
        <v>-1.4491459999999999E-2</v>
      </c>
      <c r="U292" s="101">
        <f t="shared" si="33"/>
        <v>-9.1720708223775246E-3</v>
      </c>
      <c r="V292" s="8">
        <v>41.9581260684947</v>
      </c>
      <c r="W292" s="63"/>
      <c r="X292" s="8">
        <v>-3.4858477999999998E-2</v>
      </c>
      <c r="Y292" s="104">
        <f t="shared" si="34"/>
        <v>-2.3572671044158992E-2</v>
      </c>
      <c r="Z292" s="8">
        <v>51.136426595815003</v>
      </c>
      <c r="AA292" s="63"/>
      <c r="AB292" s="8">
        <v>6.6006754000000001E-2</v>
      </c>
      <c r="AC292" s="107">
        <f t="shared" si="35"/>
        <v>4.5010281226106209E-2</v>
      </c>
    </row>
    <row r="293" spans="14:29" x14ac:dyDescent="0.45">
      <c r="N293" s="8">
        <v>7.3570844507755098</v>
      </c>
      <c r="O293" s="63"/>
      <c r="P293" s="8">
        <v>-2.5806470000000001E-2</v>
      </c>
      <c r="Q293" s="98">
        <f t="shared" si="32"/>
        <v>-1.9816795609896885E-2</v>
      </c>
      <c r="R293" s="8">
        <v>17.605686173480699</v>
      </c>
      <c r="S293" s="63"/>
      <c r="T293" s="8">
        <v>-1.9987321999999998E-2</v>
      </c>
      <c r="U293" s="101">
        <f t="shared" si="33"/>
        <v>-1.265056336170851E-2</v>
      </c>
      <c r="V293" s="8">
        <v>41.958136068594698</v>
      </c>
      <c r="W293" s="63"/>
      <c r="X293" s="8">
        <v>-2.5159898E-2</v>
      </c>
      <c r="Y293" s="104">
        <f t="shared" si="34"/>
        <v>-1.7014110571855541E-2</v>
      </c>
      <c r="Z293" s="8">
        <v>51.136436595915001</v>
      </c>
      <c r="AA293" s="63"/>
      <c r="AB293" s="8">
        <v>9.6072352E-2</v>
      </c>
      <c r="AC293" s="107">
        <f t="shared" si="35"/>
        <v>6.5512138069590081E-2</v>
      </c>
    </row>
    <row r="294" spans="14:29" x14ac:dyDescent="0.45">
      <c r="N294" s="8">
        <v>7.3570944508755103</v>
      </c>
      <c r="O294" s="63"/>
      <c r="P294" s="8">
        <v>-3.2918761999999997E-2</v>
      </c>
      <c r="Q294" s="98">
        <f t="shared" si="32"/>
        <v>-2.5278326647729825E-2</v>
      </c>
      <c r="R294" s="8">
        <v>17.6056961735807</v>
      </c>
      <c r="S294" s="63"/>
      <c r="T294" s="8">
        <v>-2.0633894E-2</v>
      </c>
      <c r="U294" s="101">
        <f t="shared" si="33"/>
        <v>-1.3059797778100391E-2</v>
      </c>
      <c r="V294" s="8">
        <v>41.958146068694703</v>
      </c>
      <c r="W294" s="63"/>
      <c r="X294" s="8">
        <v>-3.5828336000000002E-2</v>
      </c>
      <c r="Y294" s="104">
        <f t="shared" si="34"/>
        <v>-2.4228527091389344E-2</v>
      </c>
      <c r="Z294" s="8">
        <v>51.136446596014999</v>
      </c>
      <c r="AA294" s="63"/>
      <c r="AB294" s="8">
        <v>8.5403913999999997E-2</v>
      </c>
      <c r="AC294" s="107">
        <f t="shared" si="35"/>
        <v>5.8237285641257089E-2</v>
      </c>
    </row>
    <row r="295" spans="14:29" x14ac:dyDescent="0.45">
      <c r="N295" s="8">
        <v>7.3571044509755099</v>
      </c>
      <c r="O295" s="63"/>
      <c r="P295" s="8">
        <v>-2.7746185999999999E-2</v>
      </c>
      <c r="Q295" s="98">
        <f t="shared" si="32"/>
        <v>-2.1306304074760415E-2</v>
      </c>
      <c r="R295" s="8">
        <v>17.605706173680701</v>
      </c>
      <c r="S295" s="63"/>
      <c r="T295" s="8">
        <v>-3.8230220000000001E-3</v>
      </c>
      <c r="U295" s="101">
        <f t="shared" si="33"/>
        <v>-2.4197029519114964E-3</v>
      </c>
      <c r="V295" s="8">
        <v>41.9581560687947</v>
      </c>
      <c r="W295" s="63"/>
      <c r="X295" s="8">
        <v>-1.9664035999999999E-2</v>
      </c>
      <c r="Y295" s="104">
        <f t="shared" si="34"/>
        <v>-1.3297592970883584E-2</v>
      </c>
      <c r="Z295" s="8">
        <v>51.136456596115003</v>
      </c>
      <c r="AA295" s="63"/>
      <c r="AB295" s="8">
        <v>5.9217748000000001E-2</v>
      </c>
      <c r="AC295" s="107">
        <f t="shared" si="35"/>
        <v>4.03808296808034E-2</v>
      </c>
    </row>
    <row r="296" spans="14:29" x14ac:dyDescent="0.45">
      <c r="N296" s="8">
        <v>7.3571144510755104</v>
      </c>
      <c r="O296" s="63"/>
      <c r="P296" s="8">
        <v>-3.0009187999999999E-2</v>
      </c>
      <c r="Q296" s="98">
        <f t="shared" si="32"/>
        <v>-2.3044063950434533E-2</v>
      </c>
      <c r="R296" s="8">
        <v>17.605716173780699</v>
      </c>
      <c r="S296" s="63"/>
      <c r="T296" s="8">
        <v>-2.6687599999999901E-4</v>
      </c>
      <c r="U296" s="101">
        <f t="shared" si="33"/>
        <v>-1.6891366175615262E-4</v>
      </c>
      <c r="V296" s="8">
        <v>41.958166068894698</v>
      </c>
      <c r="W296" s="63"/>
      <c r="X296" s="8">
        <v>-2.2250323999999998E-2</v>
      </c>
      <c r="Y296" s="104">
        <f t="shared" si="34"/>
        <v>-1.5046542430164504E-2</v>
      </c>
      <c r="Z296" s="8">
        <v>51.136466596215001</v>
      </c>
      <c r="AA296" s="63"/>
      <c r="AB296" s="8">
        <v>6.0187605999999998E-2</v>
      </c>
      <c r="AC296" s="107">
        <f t="shared" si="35"/>
        <v>4.1042179901560942E-2</v>
      </c>
    </row>
    <row r="297" spans="14:29" x14ac:dyDescent="0.45">
      <c r="N297" s="8">
        <v>7.3571244511755101</v>
      </c>
      <c r="O297" s="63"/>
      <c r="P297" s="8">
        <v>-3.2272189999999999E-2</v>
      </c>
      <c r="Q297" s="98">
        <f t="shared" si="32"/>
        <v>-2.4781823826108652E-2</v>
      </c>
      <c r="R297" s="8">
        <v>17.605726173880701</v>
      </c>
      <c r="S297" s="63"/>
      <c r="T297" s="8">
        <v>9.1084180000000001E-3</v>
      </c>
      <c r="U297" s="101">
        <f t="shared" si="33"/>
        <v>5.7649853759261151E-3</v>
      </c>
      <c r="V297" s="8">
        <v>41.958176068994703</v>
      </c>
      <c r="W297" s="63"/>
      <c r="X297" s="8">
        <v>-1.7724319999999998E-2</v>
      </c>
      <c r="Y297" s="104">
        <f t="shared" si="34"/>
        <v>-1.1985880876422893E-2</v>
      </c>
      <c r="Z297" s="8">
        <v>51.136476596314999</v>
      </c>
      <c r="AA297" s="63"/>
      <c r="AB297" s="8">
        <v>6.2450607999999998E-2</v>
      </c>
      <c r="AC297" s="107">
        <f t="shared" si="35"/>
        <v>4.2585330416661876E-2</v>
      </c>
    </row>
    <row r="298" spans="14:29" x14ac:dyDescent="0.45">
      <c r="N298" s="8">
        <v>7.3571344512755097</v>
      </c>
      <c r="O298" s="63"/>
      <c r="P298" s="8">
        <v>-3.2918761999999997E-2</v>
      </c>
      <c r="Q298" s="98">
        <f t="shared" si="32"/>
        <v>-2.5278326647729825E-2</v>
      </c>
      <c r="R298" s="8">
        <v>17.605736173980699</v>
      </c>
      <c r="S298" s="63"/>
      <c r="T298" s="8">
        <v>-2.2065919999999998E-3</v>
      </c>
      <c r="U298" s="101">
        <f t="shared" si="33"/>
        <v>-1.3966169109317949E-3</v>
      </c>
      <c r="V298" s="8">
        <v>41.958186069094701</v>
      </c>
      <c r="W298" s="63"/>
      <c r="X298" s="8">
        <v>-3.3242048000000003E-2</v>
      </c>
      <c r="Y298" s="104">
        <f t="shared" si="34"/>
        <v>-2.2479577632108422E-2</v>
      </c>
      <c r="Z298" s="8">
        <v>51.136486596414997</v>
      </c>
      <c r="AA298" s="63"/>
      <c r="AB298" s="8">
        <v>6.5036895999999997E-2</v>
      </c>
      <c r="AC298" s="107">
        <f t="shared" si="35"/>
        <v>4.434893100534866E-2</v>
      </c>
    </row>
    <row r="299" spans="14:29" x14ac:dyDescent="0.45">
      <c r="N299" s="8">
        <v>7.3571444513755102</v>
      </c>
      <c r="O299" s="63"/>
      <c r="P299" s="8">
        <v>-2.6453042E-2</v>
      </c>
      <c r="Q299" s="98">
        <f t="shared" si="32"/>
        <v>-2.0313298431518061E-2</v>
      </c>
      <c r="R299" s="8">
        <v>17.6057461740807</v>
      </c>
      <c r="S299" s="63"/>
      <c r="T299" s="8">
        <v>9.1084180000000001E-3</v>
      </c>
      <c r="U299" s="101">
        <f t="shared" si="33"/>
        <v>5.7649853759261151E-3</v>
      </c>
      <c r="V299" s="8">
        <v>41.958196069194699</v>
      </c>
      <c r="W299" s="63"/>
      <c r="X299" s="8">
        <v>-1.7077748E-2</v>
      </c>
      <c r="Y299" s="104">
        <f t="shared" si="34"/>
        <v>-1.1548643511602664E-2</v>
      </c>
      <c r="Z299" s="8">
        <v>51.136496596515002</v>
      </c>
      <c r="AA299" s="63"/>
      <c r="AB299" s="8">
        <v>4.2406876000000003E-2</v>
      </c>
      <c r="AC299" s="107">
        <f t="shared" si="35"/>
        <v>2.8917425854339301E-2</v>
      </c>
    </row>
    <row r="300" spans="14:29" x14ac:dyDescent="0.45">
      <c r="N300" s="8">
        <v>7.3571544514755196</v>
      </c>
      <c r="O300" s="63"/>
      <c r="P300" s="8">
        <v>-2.74229E-2</v>
      </c>
      <c r="Q300" s="98">
        <f t="shared" si="32"/>
        <v>-2.1058052663949826E-2</v>
      </c>
      <c r="R300" s="8">
        <v>17.605756174180701</v>
      </c>
      <c r="S300" s="63"/>
      <c r="T300" s="8">
        <v>3.28927E-3</v>
      </c>
      <c r="U300" s="101">
        <f t="shared" si="33"/>
        <v>2.0818756283991898E-3</v>
      </c>
      <c r="V300" s="8">
        <v>41.958206069294697</v>
      </c>
      <c r="W300" s="63"/>
      <c r="X300" s="8">
        <v>-2.5298780000000002E-3</v>
      </c>
      <c r="Y300" s="104">
        <f t="shared" si="34"/>
        <v>-1.7108028031474832E-3</v>
      </c>
      <c r="Z300" s="8">
        <v>51.136506596615</v>
      </c>
      <c r="AA300" s="63"/>
      <c r="AB300" s="8">
        <v>-5.1161660000000001E-3</v>
      </c>
      <c r="AC300" s="107">
        <f t="shared" si="35"/>
        <v>-3.4887349627803679E-3</v>
      </c>
    </row>
    <row r="301" spans="14:29" x14ac:dyDescent="0.45">
      <c r="N301" s="8">
        <v>7.3571644515755201</v>
      </c>
      <c r="O301" s="63"/>
      <c r="P301" s="8">
        <v>-2.9362616000000001E-2</v>
      </c>
      <c r="Q301" s="98">
        <f t="shared" si="32"/>
        <v>-2.2547561128813357E-2</v>
      </c>
      <c r="R301" s="8">
        <v>17.605766174280699</v>
      </c>
      <c r="S301" s="63"/>
      <c r="T301" s="8">
        <v>1.2341278000000001E-2</v>
      </c>
      <c r="U301" s="101">
        <f t="shared" si="33"/>
        <v>7.8111574578855186E-3</v>
      </c>
      <c r="V301" s="8">
        <v>41.958216069394702</v>
      </c>
      <c r="W301" s="63"/>
      <c r="X301" s="8">
        <v>4.6286307999999998E-2</v>
      </c>
      <c r="Y301" s="104">
        <f t="shared" si="34"/>
        <v>3.1300618240779898E-2</v>
      </c>
      <c r="Z301" s="8">
        <v>51.136516596714998</v>
      </c>
      <c r="AA301" s="63"/>
      <c r="AB301" s="8">
        <v>-2.9362616000000001E-2</v>
      </c>
      <c r="AC301" s="107">
        <f t="shared" si="35"/>
        <v>-2.0022490481718974E-2</v>
      </c>
    </row>
    <row r="302" spans="14:29" x14ac:dyDescent="0.45">
      <c r="N302" s="8">
        <v>7.3571744516755198</v>
      </c>
      <c r="O302" s="63"/>
      <c r="P302" s="8">
        <v>-2.5159898E-2</v>
      </c>
      <c r="Q302" s="98">
        <f t="shared" si="32"/>
        <v>-1.9320292788275708E-2</v>
      </c>
      <c r="R302" s="8">
        <v>17.605776174380701</v>
      </c>
      <c r="S302" s="63"/>
      <c r="T302" s="8">
        <v>9.1084180000000001E-3</v>
      </c>
      <c r="U302" s="101">
        <f t="shared" si="33"/>
        <v>5.7649853759261151E-3</v>
      </c>
      <c r="V302" s="8">
        <v>41.9582260694947</v>
      </c>
      <c r="W302" s="63"/>
      <c r="X302" s="8">
        <v>5.6954746000000001E-2</v>
      </c>
      <c r="Y302" s="104">
        <f t="shared" si="34"/>
        <v>3.8515034760313697E-2</v>
      </c>
      <c r="Z302" s="8">
        <v>51.136526596815003</v>
      </c>
      <c r="AA302" s="63"/>
      <c r="AB302" s="8">
        <v>-2.9685902E-2</v>
      </c>
      <c r="AC302" s="107">
        <f t="shared" si="35"/>
        <v>-2.024294055530482E-2</v>
      </c>
    </row>
    <row r="303" spans="14:29" x14ac:dyDescent="0.45">
      <c r="N303" s="8">
        <v>7.3571844517755203</v>
      </c>
      <c r="O303" s="63"/>
      <c r="P303" s="8">
        <v>-2.6129756000000001E-2</v>
      </c>
      <c r="Q303" s="98">
        <f t="shared" si="32"/>
        <v>-2.0065047020707473E-2</v>
      </c>
      <c r="R303" s="8">
        <v>17.605786174480698</v>
      </c>
      <c r="S303" s="63"/>
      <c r="T303" s="8">
        <v>3.7969600000000098E-4</v>
      </c>
      <c r="U303" s="101">
        <f t="shared" si="33"/>
        <v>2.4032075463572793E-4</v>
      </c>
      <c r="V303" s="8">
        <v>41.958236069594697</v>
      </c>
      <c r="W303" s="63"/>
      <c r="X303" s="8">
        <v>1.8483711999999999E-2</v>
      </c>
      <c r="Y303" s="104">
        <f t="shared" si="34"/>
        <v>1.2499411553509998E-2</v>
      </c>
      <c r="Z303" s="8">
        <v>51.136536596915001</v>
      </c>
      <c r="AA303" s="63"/>
      <c r="AB303" s="8">
        <v>-1.8047606000000001E-2</v>
      </c>
      <c r="AC303" s="107">
        <f t="shared" si="35"/>
        <v>-1.2306737906214291E-2</v>
      </c>
    </row>
    <row r="304" spans="14:29" x14ac:dyDescent="0.45">
      <c r="N304" s="8">
        <v>7.3571944518755199</v>
      </c>
      <c r="O304" s="63"/>
      <c r="P304" s="8">
        <v>-2.4836612000000001E-2</v>
      </c>
      <c r="Q304" s="98">
        <f t="shared" si="32"/>
        <v>-1.907204137746512E-2</v>
      </c>
      <c r="R304" s="8">
        <v>17.6057961745807</v>
      </c>
      <c r="S304" s="63"/>
      <c r="T304" s="8">
        <v>1.0262680000000001E-3</v>
      </c>
      <c r="U304" s="101">
        <f t="shared" si="33"/>
        <v>6.4955517102760799E-4</v>
      </c>
      <c r="V304" s="8">
        <v>41.958246069694702</v>
      </c>
      <c r="W304" s="63"/>
      <c r="X304" s="8">
        <v>-5.7627379999999999E-3</v>
      </c>
      <c r="Y304" s="104">
        <f t="shared" si="34"/>
        <v>-3.8969896272486341E-3</v>
      </c>
      <c r="Z304" s="8">
        <v>51.136546597014998</v>
      </c>
      <c r="AA304" s="63"/>
      <c r="AB304" s="8">
        <v>-1.5600200000000001E-3</v>
      </c>
      <c r="AC304" s="107">
        <f t="shared" si="35"/>
        <v>-1.0637841533360391E-3</v>
      </c>
    </row>
    <row r="305" spans="14:29" x14ac:dyDescent="0.45">
      <c r="N305" s="8">
        <v>7.3572044519755204</v>
      </c>
      <c r="O305" s="63"/>
      <c r="P305" s="8">
        <v>-2.8069472000000002E-2</v>
      </c>
      <c r="Q305" s="98">
        <f t="shared" si="32"/>
        <v>-2.1554555485571003E-2</v>
      </c>
      <c r="R305" s="8">
        <v>17.605806174680701</v>
      </c>
      <c r="S305" s="63"/>
      <c r="T305" s="8">
        <v>-6.0860239999999998E-3</v>
      </c>
      <c r="U305" s="101">
        <f t="shared" si="33"/>
        <v>-3.8520234092830783E-3</v>
      </c>
      <c r="V305" s="8">
        <v>41.9582560697947</v>
      </c>
      <c r="W305" s="63"/>
      <c r="X305" s="8">
        <v>2.3656288000000001E-2</v>
      </c>
      <c r="Y305" s="104">
        <f t="shared" si="34"/>
        <v>1.5997310472071841E-2</v>
      </c>
      <c r="Z305" s="8">
        <v>51.136556597115003</v>
      </c>
      <c r="AA305" s="63"/>
      <c r="AB305" s="8">
        <v>-2.2065919999999998E-3</v>
      </c>
      <c r="AC305" s="107">
        <f t="shared" si="35"/>
        <v>-1.5046843005077351E-3</v>
      </c>
    </row>
    <row r="306" spans="14:29" x14ac:dyDescent="0.45">
      <c r="N306" s="8">
        <v>7.3572144520755201</v>
      </c>
      <c r="O306" s="63"/>
      <c r="P306" s="8">
        <v>-3.0332474000000002E-2</v>
      </c>
      <c r="Q306" s="98">
        <f t="shared" si="32"/>
        <v>-2.3292315361245122E-2</v>
      </c>
      <c r="R306" s="8">
        <v>17.605816174780699</v>
      </c>
      <c r="S306" s="63"/>
      <c r="T306" s="8">
        <v>-1.8370892E-2</v>
      </c>
      <c r="U306" s="101">
        <f t="shared" si="33"/>
        <v>-1.1627477320728809E-2</v>
      </c>
      <c r="V306" s="8">
        <v>41.958266069894698</v>
      </c>
      <c r="W306" s="63"/>
      <c r="X306" s="8">
        <v>2.9798722E-2</v>
      </c>
      <c r="Y306" s="104">
        <f t="shared" si="34"/>
        <v>2.0151065437864029E-2</v>
      </c>
      <c r="Z306" s="8">
        <v>51.136566597215001</v>
      </c>
      <c r="AA306" s="63"/>
      <c r="AB306" s="8">
        <v>-2.2065919999999998E-3</v>
      </c>
      <c r="AC306" s="107">
        <f t="shared" si="35"/>
        <v>-1.5046843005077351E-3</v>
      </c>
    </row>
    <row r="307" spans="14:29" x14ac:dyDescent="0.45">
      <c r="N307" s="8">
        <v>7.3572244521755197</v>
      </c>
      <c r="O307" s="63"/>
      <c r="P307" s="8">
        <v>-4.4233771999999998E-2</v>
      </c>
      <c r="Q307" s="98">
        <f t="shared" si="32"/>
        <v>-3.3967126026100421E-2</v>
      </c>
      <c r="R307" s="8">
        <v>17.605826174880701</v>
      </c>
      <c r="S307" s="63"/>
      <c r="T307" s="8">
        <v>-2.6453042E-2</v>
      </c>
      <c r="U307" s="101">
        <f t="shared" si="33"/>
        <v>-1.6742907525627317E-2</v>
      </c>
      <c r="V307" s="8">
        <v>41.958276069994703</v>
      </c>
      <c r="W307" s="63"/>
      <c r="X307" s="8">
        <v>-4.1463079999999996E-3</v>
      </c>
      <c r="Y307" s="104">
        <f t="shared" si="34"/>
        <v>-2.8038962151980583E-3</v>
      </c>
      <c r="Z307" s="8">
        <v>51.136576597314999</v>
      </c>
      <c r="AA307" s="63"/>
      <c r="AB307" s="8">
        <v>-1.4491459999999999E-2</v>
      </c>
      <c r="AC307" s="107">
        <f t="shared" si="35"/>
        <v>-9.8817870967699614E-3</v>
      </c>
    </row>
    <row r="308" spans="14:29" x14ac:dyDescent="0.45">
      <c r="N308" s="8">
        <v>7.3572344522755202</v>
      </c>
      <c r="O308" s="63"/>
      <c r="P308" s="8">
        <v>-3.0979046E-2</v>
      </c>
      <c r="Q308" s="98">
        <f t="shared" si="32"/>
        <v>-2.3788818182866298E-2</v>
      </c>
      <c r="R308" s="8">
        <v>17.605836174980698</v>
      </c>
      <c r="S308" s="63"/>
      <c r="T308" s="8">
        <v>-2.8069472000000002E-2</v>
      </c>
      <c r="U308" s="101">
        <f t="shared" si="33"/>
        <v>-1.7765993566607019E-2</v>
      </c>
      <c r="V308" s="8">
        <v>41.958286070094701</v>
      </c>
      <c r="W308" s="63"/>
      <c r="X308" s="8">
        <v>-3.6474908E-2</v>
      </c>
      <c r="Y308" s="104">
        <f t="shared" si="34"/>
        <v>-2.466576445620957E-2</v>
      </c>
      <c r="Z308" s="8">
        <v>51.136586597414997</v>
      </c>
      <c r="AA308" s="63"/>
      <c r="AB308" s="8">
        <v>-6.0860239999999998E-3</v>
      </c>
      <c r="AC308" s="107">
        <f t="shared" si="35"/>
        <v>-4.1500851835379118E-3</v>
      </c>
    </row>
    <row r="309" spans="14:29" x14ac:dyDescent="0.45">
      <c r="N309" s="8">
        <v>7.3572444523755198</v>
      </c>
      <c r="O309" s="63"/>
      <c r="P309" s="8">
        <v>-2.9685902E-2</v>
      </c>
      <c r="Q309" s="98">
        <f t="shared" si="32"/>
        <v>-2.2795812539623945E-2</v>
      </c>
      <c r="R309" s="8">
        <v>17.605846175080799</v>
      </c>
      <c r="S309" s="63"/>
      <c r="T309" s="8">
        <v>-2.6453042E-2</v>
      </c>
      <c r="U309" s="101">
        <f t="shared" si="33"/>
        <v>-1.6742907525627317E-2</v>
      </c>
      <c r="V309" s="8">
        <v>41.958296070194699</v>
      </c>
      <c r="W309" s="63"/>
      <c r="X309" s="8">
        <v>-4.6820059999999997E-2</v>
      </c>
      <c r="Y309" s="104">
        <f t="shared" si="34"/>
        <v>-3.1661562293333251E-2</v>
      </c>
      <c r="Z309" s="8">
        <v>51.136596597515002</v>
      </c>
      <c r="AA309" s="63"/>
      <c r="AB309" s="8">
        <v>1.3957707999999999E-2</v>
      </c>
      <c r="AC309" s="107">
        <f t="shared" si="35"/>
        <v>9.5178193787846671E-3</v>
      </c>
    </row>
    <row r="310" spans="14:29" x14ac:dyDescent="0.45">
      <c r="N310" s="8">
        <v>7.3572544524755301</v>
      </c>
      <c r="O310" s="63"/>
      <c r="P310" s="8">
        <v>-2.1927037999999999E-2</v>
      </c>
      <c r="Q310" s="98">
        <f t="shared" si="32"/>
        <v>-1.6837778680169824E-2</v>
      </c>
      <c r="R310" s="8">
        <v>17.605856175180801</v>
      </c>
      <c r="S310" s="63"/>
      <c r="T310" s="8">
        <v>-2.7746185999999999E-2</v>
      </c>
      <c r="U310" s="101">
        <f t="shared" si="33"/>
        <v>-1.7561376358411075E-2</v>
      </c>
      <c r="V310" s="8">
        <v>41.958306070294697</v>
      </c>
      <c r="W310" s="63"/>
      <c r="X310" s="8">
        <v>-2.5483183999999999E-2</v>
      </c>
      <c r="Y310" s="104">
        <f t="shared" si="34"/>
        <v>-1.7232729254265656E-2</v>
      </c>
      <c r="Z310" s="8">
        <v>51.136606597615</v>
      </c>
      <c r="AA310" s="63"/>
      <c r="AB310" s="8">
        <v>-5.439452E-3</v>
      </c>
      <c r="AC310" s="107">
        <f t="shared" si="35"/>
        <v>-3.7091850363662159E-3</v>
      </c>
    </row>
    <row r="311" spans="14:29" x14ac:dyDescent="0.45">
      <c r="N311" s="8">
        <v>7.3572644525755297</v>
      </c>
      <c r="O311" s="63"/>
      <c r="P311" s="8">
        <v>-3.3565334000000002E-2</v>
      </c>
      <c r="Q311" s="98">
        <f t="shared" si="32"/>
        <v>-2.5774829469351005E-2</v>
      </c>
      <c r="R311" s="8">
        <v>17.605866175280799</v>
      </c>
      <c r="S311" s="63"/>
      <c r="T311" s="8">
        <v>-2.7099614000000001E-2</v>
      </c>
      <c r="U311" s="101">
        <f t="shared" si="33"/>
        <v>-1.7152141942019198E-2</v>
      </c>
      <c r="V311" s="8">
        <v>41.958316070394702</v>
      </c>
      <c r="W311" s="63"/>
      <c r="X311" s="8">
        <v>2.5272718E-2</v>
      </c>
      <c r="Y311" s="104">
        <f t="shared" si="34"/>
        <v>1.7090403884122418E-2</v>
      </c>
      <c r="Z311" s="8">
        <v>51.136616597714998</v>
      </c>
      <c r="AA311" s="63"/>
      <c r="AB311" s="8">
        <v>-1.8370892E-2</v>
      </c>
      <c r="AC311" s="107">
        <f t="shared" si="35"/>
        <v>-1.2527187979800139E-2</v>
      </c>
    </row>
    <row r="312" spans="14:29" x14ac:dyDescent="0.45">
      <c r="N312" s="8">
        <v>7.3572744526755303</v>
      </c>
      <c r="O312" s="63"/>
      <c r="P312" s="8">
        <v>-2.8069472000000002E-2</v>
      </c>
      <c r="Q312" s="98">
        <f t="shared" si="32"/>
        <v>-2.1554555485571003E-2</v>
      </c>
      <c r="R312" s="8">
        <v>17.6058761753808</v>
      </c>
      <c r="S312" s="63"/>
      <c r="T312" s="8">
        <v>-2.2896896E-2</v>
      </c>
      <c r="U312" s="101">
        <f t="shared" si="33"/>
        <v>-1.4492118235471974E-2</v>
      </c>
      <c r="V312" s="8">
        <v>41.958326070494699</v>
      </c>
      <c r="W312" s="63"/>
      <c r="X312" s="8">
        <v>5.0489025999999999E-2</v>
      </c>
      <c r="Y312" s="104">
        <f t="shared" si="34"/>
        <v>3.4142661112111394E-2</v>
      </c>
      <c r="Z312" s="8">
        <v>51.136626597815003</v>
      </c>
      <c r="AA312" s="63"/>
      <c r="AB312" s="8">
        <v>-1.5138031999999999E-2</v>
      </c>
      <c r="AC312" s="107">
        <f t="shared" si="35"/>
        <v>-1.0322687243941657E-2</v>
      </c>
    </row>
    <row r="313" spans="14:29" x14ac:dyDescent="0.45">
      <c r="N313" s="8">
        <v>7.3572844527755299</v>
      </c>
      <c r="O313" s="63"/>
      <c r="P313" s="8">
        <v>-2.8392758000000001E-2</v>
      </c>
      <c r="Q313" s="98">
        <f t="shared" si="32"/>
        <v>-2.1802806896381591E-2</v>
      </c>
      <c r="R313" s="8">
        <v>17.605886175480801</v>
      </c>
      <c r="S313" s="63"/>
      <c r="T313" s="8">
        <v>-3.0979046E-2</v>
      </c>
      <c r="U313" s="101">
        <f t="shared" si="33"/>
        <v>-1.9607548440370479E-2</v>
      </c>
      <c r="V313" s="8">
        <v>41.958336070594697</v>
      </c>
      <c r="W313" s="63"/>
      <c r="X313" s="8">
        <v>5.5661601999999998E-2</v>
      </c>
      <c r="Y313" s="104">
        <f t="shared" si="34"/>
        <v>3.7640560030673238E-2</v>
      </c>
      <c r="Z313" s="8">
        <v>51.136636597915</v>
      </c>
      <c r="AA313" s="63"/>
      <c r="AB313" s="8">
        <v>-1.610789E-2</v>
      </c>
      <c r="AC313" s="107">
        <f t="shared" si="35"/>
        <v>-1.0984037464699201E-2</v>
      </c>
    </row>
    <row r="314" spans="14:29" x14ac:dyDescent="0.45">
      <c r="N314" s="8">
        <v>7.3572944528755304</v>
      </c>
      <c r="O314" s="63"/>
      <c r="P314" s="8">
        <v>-2.8069472000000002E-2</v>
      </c>
      <c r="Q314" s="98">
        <f t="shared" si="32"/>
        <v>-2.1554555485571003E-2</v>
      </c>
      <c r="R314" s="8">
        <v>17.605896175580799</v>
      </c>
      <c r="S314" s="63"/>
      <c r="T314" s="8">
        <v>-2.3866754E-2</v>
      </c>
      <c r="U314" s="101">
        <f t="shared" si="33"/>
        <v>-1.5105969860059795E-2</v>
      </c>
      <c r="V314" s="8">
        <v>41.958346070694702</v>
      </c>
      <c r="W314" s="63"/>
      <c r="X314" s="8">
        <v>9.0899776000000002E-2</v>
      </c>
      <c r="Y314" s="104">
        <f t="shared" si="34"/>
        <v>6.1469996413375791E-2</v>
      </c>
      <c r="Z314" s="8">
        <v>51.136646598014998</v>
      </c>
      <c r="AA314" s="63"/>
      <c r="AB314" s="8">
        <v>-1.8047606000000001E-2</v>
      </c>
      <c r="AC314" s="107">
        <f t="shared" si="35"/>
        <v>-1.2306737906214291E-2</v>
      </c>
    </row>
    <row r="315" spans="14:29" x14ac:dyDescent="0.45">
      <c r="N315" s="8">
        <v>7.35730445297553</v>
      </c>
      <c r="O315" s="63"/>
      <c r="P315" s="8">
        <v>-2.6129756000000001E-2</v>
      </c>
      <c r="Q315" s="98">
        <f t="shared" si="32"/>
        <v>-2.0065047020707473E-2</v>
      </c>
      <c r="R315" s="8">
        <v>17.605906175680801</v>
      </c>
      <c r="S315" s="63"/>
      <c r="T315" s="8">
        <v>-2.9362616000000001E-2</v>
      </c>
      <c r="U315" s="101">
        <f t="shared" si="33"/>
        <v>-1.858446239939078E-2</v>
      </c>
      <c r="V315" s="8">
        <v>41.9583560707947</v>
      </c>
      <c r="W315" s="63"/>
      <c r="X315" s="8">
        <v>7.6998477999999995E-2</v>
      </c>
      <c r="Y315" s="104">
        <f t="shared" si="34"/>
        <v>5.2069393069740837E-2</v>
      </c>
      <c r="Z315" s="8">
        <v>51.136656598115003</v>
      </c>
      <c r="AA315" s="63"/>
      <c r="AB315" s="8">
        <v>-1.7724319999999998E-2</v>
      </c>
      <c r="AC315" s="107">
        <f t="shared" si="35"/>
        <v>-1.2086287832628441E-2</v>
      </c>
    </row>
    <row r="316" spans="14:29" x14ac:dyDescent="0.45">
      <c r="N316" s="8">
        <v>7.3573144530755297</v>
      </c>
      <c r="O316" s="63"/>
      <c r="P316" s="8">
        <v>-2.7099614000000001E-2</v>
      </c>
      <c r="Q316" s="98">
        <f t="shared" si="32"/>
        <v>-2.0809801253139238E-2</v>
      </c>
      <c r="R316" s="8">
        <v>17.605916175780798</v>
      </c>
      <c r="S316" s="63"/>
      <c r="T316" s="8">
        <v>-2.4836612000000001E-2</v>
      </c>
      <c r="U316" s="101">
        <f t="shared" si="33"/>
        <v>-1.5719821484647616E-2</v>
      </c>
      <c r="V316" s="8">
        <v>41.958366070894698</v>
      </c>
      <c r="W316" s="63"/>
      <c r="X316" s="8">
        <v>4.4669878000000003E-2</v>
      </c>
      <c r="Y316" s="104">
        <f t="shared" si="34"/>
        <v>3.0207524828729328E-2</v>
      </c>
      <c r="Z316" s="8">
        <v>51.136666598215001</v>
      </c>
      <c r="AA316" s="63"/>
      <c r="AB316" s="8">
        <v>-1.4814746E-2</v>
      </c>
      <c r="AC316" s="107">
        <f t="shared" si="35"/>
        <v>-1.0102237170355809E-2</v>
      </c>
    </row>
    <row r="317" spans="14:29" x14ac:dyDescent="0.45">
      <c r="N317" s="8">
        <v>7.3573244531755302</v>
      </c>
      <c r="O317" s="63"/>
      <c r="P317" s="8">
        <v>-2.8069472000000002E-2</v>
      </c>
      <c r="Q317" s="98">
        <f t="shared" si="32"/>
        <v>-2.1554555485571003E-2</v>
      </c>
      <c r="R317" s="8">
        <v>17.6059261758808</v>
      </c>
      <c r="S317" s="63"/>
      <c r="T317" s="8">
        <v>-2.9685902E-2</v>
      </c>
      <c r="U317" s="101">
        <f t="shared" si="33"/>
        <v>-1.8789079607586721E-2</v>
      </c>
      <c r="V317" s="8">
        <v>41.958376070994703</v>
      </c>
      <c r="W317" s="63"/>
      <c r="X317" s="8">
        <v>2.1069999999999998E-2</v>
      </c>
      <c r="Y317" s="104">
        <f t="shared" si="34"/>
        <v>1.424836101279092E-2</v>
      </c>
      <c r="Z317" s="8">
        <v>51.136676598314999</v>
      </c>
      <c r="AA317" s="63"/>
      <c r="AB317" s="8">
        <v>-1.883306E-3</v>
      </c>
      <c r="AC317" s="107">
        <f t="shared" si="35"/>
        <v>-1.2842342269218871E-3</v>
      </c>
    </row>
    <row r="318" spans="14:29" x14ac:dyDescent="0.45">
      <c r="N318" s="8">
        <v>7.3573344532755298</v>
      </c>
      <c r="O318" s="63"/>
      <c r="P318" s="8">
        <v>-2.5806470000000001E-2</v>
      </c>
      <c r="Q318" s="98">
        <f t="shared" si="32"/>
        <v>-1.9816795609896885E-2</v>
      </c>
      <c r="R318" s="8">
        <v>17.605936175980801</v>
      </c>
      <c r="S318" s="63"/>
      <c r="T318" s="8">
        <v>-2.2896896E-2</v>
      </c>
      <c r="U318" s="101">
        <f t="shared" si="33"/>
        <v>-1.4492118235471974E-2</v>
      </c>
      <c r="V318" s="8">
        <v>41.958386071094701</v>
      </c>
      <c r="W318" s="63"/>
      <c r="X318" s="8">
        <v>2.9475436000000001E-2</v>
      </c>
      <c r="Y318" s="104">
        <f t="shared" si="34"/>
        <v>1.9932446755453914E-2</v>
      </c>
      <c r="Z318" s="8">
        <v>51.136686598414997</v>
      </c>
      <c r="AA318" s="63"/>
      <c r="AB318" s="8">
        <v>1.349554E-3</v>
      </c>
      <c r="AC318" s="107">
        <f t="shared" si="35"/>
        <v>9.2026650893659359E-4</v>
      </c>
    </row>
    <row r="319" spans="14:29" x14ac:dyDescent="0.45">
      <c r="N319" s="8">
        <v>7.3573444533755303</v>
      </c>
      <c r="O319" s="63"/>
      <c r="P319" s="8">
        <v>-3.3565334000000002E-2</v>
      </c>
      <c r="Q319" s="98">
        <f t="shared" si="32"/>
        <v>-2.5774829469351005E-2</v>
      </c>
      <c r="R319" s="8">
        <v>17.605946176080799</v>
      </c>
      <c r="S319" s="63"/>
      <c r="T319" s="8">
        <v>-2.3866754E-2</v>
      </c>
      <c r="U319" s="101">
        <f t="shared" si="33"/>
        <v>-1.5105969860059795E-2</v>
      </c>
      <c r="V319" s="8">
        <v>41.958396071194699</v>
      </c>
      <c r="W319" s="63"/>
      <c r="X319" s="8">
        <v>3.7969600000000098E-4</v>
      </c>
      <c r="Y319" s="104">
        <f t="shared" si="34"/>
        <v>2.5676533854355365E-4</v>
      </c>
      <c r="Z319" s="8">
        <v>51.136696598515002</v>
      </c>
      <c r="AA319" s="63"/>
      <c r="AB319" s="8">
        <v>7.4919879999999998E-3</v>
      </c>
      <c r="AC319" s="107">
        <f t="shared" si="35"/>
        <v>5.1088179070677064E-3</v>
      </c>
    </row>
    <row r="320" spans="14:29" x14ac:dyDescent="0.45">
      <c r="N320" s="8">
        <v>7.3573544534755397</v>
      </c>
      <c r="O320" s="63"/>
      <c r="P320" s="8">
        <v>-2.5483183999999999E-2</v>
      </c>
      <c r="Q320" s="98">
        <f t="shared" si="32"/>
        <v>-1.9568544199086296E-2</v>
      </c>
      <c r="R320" s="8">
        <v>17.605956176180801</v>
      </c>
      <c r="S320" s="63"/>
      <c r="T320" s="8">
        <v>-2.2573610000000001E-2</v>
      </c>
      <c r="U320" s="101">
        <f t="shared" si="33"/>
        <v>-1.4287501027276033E-2</v>
      </c>
      <c r="V320" s="8">
        <v>41.958406071294696</v>
      </c>
      <c r="W320" s="63"/>
      <c r="X320" s="8">
        <v>-1.0288742E-2</v>
      </c>
      <c r="Y320" s="104">
        <f t="shared" si="34"/>
        <v>-6.9576511809902458E-3</v>
      </c>
      <c r="Z320" s="8">
        <v>51.136706598615</v>
      </c>
      <c r="AA320" s="63"/>
      <c r="AB320" s="8">
        <v>5.8755580000000003E-3</v>
      </c>
      <c r="AC320" s="107">
        <f t="shared" si="35"/>
        <v>4.0065675391384665E-3</v>
      </c>
    </row>
    <row r="321" spans="14:29" x14ac:dyDescent="0.45">
      <c r="N321" s="8">
        <v>7.3573644535755403</v>
      </c>
      <c r="O321" s="63"/>
      <c r="P321" s="8">
        <v>-2.6453042E-2</v>
      </c>
      <c r="Q321" s="98">
        <f t="shared" si="32"/>
        <v>-2.0313298431518061E-2</v>
      </c>
      <c r="R321" s="8">
        <v>17.605966176280798</v>
      </c>
      <c r="S321" s="63"/>
      <c r="T321" s="8">
        <v>-2.5806470000000001E-2</v>
      </c>
      <c r="U321" s="101">
        <f t="shared" si="33"/>
        <v>-1.6333673109235437E-2</v>
      </c>
      <c r="V321" s="8">
        <v>41.958416071394701</v>
      </c>
      <c r="W321" s="63"/>
      <c r="X321" s="8">
        <v>-2.4513325999999998E-2</v>
      </c>
      <c r="Y321" s="104">
        <f t="shared" si="34"/>
        <v>-1.6576873207035311E-2</v>
      </c>
      <c r="Z321" s="8">
        <v>51.136716598714997</v>
      </c>
      <c r="AA321" s="63"/>
      <c r="AB321" s="8">
        <v>1.8483711999999999E-2</v>
      </c>
      <c r="AC321" s="107">
        <f t="shared" si="35"/>
        <v>1.2604120408986541E-2</v>
      </c>
    </row>
    <row r="322" spans="14:29" x14ac:dyDescent="0.45">
      <c r="N322" s="8">
        <v>7.3573744536755399</v>
      </c>
      <c r="O322" s="63"/>
      <c r="P322" s="8">
        <v>-2.3220181999999999E-2</v>
      </c>
      <c r="Q322" s="98">
        <f t="shared" si="32"/>
        <v>-1.7830784323412178E-2</v>
      </c>
      <c r="R322" s="8">
        <v>17.6059761763808</v>
      </c>
      <c r="S322" s="63"/>
      <c r="T322" s="8">
        <v>-3.1302332000000002E-2</v>
      </c>
      <c r="U322" s="101">
        <f t="shared" si="33"/>
        <v>-1.9812165648566422E-2</v>
      </c>
      <c r="V322" s="8">
        <v>41.958426071494699</v>
      </c>
      <c r="W322" s="63"/>
      <c r="X322" s="8">
        <v>-6.4093099999999997E-3</v>
      </c>
      <c r="Y322" s="104">
        <f t="shared" si="34"/>
        <v>-4.3342269920688646E-3</v>
      </c>
      <c r="Z322" s="8">
        <v>51.136726598815002</v>
      </c>
      <c r="AA322" s="63"/>
      <c r="AB322" s="8">
        <v>1.3311135999999999E-2</v>
      </c>
      <c r="AC322" s="107">
        <f t="shared" si="35"/>
        <v>9.0769192316129711E-3</v>
      </c>
    </row>
    <row r="323" spans="14:29" x14ac:dyDescent="0.45">
      <c r="N323" s="8">
        <v>7.3573844537755404</v>
      </c>
      <c r="O323" s="63"/>
      <c r="P323" s="8">
        <v>-2.3220181999999999E-2</v>
      </c>
      <c r="Q323" s="98">
        <f t="shared" si="32"/>
        <v>-1.7830784323412178E-2</v>
      </c>
      <c r="R323" s="8">
        <v>17.605986176480801</v>
      </c>
      <c r="S323" s="63"/>
      <c r="T323" s="8">
        <v>-2.3220181999999999E-2</v>
      </c>
      <c r="U323" s="101">
        <f t="shared" si="33"/>
        <v>-1.4696735443667912E-2</v>
      </c>
      <c r="V323" s="8">
        <v>41.958436071594697</v>
      </c>
      <c r="W323" s="63"/>
      <c r="X323" s="8">
        <v>-1.9017464000000001E-2</v>
      </c>
      <c r="Y323" s="104">
        <f t="shared" si="34"/>
        <v>-1.2860355606063354E-2</v>
      </c>
      <c r="Z323" s="8">
        <v>51.136736598915</v>
      </c>
      <c r="AA323" s="63"/>
      <c r="AB323" s="8">
        <v>-2.6687599999999901E-4</v>
      </c>
      <c r="AC323" s="107">
        <f t="shared" si="35"/>
        <v>-1.8198385899264604E-4</v>
      </c>
    </row>
    <row r="324" spans="14:29" x14ac:dyDescent="0.45">
      <c r="N324" s="8">
        <v>7.35739445387554</v>
      </c>
      <c r="O324" s="63"/>
      <c r="P324" s="8">
        <v>-2.3543468000000001E-2</v>
      </c>
      <c r="Q324" s="98">
        <f t="shared" si="32"/>
        <v>-1.8079035734222766E-2</v>
      </c>
      <c r="R324" s="8">
        <v>17.605996176580799</v>
      </c>
      <c r="S324" s="63"/>
      <c r="T324" s="8">
        <v>-2.6129756000000001E-2</v>
      </c>
      <c r="U324" s="101">
        <f t="shared" si="33"/>
        <v>-1.6538290317431377E-2</v>
      </c>
      <c r="V324" s="8">
        <v>41.958446071694702</v>
      </c>
      <c r="W324" s="63"/>
      <c r="X324" s="8">
        <v>-6.4093099999999997E-3</v>
      </c>
      <c r="Y324" s="104">
        <f t="shared" si="34"/>
        <v>-4.3342269920688646E-3</v>
      </c>
      <c r="Z324" s="8">
        <v>51.136746599014998</v>
      </c>
      <c r="AA324" s="63"/>
      <c r="AB324" s="8">
        <v>-1.0288742E-2</v>
      </c>
      <c r="AC324" s="107">
        <f t="shared" si="35"/>
        <v>-7.0159361401539366E-3</v>
      </c>
    </row>
    <row r="325" spans="14:29" x14ac:dyDescent="0.45">
      <c r="N325" s="8">
        <v>7.3574044539755397</v>
      </c>
      <c r="O325" s="63"/>
      <c r="P325" s="8">
        <v>4.9056999999999998E-3</v>
      </c>
      <c r="Q325" s="98">
        <f t="shared" si="32"/>
        <v>3.7670884171090093E-3</v>
      </c>
      <c r="R325" s="8">
        <v>17.6060061766808</v>
      </c>
      <c r="S325" s="63"/>
      <c r="T325" s="8">
        <v>-2.8716044E-2</v>
      </c>
      <c r="U325" s="101">
        <f t="shared" si="33"/>
        <v>-1.81752279829989E-2</v>
      </c>
      <c r="V325" s="8">
        <v>41.9584560717947</v>
      </c>
      <c r="W325" s="63"/>
      <c r="X325" s="8">
        <v>-1.7401033999999999E-2</v>
      </c>
      <c r="Y325" s="104">
        <f t="shared" si="34"/>
        <v>-1.1767262194012779E-2</v>
      </c>
      <c r="Z325" s="8">
        <v>51.136756599115003</v>
      </c>
      <c r="AA325" s="63"/>
      <c r="AB325" s="8">
        <v>-1.7401033999999999E-2</v>
      </c>
      <c r="AC325" s="107">
        <f t="shared" si="35"/>
        <v>-1.1865837759042593E-2</v>
      </c>
    </row>
    <row r="326" spans="14:29" x14ac:dyDescent="0.45">
      <c r="N326" s="8">
        <v>7.3574144540755402</v>
      </c>
      <c r="O326" s="63"/>
      <c r="P326" s="8">
        <v>3.2708295999999998E-2</v>
      </c>
      <c r="Q326" s="98">
        <f t="shared" ref="Q326:Q385" si="36">P326/$Q$3</f>
        <v>2.5116709746819607E-2</v>
      </c>
      <c r="R326" s="8">
        <v>17.606016176780798</v>
      </c>
      <c r="S326" s="63"/>
      <c r="T326" s="8">
        <v>-2.0310608000000001E-2</v>
      </c>
      <c r="U326" s="101">
        <f t="shared" ref="U326:U385" si="37">T326/$U$3</f>
        <v>-1.2855180569904451E-2</v>
      </c>
      <c r="V326" s="8">
        <v>41.958466071894698</v>
      </c>
      <c r="W326" s="63"/>
      <c r="X326" s="8">
        <v>-5.439452E-3</v>
      </c>
      <c r="Y326" s="104">
        <f t="shared" ref="Y326:Y385" si="38">X326/$Y$3</f>
        <v>-3.6783709448385193E-3</v>
      </c>
      <c r="Z326" s="8">
        <v>51.136766599215001</v>
      </c>
      <c r="AA326" s="63"/>
      <c r="AB326" s="8">
        <v>-3.1948904E-2</v>
      </c>
      <c r="AC326" s="107">
        <f t="shared" ref="AC326:AC385" si="39">AB326/$AC$3</f>
        <v>-2.1786091070405758E-2</v>
      </c>
    </row>
    <row r="327" spans="14:29" x14ac:dyDescent="0.45">
      <c r="N327" s="8">
        <v>7.3574244541755398</v>
      </c>
      <c r="O327" s="63"/>
      <c r="P327" s="8">
        <v>4.0143874000000003E-2</v>
      </c>
      <c r="Q327" s="98">
        <f t="shared" si="36"/>
        <v>3.0826492195463143E-2</v>
      </c>
      <c r="R327" s="8">
        <v>17.6060261768808</v>
      </c>
      <c r="S327" s="63"/>
      <c r="T327" s="8">
        <v>-1.2875030000000001E-2</v>
      </c>
      <c r="U327" s="101">
        <f t="shared" si="37"/>
        <v>-8.1489847813978247E-3</v>
      </c>
      <c r="V327" s="8">
        <v>41.958476071994703</v>
      </c>
      <c r="W327" s="63"/>
      <c r="X327" s="8">
        <v>-9.6421700000000003E-3</v>
      </c>
      <c r="Y327" s="104">
        <f t="shared" si="38"/>
        <v>-6.5204138161700162E-3</v>
      </c>
      <c r="Z327" s="8">
        <v>51.136776599314999</v>
      </c>
      <c r="AA327" s="63"/>
      <c r="AB327" s="8">
        <v>-1.9987321999999998E-2</v>
      </c>
      <c r="AC327" s="107">
        <f t="shared" si="39"/>
        <v>-1.3629438347729377E-2</v>
      </c>
    </row>
    <row r="328" spans="14:29" x14ac:dyDescent="0.45">
      <c r="N328" s="8">
        <v>7.3574344542755403</v>
      </c>
      <c r="O328" s="63"/>
      <c r="P328" s="8">
        <v>2.8828863999999999E-2</v>
      </c>
      <c r="Q328" s="98">
        <f t="shared" si="36"/>
        <v>2.2137692817092547E-2</v>
      </c>
      <c r="R328" s="8">
        <v>17.606036176980801</v>
      </c>
      <c r="S328" s="63"/>
      <c r="T328" s="8">
        <v>1.137142E-2</v>
      </c>
      <c r="U328" s="101">
        <f t="shared" si="37"/>
        <v>7.1973058332976975E-3</v>
      </c>
      <c r="V328" s="8">
        <v>41.958486072094701</v>
      </c>
      <c r="W328" s="63"/>
      <c r="X328" s="8">
        <v>5.2289859999999997E-3</v>
      </c>
      <c r="Y328" s="104">
        <f t="shared" si="38"/>
        <v>3.5360455746952795E-3</v>
      </c>
      <c r="Z328" s="8">
        <v>51.136786599414997</v>
      </c>
      <c r="AA328" s="63"/>
      <c r="AB328" s="8">
        <v>-3.0332474000000002E-2</v>
      </c>
      <c r="AC328" s="107">
        <f t="shared" si="39"/>
        <v>-2.068384070247652E-2</v>
      </c>
    </row>
    <row r="329" spans="14:29" x14ac:dyDescent="0.45">
      <c r="N329" s="8">
        <v>7.35744445437554</v>
      </c>
      <c r="O329" s="63"/>
      <c r="P329" s="8">
        <v>3.4648011999999999E-2</v>
      </c>
      <c r="Q329" s="98">
        <f t="shared" si="36"/>
        <v>2.6606218211683137E-2</v>
      </c>
      <c r="R329" s="8">
        <v>17.606046177080799</v>
      </c>
      <c r="S329" s="63"/>
      <c r="T329" s="8">
        <v>4.9519168000000002E-2</v>
      </c>
      <c r="U329" s="101">
        <f t="shared" si="37"/>
        <v>3.1342136400418649E-2</v>
      </c>
      <c r="V329" s="8">
        <v>41.958496072194698</v>
      </c>
      <c r="W329" s="63"/>
      <c r="X329" s="8">
        <v>-1.2228457999999999E-2</v>
      </c>
      <c r="Y329" s="104">
        <f t="shared" si="38"/>
        <v>-8.2693632754509364E-3</v>
      </c>
      <c r="Z329" s="8">
        <v>51.136796599515002</v>
      </c>
      <c r="AA329" s="63"/>
      <c r="AB329" s="8">
        <v>-2.0310608000000001E-2</v>
      </c>
      <c r="AC329" s="107">
        <f t="shared" si="39"/>
        <v>-1.3849888421315227E-2</v>
      </c>
    </row>
    <row r="330" spans="14:29" x14ac:dyDescent="0.45">
      <c r="N330" s="8">
        <v>7.3574544544755502</v>
      </c>
      <c r="O330" s="63"/>
      <c r="P330" s="8">
        <v>6.6330040000000007E-2</v>
      </c>
      <c r="Q330" s="98">
        <f t="shared" si="36"/>
        <v>5.0934856471120803E-2</v>
      </c>
      <c r="R330" s="8">
        <v>17.6060561771808</v>
      </c>
      <c r="S330" s="63"/>
      <c r="T330" s="8">
        <v>3.9174015999999999E-2</v>
      </c>
      <c r="U330" s="101">
        <f t="shared" si="37"/>
        <v>2.4794385738148562E-2</v>
      </c>
      <c r="V330" s="8">
        <v>41.958506072294703</v>
      </c>
      <c r="W330" s="63"/>
      <c r="X330" s="8">
        <v>-1.236734E-3</v>
      </c>
      <c r="Y330" s="104">
        <f t="shared" si="38"/>
        <v>-8.3632807350702263E-4</v>
      </c>
      <c r="Z330" s="8">
        <v>51.136806599614999</v>
      </c>
      <c r="AA330" s="63"/>
      <c r="AB330" s="8">
        <v>-3.0979046E-2</v>
      </c>
      <c r="AC330" s="107">
        <f t="shared" si="39"/>
        <v>-2.1124740849648212E-2</v>
      </c>
    </row>
    <row r="331" spans="14:29" x14ac:dyDescent="0.45">
      <c r="N331" s="8">
        <v>7.3574644545755499</v>
      </c>
      <c r="O331" s="63"/>
      <c r="P331" s="8">
        <v>9.7365495999999996E-2</v>
      </c>
      <c r="Q331" s="98">
        <f t="shared" si="36"/>
        <v>7.4766991908937278E-2</v>
      </c>
      <c r="R331" s="8">
        <v>17.606066177280798</v>
      </c>
      <c r="S331" s="63"/>
      <c r="T331" s="8">
        <v>2.8828863999999999E-2</v>
      </c>
      <c r="U331" s="101">
        <f t="shared" si="37"/>
        <v>1.8246635075878471E-2</v>
      </c>
      <c r="V331" s="8">
        <v>41.958516072394701</v>
      </c>
      <c r="W331" s="63"/>
      <c r="X331" s="8">
        <v>-1.9987321999999998E-2</v>
      </c>
      <c r="Y331" s="104">
        <f t="shared" si="38"/>
        <v>-1.3516211653293699E-2</v>
      </c>
      <c r="Z331" s="8">
        <v>51.136816599714997</v>
      </c>
      <c r="AA331" s="63"/>
      <c r="AB331" s="8">
        <v>-2.2250323999999998E-2</v>
      </c>
      <c r="AC331" s="107">
        <f t="shared" si="39"/>
        <v>-1.5172588862830315E-2</v>
      </c>
    </row>
    <row r="332" spans="14:29" x14ac:dyDescent="0.45">
      <c r="N332" s="8">
        <v>7.3574744546755504</v>
      </c>
      <c r="O332" s="63"/>
      <c r="P332" s="8">
        <v>8.3787483999999995E-2</v>
      </c>
      <c r="Q332" s="98">
        <f t="shared" si="36"/>
        <v>6.434043265489256E-2</v>
      </c>
      <c r="R332" s="8">
        <v>17.6060761773808</v>
      </c>
      <c r="S332" s="63"/>
      <c r="T332" s="8">
        <v>2.6565861999999999E-2</v>
      </c>
      <c r="U332" s="101">
        <f t="shared" si="37"/>
        <v>1.6814314618506888E-2</v>
      </c>
      <c r="V332" s="8">
        <v>41.958526072494699</v>
      </c>
      <c r="W332" s="63"/>
      <c r="X332" s="8">
        <v>-1.8694177999999999E-2</v>
      </c>
      <c r="Y332" s="104">
        <f t="shared" si="38"/>
        <v>-1.2641736923653238E-2</v>
      </c>
      <c r="Z332" s="8">
        <v>51.136826599815002</v>
      </c>
      <c r="AA332" s="63"/>
      <c r="AB332" s="8">
        <v>-2.6453042E-2</v>
      </c>
      <c r="AC332" s="107">
        <f t="shared" si="39"/>
        <v>-1.8038439819446341E-2</v>
      </c>
    </row>
    <row r="333" spans="14:29" x14ac:dyDescent="0.45">
      <c r="N333" s="8">
        <v>7.35748445477555</v>
      </c>
      <c r="O333" s="63"/>
      <c r="P333" s="8">
        <v>7.1825901999999997E-2</v>
      </c>
      <c r="Q333" s="98">
        <f t="shared" si="36"/>
        <v>5.5155130454900794E-2</v>
      </c>
      <c r="R333" s="8">
        <v>17.606086177480801</v>
      </c>
      <c r="S333" s="63"/>
      <c r="T333" s="8">
        <v>3.8204158000000002E-2</v>
      </c>
      <c r="U333" s="101">
        <f t="shared" si="37"/>
        <v>2.4180534113560741E-2</v>
      </c>
      <c r="V333" s="8">
        <v>41.958536072594697</v>
      </c>
      <c r="W333" s="63"/>
      <c r="X333" s="8">
        <v>-2.0957179999999999E-2</v>
      </c>
      <c r="Y333" s="104">
        <f t="shared" si="38"/>
        <v>-1.4172067700524045E-2</v>
      </c>
      <c r="Z333" s="8">
        <v>51.136836599915</v>
      </c>
      <c r="AA333" s="63"/>
      <c r="AB333" s="8">
        <v>-3.0009187999999999E-2</v>
      </c>
      <c r="AC333" s="107">
        <f t="shared" si="39"/>
        <v>-2.046339062889067E-2</v>
      </c>
    </row>
    <row r="334" spans="14:29" x14ac:dyDescent="0.45">
      <c r="N334" s="8">
        <v>7.3574944548755496</v>
      </c>
      <c r="O334" s="63"/>
      <c r="P334" s="8">
        <v>7.9584766000000001E-2</v>
      </c>
      <c r="Q334" s="98">
        <f t="shared" si="36"/>
        <v>6.1113164314354922E-2</v>
      </c>
      <c r="R334" s="8">
        <v>17.606096177580799</v>
      </c>
      <c r="S334" s="63"/>
      <c r="T334" s="8">
        <v>1.7513853999999999E-2</v>
      </c>
      <c r="U334" s="101">
        <f t="shared" si="37"/>
        <v>1.1085032789020562E-2</v>
      </c>
      <c r="V334" s="8">
        <v>41.958546072694702</v>
      </c>
      <c r="W334" s="63"/>
      <c r="X334" s="8">
        <v>-1.3844888E-2</v>
      </c>
      <c r="Y334" s="104">
        <f t="shared" si="38"/>
        <v>-9.3624566875015122E-3</v>
      </c>
      <c r="Z334" s="8">
        <v>51.136846600014998</v>
      </c>
      <c r="AA334" s="63"/>
      <c r="AB334" s="8">
        <v>-2.1927037999999999E-2</v>
      </c>
      <c r="AC334" s="107">
        <f t="shared" si="39"/>
        <v>-1.4952138789244467E-2</v>
      </c>
    </row>
    <row r="335" spans="14:29" x14ac:dyDescent="0.45">
      <c r="N335" s="8">
        <v>7.3575044549755502</v>
      </c>
      <c r="O335" s="63"/>
      <c r="P335" s="8">
        <v>6.7946469999999995E-2</v>
      </c>
      <c r="Q335" s="98">
        <f t="shared" si="36"/>
        <v>5.2176113525173734E-2</v>
      </c>
      <c r="R335" s="8">
        <v>17.6061061776808</v>
      </c>
      <c r="S335" s="63"/>
      <c r="T335" s="8">
        <v>-1.9017464000000001E-2</v>
      </c>
      <c r="U335" s="101">
        <f t="shared" si="37"/>
        <v>-1.2036711737120691E-2</v>
      </c>
      <c r="V335" s="8">
        <v>41.9585560727947</v>
      </c>
      <c r="W335" s="63"/>
      <c r="X335" s="8">
        <v>-1.0288742E-2</v>
      </c>
      <c r="Y335" s="104">
        <f t="shared" si="38"/>
        <v>-6.9576511809902458E-3</v>
      </c>
      <c r="Z335" s="8">
        <v>51.136856600115003</v>
      </c>
      <c r="AA335" s="63"/>
      <c r="AB335" s="8">
        <v>-3.3565334000000002E-2</v>
      </c>
      <c r="AC335" s="107">
        <f t="shared" si="39"/>
        <v>-2.2888341438335E-2</v>
      </c>
    </row>
    <row r="336" spans="14:29" x14ac:dyDescent="0.45">
      <c r="N336" s="8">
        <v>7.3575144550755498</v>
      </c>
      <c r="O336" s="63"/>
      <c r="P336" s="8">
        <v>2.9798722E-2</v>
      </c>
      <c r="Q336" s="98">
        <f t="shared" si="36"/>
        <v>2.2882447049524312E-2</v>
      </c>
      <c r="R336" s="8">
        <v>17.606116177780802</v>
      </c>
      <c r="S336" s="63"/>
      <c r="T336" s="8">
        <v>-4.1324197999999999E-2</v>
      </c>
      <c r="U336" s="101">
        <f t="shared" si="37"/>
        <v>-2.615529910264057E-2</v>
      </c>
      <c r="V336" s="8">
        <v>41.958566072894698</v>
      </c>
      <c r="W336" s="63"/>
      <c r="X336" s="8">
        <v>8.1385599999999995E-3</v>
      </c>
      <c r="Y336" s="104">
        <f t="shared" si="38"/>
        <v>5.5036137163863158E-3</v>
      </c>
      <c r="Z336" s="8">
        <v>51.136866600215001</v>
      </c>
      <c r="AA336" s="63"/>
      <c r="AB336" s="8">
        <v>-2.7099614000000001E-2</v>
      </c>
      <c r="AC336" s="107">
        <f t="shared" si="39"/>
        <v>-1.8479339966618036E-2</v>
      </c>
    </row>
    <row r="337" spans="14:29" x14ac:dyDescent="0.45">
      <c r="N337" s="8">
        <v>7.3575244551755503</v>
      </c>
      <c r="O337" s="63"/>
      <c r="P337" s="8">
        <v>-3.1764499999999999E-3</v>
      </c>
      <c r="Q337" s="98">
        <f t="shared" si="36"/>
        <v>-2.4391968531556991E-3</v>
      </c>
      <c r="R337" s="8">
        <v>17.6061261778808</v>
      </c>
      <c r="S337" s="63"/>
      <c r="T337" s="8">
        <v>-2.4513325999999998E-2</v>
      </c>
      <c r="U337" s="101">
        <f t="shared" si="37"/>
        <v>-1.5515204276451674E-2</v>
      </c>
      <c r="V337" s="8">
        <v>41.958576072994703</v>
      </c>
      <c r="W337" s="63"/>
      <c r="X337" s="8">
        <v>-2.6687599999999901E-4</v>
      </c>
      <c r="Y337" s="104">
        <f t="shared" si="38"/>
        <v>-1.8047202627667657E-4</v>
      </c>
      <c r="Z337" s="8">
        <v>51.136876600314999</v>
      </c>
      <c r="AA337" s="63"/>
      <c r="AB337" s="8">
        <v>-2.5806470000000001E-2</v>
      </c>
      <c r="AC337" s="107">
        <f t="shared" si="39"/>
        <v>-1.7597539672274645E-2</v>
      </c>
    </row>
    <row r="338" spans="14:29" x14ac:dyDescent="0.45">
      <c r="N338" s="8">
        <v>7.3575344552755499</v>
      </c>
      <c r="O338" s="63"/>
      <c r="P338" s="8">
        <v>-1.1905172E-2</v>
      </c>
      <c r="Q338" s="98">
        <f t="shared" si="36"/>
        <v>-9.1419849450415855E-3</v>
      </c>
      <c r="R338" s="8">
        <v>17.606136177980801</v>
      </c>
      <c r="S338" s="63"/>
      <c r="T338" s="8">
        <v>-3.4997359999999998E-3</v>
      </c>
      <c r="U338" s="101">
        <f t="shared" si="37"/>
        <v>-2.215085743715556E-3</v>
      </c>
      <c r="V338" s="8">
        <v>41.9585860730947</v>
      </c>
      <c r="W338" s="63"/>
      <c r="X338" s="8">
        <v>1.1048133999999999E-2</v>
      </c>
      <c r="Y338" s="104">
        <f t="shared" si="38"/>
        <v>7.4711818580773517E-3</v>
      </c>
      <c r="Z338" s="8">
        <v>51.136886600414996</v>
      </c>
      <c r="AA338" s="63"/>
      <c r="AB338" s="8">
        <v>-2.5806470000000001E-2</v>
      </c>
      <c r="AC338" s="107">
        <f t="shared" si="39"/>
        <v>-1.7597539672274645E-2</v>
      </c>
    </row>
    <row r="339" spans="14:29" x14ac:dyDescent="0.45">
      <c r="N339" s="8">
        <v>7.3575444553755496</v>
      </c>
      <c r="O339" s="63"/>
      <c r="P339" s="8">
        <v>-4.7928800000000002E-3</v>
      </c>
      <c r="Q339" s="98">
        <f t="shared" si="36"/>
        <v>-3.6804539072086413E-3</v>
      </c>
      <c r="R339" s="8">
        <v>17.606146178080799</v>
      </c>
      <c r="S339" s="63"/>
      <c r="T339" s="8">
        <v>-1.1905172E-2</v>
      </c>
      <c r="U339" s="101">
        <f t="shared" si="37"/>
        <v>-7.5351331568100036E-3</v>
      </c>
      <c r="V339" s="8">
        <v>41.958596073194698</v>
      </c>
      <c r="W339" s="63"/>
      <c r="X339" s="8">
        <v>1.0078276000000001E-2</v>
      </c>
      <c r="Y339" s="104">
        <f t="shared" si="38"/>
        <v>6.8153258108470073E-3</v>
      </c>
      <c r="Z339" s="8">
        <v>51.136896600515001</v>
      </c>
      <c r="AA339" s="63"/>
      <c r="AB339" s="8">
        <v>-1.4168174E-2</v>
      </c>
      <c r="AC339" s="107">
        <f t="shared" si="39"/>
        <v>-9.6613370231841134E-3</v>
      </c>
    </row>
    <row r="340" spans="14:29" x14ac:dyDescent="0.45">
      <c r="N340" s="8">
        <v>7.3575544554755501</v>
      </c>
      <c r="O340" s="63"/>
      <c r="P340" s="8">
        <v>-9.9654559999999993E-3</v>
      </c>
      <c r="Q340" s="98">
        <f t="shared" si="36"/>
        <v>-7.6524764801780536E-3</v>
      </c>
      <c r="R340" s="8">
        <v>17.6061561781808</v>
      </c>
      <c r="S340" s="63"/>
      <c r="T340" s="8">
        <v>-3.3565334000000002E-2</v>
      </c>
      <c r="U340" s="101">
        <f t="shared" si="37"/>
        <v>-2.1244486105938005E-2</v>
      </c>
      <c r="V340" s="8">
        <v>41.958606073294703</v>
      </c>
      <c r="W340" s="63"/>
      <c r="X340" s="8">
        <v>8.4618460000000003E-3</v>
      </c>
      <c r="Y340" s="104">
        <f t="shared" si="38"/>
        <v>5.7222323987964315E-3</v>
      </c>
      <c r="Z340" s="8">
        <v>51.136906600614999</v>
      </c>
      <c r="AA340" s="63"/>
      <c r="AB340" s="8">
        <v>-2.1280466000000001E-2</v>
      </c>
      <c r="AC340" s="107">
        <f t="shared" si="39"/>
        <v>-1.4511238642072773E-2</v>
      </c>
    </row>
    <row r="341" spans="14:29" x14ac:dyDescent="0.45">
      <c r="N341" s="8">
        <v>7.3575644555755604</v>
      </c>
      <c r="O341" s="63"/>
      <c r="P341" s="8">
        <v>-1.9017464000000001E-2</v>
      </c>
      <c r="Q341" s="98">
        <f t="shared" si="36"/>
        <v>-1.4603515982874529E-2</v>
      </c>
      <c r="R341" s="8">
        <v>17.606166178280802</v>
      </c>
      <c r="S341" s="63"/>
      <c r="T341" s="8">
        <v>-3.8414624000000001E-2</v>
      </c>
      <c r="U341" s="101">
        <f t="shared" si="37"/>
        <v>-2.4313744228877106E-2</v>
      </c>
      <c r="V341" s="8">
        <v>41.958616073394701</v>
      </c>
      <c r="W341" s="63"/>
      <c r="X341" s="8">
        <v>4.9056999999999998E-3</v>
      </c>
      <c r="Y341" s="104">
        <f t="shared" si="38"/>
        <v>3.3174268922851646E-3</v>
      </c>
      <c r="Z341" s="8">
        <v>51.136916600714997</v>
      </c>
      <c r="AA341" s="63"/>
      <c r="AB341" s="8">
        <v>-3.1302332000000002E-2</v>
      </c>
      <c r="AC341" s="107">
        <f t="shared" si="39"/>
        <v>-2.1345190923234062E-2</v>
      </c>
    </row>
    <row r="342" spans="14:29" x14ac:dyDescent="0.45">
      <c r="N342" s="8">
        <v>7.35757445567556</v>
      </c>
      <c r="O342" s="63"/>
      <c r="P342" s="8">
        <v>-1.9664035999999999E-2</v>
      </c>
      <c r="Q342" s="98">
        <f t="shared" si="36"/>
        <v>-1.5100018804495704E-2</v>
      </c>
      <c r="R342" s="8">
        <v>17.6061761783808</v>
      </c>
      <c r="S342" s="63"/>
      <c r="T342" s="8">
        <v>-2.9362616000000001E-2</v>
      </c>
      <c r="U342" s="101">
        <f t="shared" si="37"/>
        <v>-1.858446239939078E-2</v>
      </c>
      <c r="V342" s="8">
        <v>41.958626073494699</v>
      </c>
      <c r="W342" s="63"/>
      <c r="X342" s="8">
        <v>-2.5298780000000002E-3</v>
      </c>
      <c r="Y342" s="104">
        <f t="shared" si="38"/>
        <v>-1.7108028031474832E-3</v>
      </c>
      <c r="Z342" s="8">
        <v>51.136926600815002</v>
      </c>
      <c r="AA342" s="63"/>
      <c r="AB342" s="8">
        <v>-2.3543468000000001E-2</v>
      </c>
      <c r="AC342" s="107">
        <f t="shared" si="39"/>
        <v>-1.605438915717371E-2</v>
      </c>
    </row>
    <row r="343" spans="14:29" x14ac:dyDescent="0.45">
      <c r="N343" s="8">
        <v>7.3575844557755596</v>
      </c>
      <c r="O343" s="63"/>
      <c r="P343" s="8">
        <v>-1.7401033999999999E-2</v>
      </c>
      <c r="Q343" s="98">
        <f t="shared" si="36"/>
        <v>-1.3362258928821586E-2</v>
      </c>
      <c r="R343" s="8">
        <v>17.606186178480801</v>
      </c>
      <c r="S343" s="63"/>
      <c r="T343" s="8">
        <v>-1.5784604000000001E-2</v>
      </c>
      <c r="U343" s="101">
        <f t="shared" si="37"/>
        <v>-9.9905396551612877E-3</v>
      </c>
      <c r="V343" s="8">
        <v>41.958636073594697</v>
      </c>
      <c r="W343" s="63"/>
      <c r="X343" s="8">
        <v>-1.5461318E-2</v>
      </c>
      <c r="Y343" s="104">
        <f t="shared" si="38"/>
        <v>-1.0455550099552088E-2</v>
      </c>
      <c r="Z343" s="8">
        <v>51.136936600915</v>
      </c>
      <c r="AA343" s="63"/>
      <c r="AB343" s="8">
        <v>-2.9362616000000001E-2</v>
      </c>
      <c r="AC343" s="107">
        <f t="shared" si="39"/>
        <v>-2.0022490481718974E-2</v>
      </c>
    </row>
    <row r="344" spans="14:29" x14ac:dyDescent="0.45">
      <c r="N344" s="8">
        <v>7.3575944558755602</v>
      </c>
      <c r="O344" s="63"/>
      <c r="P344" s="8">
        <v>-1.9664035999999999E-2</v>
      </c>
      <c r="Q344" s="98">
        <f t="shared" si="36"/>
        <v>-1.5100018804495704E-2</v>
      </c>
      <c r="R344" s="8">
        <v>17.606196178580799</v>
      </c>
      <c r="S344" s="63"/>
      <c r="T344" s="8">
        <v>-2.7099614000000001E-2</v>
      </c>
      <c r="U344" s="101">
        <f t="shared" si="37"/>
        <v>-1.7152141942019198E-2</v>
      </c>
      <c r="V344" s="8">
        <v>41.958646073694702</v>
      </c>
      <c r="W344" s="63"/>
      <c r="X344" s="8">
        <v>-2.3866754E-2</v>
      </c>
      <c r="Y344" s="104">
        <f t="shared" si="38"/>
        <v>-1.6139635842215082E-2</v>
      </c>
      <c r="Z344" s="8">
        <v>51.136946601014998</v>
      </c>
      <c r="AA344" s="63"/>
      <c r="AB344" s="8">
        <v>-3.2918761999999997E-2</v>
      </c>
      <c r="AC344" s="107">
        <f t="shared" si="39"/>
        <v>-2.24474412911633E-2</v>
      </c>
    </row>
    <row r="345" spans="14:29" x14ac:dyDescent="0.45">
      <c r="N345" s="8">
        <v>7.3576044559755598</v>
      </c>
      <c r="O345" s="63"/>
      <c r="P345" s="8">
        <v>-9.9654559999999993E-3</v>
      </c>
      <c r="Q345" s="98">
        <f t="shared" si="36"/>
        <v>-7.6524764801780536E-3</v>
      </c>
      <c r="R345" s="8">
        <v>17.6062061786808</v>
      </c>
      <c r="S345" s="63"/>
      <c r="T345" s="8">
        <v>-2.8069472000000002E-2</v>
      </c>
      <c r="U345" s="101">
        <f t="shared" si="37"/>
        <v>-1.7765993566607019E-2</v>
      </c>
      <c r="V345" s="8">
        <v>41.9586560737947</v>
      </c>
      <c r="W345" s="63"/>
      <c r="X345" s="8">
        <v>-2.1280466000000001E-2</v>
      </c>
      <c r="Y345" s="104">
        <f t="shared" si="38"/>
        <v>-1.4390686382934162E-2</v>
      </c>
      <c r="Z345" s="8">
        <v>51.136956601115003</v>
      </c>
      <c r="AA345" s="63"/>
      <c r="AB345" s="8">
        <v>-2.7099614000000001E-2</v>
      </c>
      <c r="AC345" s="107">
        <f t="shared" si="39"/>
        <v>-1.8479339966618036E-2</v>
      </c>
    </row>
    <row r="346" spans="14:29" x14ac:dyDescent="0.45">
      <c r="N346" s="8">
        <v>7.3576144560755603</v>
      </c>
      <c r="O346" s="63"/>
      <c r="P346" s="8">
        <v>-2.0957179999999999E-2</v>
      </c>
      <c r="Q346" s="98">
        <f t="shared" si="36"/>
        <v>-1.6093024447738059E-2</v>
      </c>
      <c r="R346" s="8">
        <v>17.606216178780802</v>
      </c>
      <c r="S346" s="63"/>
      <c r="T346" s="8">
        <v>-3.3565334000000002E-2</v>
      </c>
      <c r="U346" s="101">
        <f t="shared" si="37"/>
        <v>-2.1244486105938005E-2</v>
      </c>
      <c r="V346" s="8">
        <v>41.958666073894697</v>
      </c>
      <c r="W346" s="63"/>
      <c r="X346" s="8">
        <v>-1.9987321999999998E-2</v>
      </c>
      <c r="Y346" s="104">
        <f t="shared" si="38"/>
        <v>-1.3516211653293699E-2</v>
      </c>
      <c r="Z346" s="8">
        <v>51.136966601215001</v>
      </c>
      <c r="AA346" s="63"/>
      <c r="AB346" s="8">
        <v>-2.8392758000000001E-2</v>
      </c>
      <c r="AC346" s="107">
        <f t="shared" si="39"/>
        <v>-1.9361140260961428E-2</v>
      </c>
    </row>
    <row r="347" spans="14:29" x14ac:dyDescent="0.45">
      <c r="N347" s="8">
        <v>7.3576244561755599</v>
      </c>
      <c r="O347" s="63"/>
      <c r="P347" s="8">
        <v>-2.2896896E-2</v>
      </c>
      <c r="Q347" s="98">
        <f t="shared" si="36"/>
        <v>-1.7582532912601589E-2</v>
      </c>
      <c r="R347" s="8">
        <v>17.606226178880799</v>
      </c>
      <c r="S347" s="63"/>
      <c r="T347" s="8">
        <v>-2.7099614000000001E-2</v>
      </c>
      <c r="U347" s="101">
        <f t="shared" si="37"/>
        <v>-1.7152141942019198E-2</v>
      </c>
      <c r="V347" s="8">
        <v>41.958676073994702</v>
      </c>
      <c r="W347" s="63"/>
      <c r="X347" s="8">
        <v>-2.1927037999999999E-2</v>
      </c>
      <c r="Y347" s="104">
        <f t="shared" si="38"/>
        <v>-1.4827923747754389E-2</v>
      </c>
      <c r="Z347" s="8">
        <v>51.136976601314998</v>
      </c>
      <c r="AA347" s="63"/>
      <c r="AB347" s="8">
        <v>-2.4836612000000001E-2</v>
      </c>
      <c r="AC347" s="107">
        <f t="shared" si="39"/>
        <v>-1.6936189451517102E-2</v>
      </c>
    </row>
    <row r="348" spans="14:29" x14ac:dyDescent="0.45">
      <c r="N348" s="8">
        <v>7.3576344562755596</v>
      </c>
      <c r="O348" s="63"/>
      <c r="P348" s="8">
        <v>-2.5806470000000001E-2</v>
      </c>
      <c r="Q348" s="98">
        <f t="shared" si="36"/>
        <v>-1.9816795609896885E-2</v>
      </c>
      <c r="R348" s="8">
        <v>17.606236178980801</v>
      </c>
      <c r="S348" s="63"/>
      <c r="T348" s="8">
        <v>-7.0558820000000003E-3</v>
      </c>
      <c r="U348" s="101">
        <f t="shared" si="37"/>
        <v>-4.4658750338708994E-3</v>
      </c>
      <c r="V348" s="8">
        <v>41.9586860740947</v>
      </c>
      <c r="W348" s="63"/>
      <c r="X348" s="8">
        <v>-2.5159898E-2</v>
      </c>
      <c r="Y348" s="104">
        <f t="shared" si="38"/>
        <v>-1.7014110571855541E-2</v>
      </c>
      <c r="Z348" s="8">
        <v>51.136986601415003</v>
      </c>
      <c r="AA348" s="63"/>
      <c r="AB348" s="8">
        <v>-2.6776327999999999E-2</v>
      </c>
      <c r="AC348" s="107">
        <f t="shared" si="39"/>
        <v>-1.8258889893032187E-2</v>
      </c>
    </row>
    <row r="349" spans="14:29" x14ac:dyDescent="0.45">
      <c r="N349" s="8">
        <v>7.3576444563755601</v>
      </c>
      <c r="O349" s="63"/>
      <c r="P349" s="8">
        <v>-4.1463079999999996E-3</v>
      </c>
      <c r="Q349" s="98">
        <f t="shared" si="36"/>
        <v>-3.1839510855874637E-3</v>
      </c>
      <c r="R349" s="8">
        <v>17.606246179080799</v>
      </c>
      <c r="S349" s="63"/>
      <c r="T349" s="8">
        <v>2.3194119999999999E-3</v>
      </c>
      <c r="U349" s="101">
        <f t="shared" si="37"/>
        <v>1.468024003811369E-3</v>
      </c>
      <c r="V349" s="8">
        <v>41.958696074194698</v>
      </c>
      <c r="W349" s="63"/>
      <c r="X349" s="8">
        <v>-2.9362616000000001E-2</v>
      </c>
      <c r="Y349" s="104">
        <f t="shared" si="38"/>
        <v>-1.9856153443187041E-2</v>
      </c>
      <c r="Z349" s="8">
        <v>51.136996601515001</v>
      </c>
      <c r="AA349" s="63"/>
      <c r="AB349" s="8">
        <v>-2.6453042E-2</v>
      </c>
      <c r="AC349" s="107">
        <f t="shared" si="39"/>
        <v>-1.8038439819446341E-2</v>
      </c>
    </row>
    <row r="350" spans="14:29" x14ac:dyDescent="0.45">
      <c r="N350" s="8">
        <v>7.3576544564755704</v>
      </c>
      <c r="O350" s="63"/>
      <c r="P350" s="8">
        <v>2.3194119999999999E-3</v>
      </c>
      <c r="Q350" s="98">
        <f t="shared" si="36"/>
        <v>1.7810771306243027E-3</v>
      </c>
      <c r="R350" s="8">
        <v>17.6062561791808</v>
      </c>
      <c r="S350" s="63"/>
      <c r="T350" s="8">
        <v>1.3311135999999999E-2</v>
      </c>
      <c r="U350" s="101">
        <f t="shared" si="37"/>
        <v>8.4250090824733379E-3</v>
      </c>
      <c r="V350" s="8">
        <v>41.958706074294703</v>
      </c>
      <c r="W350" s="63"/>
      <c r="X350" s="8">
        <v>-3.5505050000000003E-2</v>
      </c>
      <c r="Y350" s="104">
        <f t="shared" si="38"/>
        <v>-2.4009908408979229E-2</v>
      </c>
      <c r="Z350" s="8">
        <v>51.137006601614999</v>
      </c>
      <c r="AA350" s="63"/>
      <c r="AB350" s="8">
        <v>-2.5483183999999999E-2</v>
      </c>
      <c r="AC350" s="107">
        <f t="shared" si="39"/>
        <v>-1.7377089598688795E-2</v>
      </c>
    </row>
    <row r="351" spans="14:29" x14ac:dyDescent="0.45">
      <c r="N351" s="8">
        <v>7.35766445657557</v>
      </c>
      <c r="O351" s="63"/>
      <c r="P351" s="8">
        <v>3.28927E-3</v>
      </c>
      <c r="Q351" s="98">
        <f t="shared" si="36"/>
        <v>2.5258313630560679E-3</v>
      </c>
      <c r="R351" s="8">
        <v>17.606266179280802</v>
      </c>
      <c r="S351" s="63"/>
      <c r="T351" s="8">
        <v>2.4949432000000001E-2</v>
      </c>
      <c r="U351" s="101">
        <f t="shared" si="37"/>
        <v>1.579122857752719E-2</v>
      </c>
      <c r="V351" s="8">
        <v>41.958716074394701</v>
      </c>
      <c r="W351" s="63"/>
      <c r="X351" s="8">
        <v>-1.9664035999999999E-2</v>
      </c>
      <c r="Y351" s="104">
        <f t="shared" si="38"/>
        <v>-1.3297592970883584E-2</v>
      </c>
      <c r="Z351" s="8">
        <v>51.137016601714997</v>
      </c>
      <c r="AA351" s="63"/>
      <c r="AB351" s="8">
        <v>-3.1948904E-2</v>
      </c>
      <c r="AC351" s="107">
        <f t="shared" si="39"/>
        <v>-2.1786091070405758E-2</v>
      </c>
    </row>
    <row r="352" spans="14:29" x14ac:dyDescent="0.45">
      <c r="N352" s="8">
        <v>7.3576744566755696</v>
      </c>
      <c r="O352" s="63"/>
      <c r="P352" s="8">
        <v>3.7969600000000098E-4</v>
      </c>
      <c r="Q352" s="98">
        <f t="shared" si="36"/>
        <v>2.9156866576077341E-4</v>
      </c>
      <c r="R352" s="8">
        <v>17.606276179380799</v>
      </c>
      <c r="S352" s="63"/>
      <c r="T352" s="8">
        <v>2.6242576E-2</v>
      </c>
      <c r="U352" s="101">
        <f t="shared" si="37"/>
        <v>1.6609697410310952E-2</v>
      </c>
      <c r="V352" s="8">
        <v>41.958726074494798</v>
      </c>
      <c r="W352" s="63"/>
      <c r="X352" s="8">
        <v>-3.0332474000000002E-2</v>
      </c>
      <c r="Y352" s="104">
        <f t="shared" si="38"/>
        <v>-2.0512009490417385E-2</v>
      </c>
      <c r="Z352" s="8">
        <v>51.137026601815002</v>
      </c>
      <c r="AA352" s="63"/>
      <c r="AB352" s="8">
        <v>-2.6776327999999999E-2</v>
      </c>
      <c r="AC352" s="107">
        <f t="shared" si="39"/>
        <v>-1.8258889893032187E-2</v>
      </c>
    </row>
    <row r="353" spans="14:29" x14ac:dyDescent="0.45">
      <c r="N353" s="8">
        <v>7.3576844567755701</v>
      </c>
      <c r="O353" s="63"/>
      <c r="P353" s="8">
        <v>-5.90161999999999E-4</v>
      </c>
      <c r="Q353" s="98">
        <f t="shared" si="36"/>
        <v>-4.5318556667099159E-4</v>
      </c>
      <c r="R353" s="8">
        <v>17.606286179480801</v>
      </c>
      <c r="S353" s="63"/>
      <c r="T353" s="8">
        <v>2.7212434000000001E-2</v>
      </c>
      <c r="U353" s="101">
        <f t="shared" si="37"/>
        <v>1.7223549034898773E-2</v>
      </c>
      <c r="V353" s="8">
        <v>41.958736074594697</v>
      </c>
      <c r="W353" s="63"/>
      <c r="X353" s="8">
        <v>-2.2250323999999998E-2</v>
      </c>
      <c r="Y353" s="104">
        <f t="shared" si="38"/>
        <v>-1.5046542430164504E-2</v>
      </c>
      <c r="Z353" s="8">
        <v>51.137036601915</v>
      </c>
      <c r="AA353" s="63"/>
      <c r="AB353" s="8">
        <v>-2.74229E-2</v>
      </c>
      <c r="AC353" s="107">
        <f t="shared" si="39"/>
        <v>-1.8699790040203886E-2</v>
      </c>
    </row>
    <row r="354" spans="14:29" x14ac:dyDescent="0.45">
      <c r="N354" s="8">
        <v>7.3576944568755698</v>
      </c>
      <c r="O354" s="63"/>
      <c r="P354" s="8">
        <v>-3.4997359999999998E-3</v>
      </c>
      <c r="Q354" s="98">
        <f t="shared" si="36"/>
        <v>-2.6874482639662875E-3</v>
      </c>
      <c r="R354" s="8">
        <v>17.606296179580799</v>
      </c>
      <c r="S354" s="63"/>
      <c r="T354" s="8">
        <v>3.3031581999999997E-2</v>
      </c>
      <c r="U354" s="101">
        <f t="shared" si="37"/>
        <v>2.0906658782425695E-2</v>
      </c>
      <c r="V354" s="8">
        <v>41.958746074694801</v>
      </c>
      <c r="W354" s="63"/>
      <c r="X354" s="8">
        <v>-1.8694177999999999E-2</v>
      </c>
      <c r="Y354" s="104">
        <f t="shared" si="38"/>
        <v>-1.2641736923653238E-2</v>
      </c>
      <c r="Z354" s="8">
        <v>51.137046602014998</v>
      </c>
      <c r="AA354" s="63"/>
      <c r="AB354" s="8">
        <v>-2.2573610000000001E-2</v>
      </c>
      <c r="AC354" s="107">
        <f t="shared" si="39"/>
        <v>-1.5393038936416165E-2</v>
      </c>
    </row>
    <row r="355" spans="14:29" x14ac:dyDescent="0.45">
      <c r="N355" s="8">
        <v>7.3577044569755703</v>
      </c>
      <c r="O355" s="63"/>
      <c r="P355" s="8">
        <v>-5.7627379999999999E-3</v>
      </c>
      <c r="Q355" s="98">
        <f t="shared" si="36"/>
        <v>-4.4252081396404059E-3</v>
      </c>
      <c r="R355" s="8">
        <v>17.6063061796808</v>
      </c>
      <c r="S355" s="63"/>
      <c r="T355" s="8">
        <v>2.268643E-2</v>
      </c>
      <c r="U355" s="101">
        <f t="shared" si="37"/>
        <v>1.4358908120155608E-2</v>
      </c>
      <c r="V355" s="8">
        <v>41.958756074794799</v>
      </c>
      <c r="W355" s="63"/>
      <c r="X355" s="8">
        <v>-3.0655760000000001E-2</v>
      </c>
      <c r="Y355" s="104">
        <f t="shared" si="38"/>
        <v>-2.07306281728275E-2</v>
      </c>
      <c r="Z355" s="8">
        <v>51.137056602115003</v>
      </c>
      <c r="AA355" s="63"/>
      <c r="AB355" s="8">
        <v>-2.8069472000000002E-2</v>
      </c>
      <c r="AC355" s="107">
        <f t="shared" si="39"/>
        <v>-1.9140690187375582E-2</v>
      </c>
    </row>
    <row r="356" spans="14:29" x14ac:dyDescent="0.45">
      <c r="N356" s="8">
        <v>7.3577144570755699</v>
      </c>
      <c r="O356" s="63"/>
      <c r="P356" s="8">
        <v>-1.7401033999999999E-2</v>
      </c>
      <c r="Q356" s="98">
        <f t="shared" si="36"/>
        <v>-1.3362258928821586E-2</v>
      </c>
      <c r="R356" s="8">
        <v>17.606316179780801</v>
      </c>
      <c r="S356" s="63"/>
      <c r="T356" s="8">
        <v>8.1385599999999995E-3</v>
      </c>
      <c r="U356" s="101">
        <f t="shared" si="37"/>
        <v>5.1511337513382941E-3</v>
      </c>
      <c r="V356" s="8">
        <v>41.958766074894797</v>
      </c>
      <c r="W356" s="63"/>
      <c r="X356" s="8">
        <v>-2.6776327999999999E-2</v>
      </c>
      <c r="Y356" s="104">
        <f t="shared" si="38"/>
        <v>-1.8107203983906115E-2</v>
      </c>
      <c r="Z356" s="8">
        <v>51.137066602215</v>
      </c>
      <c r="AA356" s="63"/>
      <c r="AB356" s="8">
        <v>-2.2896896E-2</v>
      </c>
      <c r="AC356" s="107">
        <f t="shared" si="39"/>
        <v>-1.5613489010002011E-2</v>
      </c>
    </row>
    <row r="357" spans="14:29" x14ac:dyDescent="0.45">
      <c r="N357" s="8">
        <v>7.3577244571755704</v>
      </c>
      <c r="O357" s="63"/>
      <c r="P357" s="8">
        <v>-2.1603752E-2</v>
      </c>
      <c r="Q357" s="98">
        <f t="shared" si="36"/>
        <v>-1.6589527269359236E-2</v>
      </c>
      <c r="R357" s="8">
        <v>17.606326179880799</v>
      </c>
      <c r="S357" s="63"/>
      <c r="T357" s="8">
        <v>-7.3791680000000002E-3</v>
      </c>
      <c r="U357" s="101">
        <f t="shared" si="37"/>
        <v>-4.6704922420668397E-3</v>
      </c>
      <c r="V357" s="8">
        <v>41.958776074994802</v>
      </c>
      <c r="W357" s="63"/>
      <c r="X357" s="8">
        <v>-3.0332474000000002E-2</v>
      </c>
      <c r="Y357" s="104">
        <f t="shared" si="38"/>
        <v>-2.0512009490417385E-2</v>
      </c>
      <c r="Z357" s="8">
        <v>51.137076602314998</v>
      </c>
      <c r="AA357" s="63"/>
      <c r="AB357" s="8">
        <v>-2.6776327999999999E-2</v>
      </c>
      <c r="AC357" s="107">
        <f t="shared" si="39"/>
        <v>-1.8258889893032187E-2</v>
      </c>
    </row>
    <row r="358" spans="14:29" x14ac:dyDescent="0.45">
      <c r="N358" s="8">
        <v>7.3577344572755701</v>
      </c>
      <c r="O358" s="63"/>
      <c r="P358" s="8">
        <v>-2.4513325999999998E-2</v>
      </c>
      <c r="Q358" s="98">
        <f t="shared" si="36"/>
        <v>-1.8823789966654528E-2</v>
      </c>
      <c r="R358" s="8">
        <v>17.606336179980801</v>
      </c>
      <c r="S358" s="63"/>
      <c r="T358" s="8">
        <v>-1.3198316E-2</v>
      </c>
      <c r="U358" s="101">
        <f t="shared" si="37"/>
        <v>-8.353601989593765E-3</v>
      </c>
      <c r="V358" s="8">
        <v>41.9587860750948</v>
      </c>
      <c r="W358" s="63"/>
      <c r="X358" s="8">
        <v>-2.2250323999999998E-2</v>
      </c>
      <c r="Y358" s="104">
        <f t="shared" si="38"/>
        <v>-1.5046542430164504E-2</v>
      </c>
      <c r="Z358" s="8">
        <v>51.137086602415003</v>
      </c>
      <c r="AA358" s="63"/>
      <c r="AB358" s="8">
        <v>-3.4211906E-2</v>
      </c>
      <c r="AC358" s="107">
        <f t="shared" si="39"/>
        <v>-2.3329241585506696E-2</v>
      </c>
    </row>
    <row r="359" spans="14:29" x14ac:dyDescent="0.45">
      <c r="N359" s="8">
        <v>7.3577444573755697</v>
      </c>
      <c r="O359" s="63"/>
      <c r="P359" s="8">
        <v>-2.3543468000000001E-2</v>
      </c>
      <c r="Q359" s="98">
        <f t="shared" si="36"/>
        <v>-1.8079035734222766E-2</v>
      </c>
      <c r="R359" s="8">
        <v>17.606346180080799</v>
      </c>
      <c r="S359" s="63"/>
      <c r="T359" s="8">
        <v>-1.5461318E-2</v>
      </c>
      <c r="U359" s="101">
        <f t="shared" si="37"/>
        <v>-9.7859224469653474E-3</v>
      </c>
      <c r="V359" s="8">
        <v>41.958796075194797</v>
      </c>
      <c r="W359" s="63"/>
      <c r="X359" s="8">
        <v>-1.934075E-2</v>
      </c>
      <c r="Y359" s="104">
        <f t="shared" si="38"/>
        <v>-1.3078974288473469E-2</v>
      </c>
      <c r="Z359" s="8">
        <v>51.137096602515001</v>
      </c>
      <c r="AA359" s="63"/>
      <c r="AB359" s="8">
        <v>-2.3866754E-2</v>
      </c>
      <c r="AC359" s="107">
        <f t="shared" si="39"/>
        <v>-1.6274839230759557E-2</v>
      </c>
    </row>
    <row r="360" spans="14:29" x14ac:dyDescent="0.45">
      <c r="N360" s="8">
        <v>7.35775445747558</v>
      </c>
      <c r="O360" s="63"/>
      <c r="P360" s="8">
        <v>-2.6453042E-2</v>
      </c>
      <c r="Q360" s="98">
        <f t="shared" si="36"/>
        <v>-2.0313298431518061E-2</v>
      </c>
      <c r="R360" s="8">
        <v>17.6063561801808</v>
      </c>
      <c r="S360" s="63"/>
      <c r="T360" s="8">
        <v>-1.9664035999999999E-2</v>
      </c>
      <c r="U360" s="101">
        <f t="shared" si="37"/>
        <v>-1.244594615351257E-2</v>
      </c>
      <c r="V360" s="8">
        <v>41.958806075294802</v>
      </c>
      <c r="W360" s="63"/>
      <c r="X360" s="8">
        <v>-2.3866754E-2</v>
      </c>
      <c r="Y360" s="104">
        <f t="shared" si="38"/>
        <v>-1.6139635842215082E-2</v>
      </c>
      <c r="Z360" s="8">
        <v>51.137106602614999</v>
      </c>
      <c r="AA360" s="63"/>
      <c r="AB360" s="8">
        <v>-3.3565334000000002E-2</v>
      </c>
      <c r="AC360" s="107">
        <f t="shared" si="39"/>
        <v>-2.2888341438335E-2</v>
      </c>
    </row>
    <row r="361" spans="14:29" x14ac:dyDescent="0.45">
      <c r="N361" s="8">
        <v>7.3577644575755796</v>
      </c>
      <c r="O361" s="63"/>
      <c r="P361" s="8">
        <v>-2.2573610000000001E-2</v>
      </c>
      <c r="Q361" s="98">
        <f t="shared" si="36"/>
        <v>-1.7334281501791001E-2</v>
      </c>
      <c r="R361" s="8">
        <v>17.606366180280801</v>
      </c>
      <c r="S361" s="63"/>
      <c r="T361" s="8">
        <v>-2.0310608000000001E-2</v>
      </c>
      <c r="U361" s="101">
        <f t="shared" si="37"/>
        <v>-1.2855180569904451E-2</v>
      </c>
      <c r="V361" s="8">
        <v>41.9588160753948</v>
      </c>
      <c r="W361" s="63"/>
      <c r="X361" s="8">
        <v>-2.6129756000000001E-2</v>
      </c>
      <c r="Y361" s="104">
        <f t="shared" si="38"/>
        <v>-1.7669966619085889E-2</v>
      </c>
      <c r="Z361" s="8">
        <v>51.137116602714997</v>
      </c>
      <c r="AA361" s="63"/>
      <c r="AB361" s="8">
        <v>-3.4211906E-2</v>
      </c>
      <c r="AC361" s="107">
        <f t="shared" si="39"/>
        <v>-2.3329241585506696E-2</v>
      </c>
    </row>
    <row r="362" spans="14:29" x14ac:dyDescent="0.45">
      <c r="N362" s="8">
        <v>7.3577744576755801</v>
      </c>
      <c r="O362" s="63"/>
      <c r="P362" s="8">
        <v>-3.4211906E-2</v>
      </c>
      <c r="Q362" s="98">
        <f t="shared" si="36"/>
        <v>-2.6271332290972182E-2</v>
      </c>
      <c r="R362" s="8">
        <v>17.606376180380799</v>
      </c>
      <c r="S362" s="63"/>
      <c r="T362" s="8">
        <v>-2.7099614000000001E-2</v>
      </c>
      <c r="U362" s="101">
        <f t="shared" si="37"/>
        <v>-1.7152141942019198E-2</v>
      </c>
      <c r="V362" s="8">
        <v>41.958826075494798</v>
      </c>
      <c r="W362" s="63"/>
      <c r="X362" s="8">
        <v>-1.7401033999999999E-2</v>
      </c>
      <c r="Y362" s="104">
        <f t="shared" si="38"/>
        <v>-1.1767262194012779E-2</v>
      </c>
      <c r="Z362" s="8">
        <v>51.137126602815002</v>
      </c>
      <c r="AA362" s="63"/>
      <c r="AB362" s="8">
        <v>-2.8392758000000001E-2</v>
      </c>
      <c r="AC362" s="107">
        <f t="shared" si="39"/>
        <v>-1.9361140260961428E-2</v>
      </c>
    </row>
    <row r="363" spans="14:29" x14ac:dyDescent="0.45">
      <c r="N363" s="8">
        <v>7.3577844577755798</v>
      </c>
      <c r="O363" s="63"/>
      <c r="P363" s="8">
        <v>-2.2250323999999998E-2</v>
      </c>
      <c r="Q363" s="98">
        <f t="shared" si="36"/>
        <v>-1.7086030090980409E-2</v>
      </c>
      <c r="R363" s="8">
        <v>17.606386180480801</v>
      </c>
      <c r="S363" s="63"/>
      <c r="T363" s="8">
        <v>-2.5483183999999999E-2</v>
      </c>
      <c r="U363" s="101">
        <f t="shared" si="37"/>
        <v>-1.6129055901039496E-2</v>
      </c>
      <c r="V363" s="8">
        <v>41.958836075594803</v>
      </c>
      <c r="W363" s="63"/>
      <c r="X363" s="8">
        <v>-1.8047606000000001E-2</v>
      </c>
      <c r="Y363" s="104">
        <f t="shared" si="38"/>
        <v>-1.220449955883301E-2</v>
      </c>
      <c r="Z363" s="8">
        <v>51.137136602915</v>
      </c>
      <c r="AA363" s="63"/>
      <c r="AB363" s="8">
        <v>-2.1603752E-2</v>
      </c>
      <c r="AC363" s="107">
        <f t="shared" si="39"/>
        <v>-1.4731688715658619E-2</v>
      </c>
    </row>
    <row r="364" spans="14:29" x14ac:dyDescent="0.45">
      <c r="N364" s="8">
        <v>7.3577944578755803</v>
      </c>
      <c r="O364" s="63"/>
      <c r="P364" s="8">
        <v>-2.9685902E-2</v>
      </c>
      <c r="Q364" s="98">
        <f t="shared" si="36"/>
        <v>-2.2795812539623945E-2</v>
      </c>
      <c r="R364" s="8">
        <v>17.606396180580798</v>
      </c>
      <c r="S364" s="63"/>
      <c r="T364" s="8">
        <v>-2.6129756000000001E-2</v>
      </c>
      <c r="U364" s="101">
        <f t="shared" si="37"/>
        <v>-1.6538290317431377E-2</v>
      </c>
      <c r="V364" s="8">
        <v>41.958846075694801</v>
      </c>
      <c r="W364" s="63"/>
      <c r="X364" s="8">
        <v>-2.1927037999999999E-2</v>
      </c>
      <c r="Y364" s="104">
        <f t="shared" si="38"/>
        <v>-1.4827923747754389E-2</v>
      </c>
      <c r="Z364" s="8">
        <v>51.137146603014997</v>
      </c>
      <c r="AA364" s="63"/>
      <c r="AB364" s="8">
        <v>-1.9017464000000001E-2</v>
      </c>
      <c r="AC364" s="107">
        <f t="shared" si="39"/>
        <v>-1.2968088126971835E-2</v>
      </c>
    </row>
    <row r="365" spans="14:29" x14ac:dyDescent="0.45">
      <c r="N365" s="8">
        <v>7.3578044579755799</v>
      </c>
      <c r="O365" s="63"/>
      <c r="P365" s="8">
        <v>-1.934075E-2</v>
      </c>
      <c r="Q365" s="98">
        <f t="shared" si="36"/>
        <v>-1.4851767393685118E-2</v>
      </c>
      <c r="R365" s="8">
        <v>17.6064061806808</v>
      </c>
      <c r="S365" s="63"/>
      <c r="T365" s="8">
        <v>-2.5159898E-2</v>
      </c>
      <c r="U365" s="101">
        <f t="shared" si="37"/>
        <v>-1.5924438692843556E-2</v>
      </c>
      <c r="V365" s="8">
        <v>41.958856075794799</v>
      </c>
      <c r="W365" s="63"/>
      <c r="X365" s="8">
        <v>-1.8370892E-2</v>
      </c>
      <c r="Y365" s="104">
        <f t="shared" si="38"/>
        <v>-1.2423118241243123E-2</v>
      </c>
      <c r="Z365" s="8">
        <v>51.137156603115002</v>
      </c>
      <c r="AA365" s="63"/>
      <c r="AB365" s="8">
        <v>-2.1280466000000001E-2</v>
      </c>
      <c r="AC365" s="107">
        <f t="shared" si="39"/>
        <v>-1.4511238642072773E-2</v>
      </c>
    </row>
    <row r="366" spans="14:29" x14ac:dyDescent="0.45">
      <c r="N366" s="8">
        <v>7.3578144580755804</v>
      </c>
      <c r="O366" s="63"/>
      <c r="P366" s="8">
        <v>-1.4491459999999999E-2</v>
      </c>
      <c r="Q366" s="98">
        <f t="shared" si="36"/>
        <v>-1.1127996231526291E-2</v>
      </c>
      <c r="R366" s="8">
        <v>17.606416180780801</v>
      </c>
      <c r="S366" s="63"/>
      <c r="T366" s="8">
        <v>-2.6129756000000001E-2</v>
      </c>
      <c r="U366" s="101">
        <f t="shared" si="37"/>
        <v>-1.6538290317431377E-2</v>
      </c>
      <c r="V366" s="8">
        <v>41.958866075894797</v>
      </c>
      <c r="W366" s="63"/>
      <c r="X366" s="8">
        <v>-2.2250323999999998E-2</v>
      </c>
      <c r="Y366" s="104">
        <f t="shared" si="38"/>
        <v>-1.5046542430164504E-2</v>
      </c>
      <c r="Z366" s="8">
        <v>51.137166603215</v>
      </c>
      <c r="AA366" s="63"/>
      <c r="AB366" s="8">
        <v>-2.0957179999999999E-2</v>
      </c>
      <c r="AC366" s="107">
        <f t="shared" si="39"/>
        <v>-1.4290788568486923E-2</v>
      </c>
    </row>
    <row r="367" spans="14:29" x14ac:dyDescent="0.45">
      <c r="N367" s="8">
        <v>7.3578244581755801</v>
      </c>
      <c r="O367" s="63"/>
      <c r="P367" s="8">
        <v>-2.7099614000000001E-2</v>
      </c>
      <c r="Q367" s="98">
        <f t="shared" si="36"/>
        <v>-2.0809801253139238E-2</v>
      </c>
      <c r="R367" s="8">
        <v>17.606426180880799</v>
      </c>
      <c r="S367" s="63"/>
      <c r="T367" s="8">
        <v>-2.74229E-2</v>
      </c>
      <c r="U367" s="101">
        <f t="shared" si="37"/>
        <v>-1.7356759150215138E-2</v>
      </c>
      <c r="V367" s="8">
        <v>41.958876075994802</v>
      </c>
      <c r="W367" s="63"/>
      <c r="X367" s="8">
        <v>-2.2573610000000001E-2</v>
      </c>
      <c r="Y367" s="104">
        <f t="shared" si="38"/>
        <v>-1.5265161112574621E-2</v>
      </c>
      <c r="Z367" s="8">
        <v>51.137176603314998</v>
      </c>
      <c r="AA367" s="63"/>
      <c r="AB367" s="8">
        <v>-2.74229E-2</v>
      </c>
      <c r="AC367" s="107">
        <f t="shared" si="39"/>
        <v>-1.8699790040203886E-2</v>
      </c>
    </row>
    <row r="368" spans="14:29" x14ac:dyDescent="0.45">
      <c r="N368" s="8">
        <v>7.3578344582755797</v>
      </c>
      <c r="O368" s="63"/>
      <c r="P368" s="8">
        <v>-2.9362616000000001E-2</v>
      </c>
      <c r="Q368" s="98">
        <f t="shared" si="36"/>
        <v>-2.2547561128813357E-2</v>
      </c>
      <c r="R368" s="8">
        <v>17.606436180980801</v>
      </c>
      <c r="S368" s="63"/>
      <c r="T368" s="8">
        <v>-2.9362616000000001E-2</v>
      </c>
      <c r="U368" s="101">
        <f t="shared" si="37"/>
        <v>-1.858446239939078E-2</v>
      </c>
      <c r="V368" s="8">
        <v>41.958886076094799</v>
      </c>
      <c r="W368" s="63"/>
      <c r="X368" s="8">
        <v>-2.7746185999999999E-2</v>
      </c>
      <c r="Y368" s="104">
        <f t="shared" si="38"/>
        <v>-1.8763060031136463E-2</v>
      </c>
      <c r="Z368" s="8">
        <v>51.137186603415003</v>
      </c>
      <c r="AA368" s="63"/>
      <c r="AB368" s="8">
        <v>-2.7099614000000001E-2</v>
      </c>
      <c r="AC368" s="107">
        <f t="shared" si="39"/>
        <v>-1.8479339966618036E-2</v>
      </c>
    </row>
    <row r="369" spans="14:29" x14ac:dyDescent="0.45">
      <c r="N369" s="8">
        <v>7.3578444583755802</v>
      </c>
      <c r="O369" s="63"/>
      <c r="P369" s="8">
        <v>-3.3888620000000001E-2</v>
      </c>
      <c r="Q369" s="98">
        <f t="shared" si="36"/>
        <v>-2.6023080880161593E-2</v>
      </c>
      <c r="R369" s="8">
        <v>17.606446181080798</v>
      </c>
      <c r="S369" s="63"/>
      <c r="T369" s="8">
        <v>-3.2595475999999998E-2</v>
      </c>
      <c r="U369" s="101">
        <f t="shared" si="37"/>
        <v>-2.063063448135018E-2</v>
      </c>
      <c r="V369" s="8">
        <v>41.958896076194797</v>
      </c>
      <c r="W369" s="63"/>
      <c r="X369" s="8">
        <v>-2.6776327999999999E-2</v>
      </c>
      <c r="Y369" s="104">
        <f t="shared" si="38"/>
        <v>-1.8107203983906115E-2</v>
      </c>
      <c r="Z369" s="8">
        <v>51.137196603515001</v>
      </c>
      <c r="AA369" s="63"/>
      <c r="AB369" s="8">
        <v>-2.6129756000000001E-2</v>
      </c>
      <c r="AC369" s="107">
        <f t="shared" si="39"/>
        <v>-1.7817989745860494E-2</v>
      </c>
    </row>
    <row r="370" spans="14:29" x14ac:dyDescent="0.45">
      <c r="N370" s="8">
        <v>7.3578544584755896</v>
      </c>
      <c r="O370" s="63"/>
      <c r="P370" s="8">
        <v>-2.6453042E-2</v>
      </c>
      <c r="Q370" s="98">
        <f t="shared" si="36"/>
        <v>-2.0313298431518061E-2</v>
      </c>
      <c r="R370" s="8">
        <v>17.6064561811808</v>
      </c>
      <c r="S370" s="63"/>
      <c r="T370" s="8">
        <v>-2.5483183999999999E-2</v>
      </c>
      <c r="U370" s="101">
        <f t="shared" si="37"/>
        <v>-1.6129055901039496E-2</v>
      </c>
      <c r="V370" s="8">
        <v>41.958906076294802</v>
      </c>
      <c r="W370" s="63"/>
      <c r="X370" s="8">
        <v>-3.3565334000000002E-2</v>
      </c>
      <c r="Y370" s="104">
        <f t="shared" si="38"/>
        <v>-2.2698196314518537E-2</v>
      </c>
      <c r="Z370" s="8">
        <v>51.137206603614999</v>
      </c>
      <c r="AA370" s="63"/>
      <c r="AB370" s="8">
        <v>-2.8392758000000001E-2</v>
      </c>
      <c r="AC370" s="107">
        <f t="shared" si="39"/>
        <v>-1.9361140260961428E-2</v>
      </c>
    </row>
    <row r="371" spans="14:29" x14ac:dyDescent="0.45">
      <c r="N371" s="8">
        <v>7.3578644585755901</v>
      </c>
      <c r="O371" s="63"/>
      <c r="P371" s="8">
        <v>-3.0009187999999999E-2</v>
      </c>
      <c r="Q371" s="98">
        <f t="shared" si="36"/>
        <v>-2.3044063950434533E-2</v>
      </c>
      <c r="R371" s="8">
        <v>17.606466181280801</v>
      </c>
      <c r="S371" s="63"/>
      <c r="T371" s="8">
        <v>-2.5159898E-2</v>
      </c>
      <c r="U371" s="101">
        <f t="shared" si="37"/>
        <v>-1.5924438692843556E-2</v>
      </c>
      <c r="V371" s="8">
        <v>41.9589160763948</v>
      </c>
      <c r="W371" s="63"/>
      <c r="X371" s="8">
        <v>-2.1280466000000001E-2</v>
      </c>
      <c r="Y371" s="104">
        <f t="shared" si="38"/>
        <v>-1.4390686382934162E-2</v>
      </c>
      <c r="Z371" s="8">
        <v>51.137216603714997</v>
      </c>
      <c r="AA371" s="63"/>
      <c r="AB371" s="8">
        <v>-2.9685902E-2</v>
      </c>
      <c r="AC371" s="107">
        <f t="shared" si="39"/>
        <v>-2.024294055530482E-2</v>
      </c>
    </row>
    <row r="372" spans="14:29" x14ac:dyDescent="0.45">
      <c r="N372" s="8">
        <v>7.3578744586755898</v>
      </c>
      <c r="O372" s="63"/>
      <c r="P372" s="8">
        <v>-1.8370892E-2</v>
      </c>
      <c r="Q372" s="98">
        <f t="shared" si="36"/>
        <v>-1.4107013161253351E-2</v>
      </c>
      <c r="R372" s="8">
        <v>17.606476181380799</v>
      </c>
      <c r="S372" s="63"/>
      <c r="T372" s="8">
        <v>-1.9664035999999999E-2</v>
      </c>
      <c r="U372" s="101">
        <f t="shared" si="37"/>
        <v>-1.244594615351257E-2</v>
      </c>
      <c r="V372" s="8">
        <v>41.958926076494798</v>
      </c>
      <c r="W372" s="63"/>
      <c r="X372" s="8">
        <v>-1.9664035999999999E-2</v>
      </c>
      <c r="Y372" s="104">
        <f t="shared" si="38"/>
        <v>-1.3297592970883584E-2</v>
      </c>
      <c r="Z372" s="8">
        <v>51.137226603815002</v>
      </c>
      <c r="AA372" s="63"/>
      <c r="AB372" s="8">
        <v>-2.6129756000000001E-2</v>
      </c>
      <c r="AC372" s="107">
        <f t="shared" si="39"/>
        <v>-1.7817989745860494E-2</v>
      </c>
    </row>
    <row r="373" spans="14:29" x14ac:dyDescent="0.45">
      <c r="N373" s="8">
        <v>7.3578844587755903</v>
      </c>
      <c r="O373" s="63"/>
      <c r="P373" s="8">
        <v>-2.3866754E-2</v>
      </c>
      <c r="Q373" s="98">
        <f t="shared" si="36"/>
        <v>-1.8327287145033355E-2</v>
      </c>
      <c r="R373" s="8">
        <v>17.6064861814808</v>
      </c>
      <c r="S373" s="63"/>
      <c r="T373" s="8">
        <v>-1.7077748E-2</v>
      </c>
      <c r="U373" s="101">
        <f t="shared" si="37"/>
        <v>-1.0809008487945047E-2</v>
      </c>
      <c r="V373" s="8">
        <v>41.958936076594803</v>
      </c>
      <c r="W373" s="63"/>
      <c r="X373" s="8">
        <v>-2.6453042E-2</v>
      </c>
      <c r="Y373" s="104">
        <f t="shared" si="38"/>
        <v>-1.7888585301496E-2</v>
      </c>
      <c r="Z373" s="8">
        <v>51.137236603914999</v>
      </c>
      <c r="AA373" s="63"/>
      <c r="AB373" s="8">
        <v>-2.5159898E-2</v>
      </c>
      <c r="AC373" s="107">
        <f t="shared" si="39"/>
        <v>-1.7156639525102949E-2</v>
      </c>
    </row>
    <row r="374" spans="14:29" x14ac:dyDescent="0.45">
      <c r="N374" s="8">
        <v>7.3578944588755899</v>
      </c>
      <c r="O374" s="63"/>
      <c r="P374" s="8">
        <v>-2.6776327999999999E-2</v>
      </c>
      <c r="Q374" s="98">
        <f t="shared" si="36"/>
        <v>-2.0561549842328646E-2</v>
      </c>
      <c r="R374" s="8">
        <v>17.606496181580798</v>
      </c>
      <c r="S374" s="63"/>
      <c r="T374" s="8">
        <v>-1.4491459999999999E-2</v>
      </c>
      <c r="U374" s="101">
        <f t="shared" si="37"/>
        <v>-9.1720708223775246E-3</v>
      </c>
      <c r="V374" s="8">
        <v>41.958946076694801</v>
      </c>
      <c r="W374" s="63"/>
      <c r="X374" s="8">
        <v>-2.6776327999999999E-2</v>
      </c>
      <c r="Y374" s="104">
        <f t="shared" si="38"/>
        <v>-1.8107203983906115E-2</v>
      </c>
      <c r="Z374" s="8">
        <v>51.137246604014997</v>
      </c>
      <c r="AA374" s="63"/>
      <c r="AB374" s="8">
        <v>-3.1948904E-2</v>
      </c>
      <c r="AC374" s="107">
        <f t="shared" si="39"/>
        <v>-2.1786091070405758E-2</v>
      </c>
    </row>
    <row r="375" spans="14:29" x14ac:dyDescent="0.45">
      <c r="N375" s="8">
        <v>7.3579044589755904</v>
      </c>
      <c r="O375" s="63"/>
      <c r="P375" s="8">
        <v>-2.3543468000000001E-2</v>
      </c>
      <c r="Q375" s="98">
        <f t="shared" si="36"/>
        <v>-1.8079035734222766E-2</v>
      </c>
      <c r="R375" s="8">
        <v>17.6065061816808</v>
      </c>
      <c r="S375" s="63"/>
      <c r="T375" s="8">
        <v>-2.0633894E-2</v>
      </c>
      <c r="U375" s="101">
        <f t="shared" si="37"/>
        <v>-1.3059797778100391E-2</v>
      </c>
      <c r="V375" s="8">
        <v>41.958956076794799</v>
      </c>
      <c r="W375" s="63"/>
      <c r="X375" s="8">
        <v>-2.1927037999999999E-2</v>
      </c>
      <c r="Y375" s="104">
        <f t="shared" si="38"/>
        <v>-1.4827923747754389E-2</v>
      </c>
      <c r="Z375" s="8">
        <v>51.137256604115002</v>
      </c>
      <c r="AA375" s="63"/>
      <c r="AB375" s="8">
        <v>-1.7724319999999998E-2</v>
      </c>
      <c r="AC375" s="107">
        <f t="shared" si="39"/>
        <v>-1.2086287832628441E-2</v>
      </c>
    </row>
    <row r="376" spans="14:29" x14ac:dyDescent="0.45">
      <c r="N376" s="8">
        <v>7.3579144590755901</v>
      </c>
      <c r="O376" s="63"/>
      <c r="P376" s="8">
        <v>-3.1625618000000001E-2</v>
      </c>
      <c r="Q376" s="98">
        <f t="shared" si="36"/>
        <v>-2.4285321004487475E-2</v>
      </c>
      <c r="R376" s="8">
        <v>17.606516181780801</v>
      </c>
      <c r="S376" s="63"/>
      <c r="T376" s="8">
        <v>-7.3791680000000002E-3</v>
      </c>
      <c r="U376" s="101">
        <f t="shared" si="37"/>
        <v>-4.6704922420668397E-3</v>
      </c>
      <c r="V376" s="8">
        <v>41.958966076894797</v>
      </c>
      <c r="W376" s="63"/>
      <c r="X376" s="8">
        <v>-2.9362616000000001E-2</v>
      </c>
      <c r="Y376" s="104">
        <f t="shared" si="38"/>
        <v>-1.9856153443187041E-2</v>
      </c>
      <c r="Z376" s="8">
        <v>51.137266604215</v>
      </c>
      <c r="AA376" s="63"/>
      <c r="AB376" s="8">
        <v>-2.74229E-2</v>
      </c>
      <c r="AC376" s="107">
        <f t="shared" si="39"/>
        <v>-1.8699790040203886E-2</v>
      </c>
    </row>
    <row r="377" spans="14:29" x14ac:dyDescent="0.45">
      <c r="N377" s="8">
        <v>7.3579244591755897</v>
      </c>
      <c r="O377" s="63"/>
      <c r="P377" s="8">
        <v>-3.0979046E-2</v>
      </c>
      <c r="Q377" s="98">
        <f t="shared" si="36"/>
        <v>-2.3788818182866298E-2</v>
      </c>
      <c r="R377" s="8">
        <v>17.606526181880799</v>
      </c>
      <c r="S377" s="63"/>
      <c r="T377" s="8">
        <v>-2.0957179999999999E-2</v>
      </c>
      <c r="U377" s="101">
        <f t="shared" si="37"/>
        <v>-1.3264414986296331E-2</v>
      </c>
      <c r="V377" s="8">
        <v>41.958976076994801</v>
      </c>
      <c r="W377" s="63"/>
      <c r="X377" s="8">
        <v>-3.4858477999999998E-2</v>
      </c>
      <c r="Y377" s="104">
        <f t="shared" si="38"/>
        <v>-2.3572671044158992E-2</v>
      </c>
      <c r="Z377" s="8">
        <v>51.137276604314998</v>
      </c>
      <c r="AA377" s="63"/>
      <c r="AB377" s="8">
        <v>-2.9362616000000001E-2</v>
      </c>
      <c r="AC377" s="107">
        <f t="shared" si="39"/>
        <v>-2.0022490481718974E-2</v>
      </c>
    </row>
    <row r="378" spans="14:29" x14ac:dyDescent="0.45">
      <c r="N378" s="8">
        <v>7.3579344592755902</v>
      </c>
      <c r="O378" s="63"/>
      <c r="P378" s="8">
        <v>-2.7099614000000001E-2</v>
      </c>
      <c r="Q378" s="98">
        <f t="shared" si="36"/>
        <v>-2.0809801253139238E-2</v>
      </c>
      <c r="R378" s="8">
        <v>17.6065361819808</v>
      </c>
      <c r="S378" s="63"/>
      <c r="T378" s="8">
        <v>-1.5461318E-2</v>
      </c>
      <c r="U378" s="101">
        <f t="shared" si="37"/>
        <v>-9.7859224469653474E-3</v>
      </c>
      <c r="V378" s="8">
        <v>41.958986077094799</v>
      </c>
      <c r="W378" s="63"/>
      <c r="X378" s="8">
        <v>-2.3543468000000001E-2</v>
      </c>
      <c r="Y378" s="104">
        <f t="shared" si="38"/>
        <v>-1.5921017159804967E-2</v>
      </c>
      <c r="Z378" s="8">
        <v>51.137286604415003</v>
      </c>
      <c r="AA378" s="63"/>
      <c r="AB378" s="8">
        <v>-3.3565334000000002E-2</v>
      </c>
      <c r="AC378" s="107">
        <f t="shared" si="39"/>
        <v>-2.2888341438335E-2</v>
      </c>
    </row>
    <row r="379" spans="14:29" x14ac:dyDescent="0.45">
      <c r="N379" s="8">
        <v>7.3579444593755898</v>
      </c>
      <c r="O379" s="63"/>
      <c r="P379" s="8">
        <v>-3.1625618000000001E-2</v>
      </c>
      <c r="Q379" s="98">
        <f t="shared" si="36"/>
        <v>-2.4285321004487475E-2</v>
      </c>
      <c r="R379" s="8">
        <v>17.606546182080798</v>
      </c>
      <c r="S379" s="63"/>
      <c r="T379" s="8">
        <v>-2.0633894E-2</v>
      </c>
      <c r="U379" s="101">
        <f t="shared" si="37"/>
        <v>-1.3059797778100391E-2</v>
      </c>
      <c r="V379" s="8">
        <v>41.958996077194797</v>
      </c>
      <c r="W379" s="63"/>
      <c r="X379" s="8">
        <v>-2.1927037999999999E-2</v>
      </c>
      <c r="Y379" s="104">
        <f t="shared" si="38"/>
        <v>-1.4827923747754389E-2</v>
      </c>
      <c r="Z379" s="8">
        <v>51.137296604515001</v>
      </c>
      <c r="AA379" s="63"/>
      <c r="AB379" s="8">
        <v>-3.0009187999999999E-2</v>
      </c>
      <c r="AC379" s="107">
        <f t="shared" si="39"/>
        <v>-2.046339062889067E-2</v>
      </c>
    </row>
    <row r="380" spans="14:29" x14ac:dyDescent="0.45">
      <c r="N380" s="8">
        <v>7.3579544594756001</v>
      </c>
      <c r="O380" s="63"/>
      <c r="P380" s="8">
        <v>-2.4836612000000001E-2</v>
      </c>
      <c r="Q380" s="98">
        <f t="shared" si="36"/>
        <v>-1.907204137746512E-2</v>
      </c>
      <c r="R380" s="8">
        <v>17.6065561821808</v>
      </c>
      <c r="S380" s="63"/>
      <c r="T380" s="8">
        <v>-1.9664035999999999E-2</v>
      </c>
      <c r="U380" s="101">
        <f t="shared" si="37"/>
        <v>-1.244594615351257E-2</v>
      </c>
      <c r="V380" s="8">
        <v>41.959006077294802</v>
      </c>
      <c r="W380" s="63"/>
      <c r="X380" s="8">
        <v>-2.6453042E-2</v>
      </c>
      <c r="Y380" s="104">
        <f t="shared" si="38"/>
        <v>-1.7888585301496E-2</v>
      </c>
      <c r="Z380" s="8">
        <v>51.137306604614999</v>
      </c>
      <c r="AA380" s="63"/>
      <c r="AB380" s="8">
        <v>-2.5159898E-2</v>
      </c>
      <c r="AC380" s="107">
        <f t="shared" si="39"/>
        <v>-1.7156639525102949E-2</v>
      </c>
    </row>
    <row r="381" spans="14:29" x14ac:dyDescent="0.45">
      <c r="N381" s="8">
        <v>7.3579644595755997</v>
      </c>
      <c r="O381" s="63"/>
      <c r="P381" s="8">
        <v>-2.1927037999999999E-2</v>
      </c>
      <c r="Q381" s="98">
        <f t="shared" si="36"/>
        <v>-1.6837778680169824E-2</v>
      </c>
      <c r="R381" s="8">
        <v>17.606566182280801</v>
      </c>
      <c r="S381" s="63"/>
      <c r="T381" s="8">
        <v>-2.1927037999999999E-2</v>
      </c>
      <c r="U381" s="101">
        <f t="shared" si="37"/>
        <v>-1.3878266610884153E-2</v>
      </c>
      <c r="V381" s="8">
        <v>41.9590160773948</v>
      </c>
      <c r="W381" s="63"/>
      <c r="X381" s="8">
        <v>-2.1927037999999999E-2</v>
      </c>
      <c r="Y381" s="104">
        <f t="shared" si="38"/>
        <v>-1.4827923747754389E-2</v>
      </c>
      <c r="Z381" s="8">
        <v>51.137316604714997</v>
      </c>
      <c r="AA381" s="63"/>
      <c r="AB381" s="8">
        <v>-3.2272189999999999E-2</v>
      </c>
      <c r="AC381" s="107">
        <f t="shared" si="39"/>
        <v>-2.2006541143991604E-2</v>
      </c>
    </row>
    <row r="382" spans="14:29" x14ac:dyDescent="0.45">
      <c r="N382" s="8">
        <v>7.3579744596756003</v>
      </c>
      <c r="O382" s="63"/>
      <c r="P382" s="8">
        <v>-2.9039329999999999E-2</v>
      </c>
      <c r="Q382" s="98">
        <f t="shared" si="36"/>
        <v>-2.2299309718002765E-2</v>
      </c>
      <c r="R382" s="8">
        <v>17.606576182380799</v>
      </c>
      <c r="S382" s="63"/>
      <c r="T382" s="8">
        <v>-2.0310608000000001E-2</v>
      </c>
      <c r="U382" s="101">
        <f t="shared" si="37"/>
        <v>-1.2855180569904451E-2</v>
      </c>
      <c r="V382" s="8">
        <v>41.959026077494798</v>
      </c>
      <c r="W382" s="63"/>
      <c r="X382" s="8">
        <v>-2.2573610000000001E-2</v>
      </c>
      <c r="Y382" s="104">
        <f t="shared" si="38"/>
        <v>-1.5265161112574621E-2</v>
      </c>
      <c r="Z382" s="8">
        <v>51.137326604815001</v>
      </c>
      <c r="AA382" s="63"/>
      <c r="AB382" s="8">
        <v>-1.610789E-2</v>
      </c>
      <c r="AC382" s="107">
        <f t="shared" si="39"/>
        <v>-1.0984037464699201E-2</v>
      </c>
    </row>
    <row r="383" spans="14:29" x14ac:dyDescent="0.45">
      <c r="N383" s="8">
        <v>7.3579844597755999</v>
      </c>
      <c r="O383" s="63"/>
      <c r="P383" s="8">
        <v>-2.1280466000000001E-2</v>
      </c>
      <c r="Q383" s="98">
        <f t="shared" si="36"/>
        <v>-1.6341275858548648E-2</v>
      </c>
      <c r="R383" s="8">
        <v>17.6065861824808</v>
      </c>
      <c r="S383" s="63"/>
      <c r="T383" s="8">
        <v>-2.6129756000000001E-2</v>
      </c>
      <c r="U383" s="101">
        <f t="shared" si="37"/>
        <v>-1.6538290317431377E-2</v>
      </c>
      <c r="V383" s="8">
        <v>41.959036077594803</v>
      </c>
      <c r="W383" s="63"/>
      <c r="X383" s="8">
        <v>-2.9039329999999999E-2</v>
      </c>
      <c r="Y383" s="104">
        <f t="shared" si="38"/>
        <v>-1.9637534760776922E-2</v>
      </c>
      <c r="Z383" s="8">
        <v>51.137336604915099</v>
      </c>
      <c r="AA383" s="63"/>
      <c r="AB383" s="8">
        <v>-2.6776327999999999E-2</v>
      </c>
      <c r="AC383" s="107">
        <f t="shared" si="39"/>
        <v>-1.8258889893032187E-2</v>
      </c>
    </row>
    <row r="384" spans="14:29" x14ac:dyDescent="0.45">
      <c r="N384" s="8">
        <v>7.3579944598756004</v>
      </c>
      <c r="O384" s="63"/>
      <c r="P384" s="8">
        <v>-2.1927037999999999E-2</v>
      </c>
      <c r="Q384" s="98">
        <f t="shared" si="36"/>
        <v>-1.6837778680169824E-2</v>
      </c>
      <c r="R384" s="8">
        <v>17.606596182580802</v>
      </c>
      <c r="S384" s="63"/>
      <c r="T384" s="8">
        <v>-2.4190039999999999E-2</v>
      </c>
      <c r="U384" s="101">
        <f t="shared" si="37"/>
        <v>-1.5310587068255733E-2</v>
      </c>
      <c r="V384" s="8">
        <v>41.959046077694801</v>
      </c>
      <c r="W384" s="63"/>
      <c r="X384" s="8">
        <v>-2.8392758000000001E-2</v>
      </c>
      <c r="Y384" s="104">
        <f t="shared" si="38"/>
        <v>-1.9200297395956693E-2</v>
      </c>
      <c r="Z384" s="8">
        <v>51.137346605015097</v>
      </c>
      <c r="AA384" s="63"/>
      <c r="AB384" s="8">
        <v>-2.6453042E-2</v>
      </c>
      <c r="AC384" s="107">
        <f t="shared" si="39"/>
        <v>-1.8038439819446341E-2</v>
      </c>
    </row>
    <row r="385" spans="14:29" x14ac:dyDescent="0.45">
      <c r="N385" s="8">
        <v>7.3580044599756</v>
      </c>
      <c r="O385" s="63"/>
      <c r="P385" s="8">
        <v>-2.6129756000000001E-2</v>
      </c>
      <c r="Q385" s="98">
        <f t="shared" si="36"/>
        <v>-2.0065047020707473E-2</v>
      </c>
      <c r="R385" s="8">
        <v>17.6066061826808</v>
      </c>
      <c r="S385" s="63"/>
      <c r="T385" s="8">
        <v>-2.9039329999999999E-2</v>
      </c>
      <c r="U385" s="101">
        <f t="shared" si="37"/>
        <v>-1.8379845191194837E-2</v>
      </c>
      <c r="V385" s="8">
        <v>41.959056077794799</v>
      </c>
      <c r="W385" s="63"/>
      <c r="X385" s="8">
        <v>-3.1948904E-2</v>
      </c>
      <c r="Y385" s="104">
        <f t="shared" si="38"/>
        <v>-2.1605102902467959E-2</v>
      </c>
      <c r="Z385" s="8">
        <v>51.137356605115002</v>
      </c>
      <c r="AA385" s="63"/>
      <c r="AB385" s="8">
        <v>-1.9987321999999998E-2</v>
      </c>
      <c r="AC385" s="107">
        <f t="shared" si="39"/>
        <v>-1.3629438347729377E-2</v>
      </c>
    </row>
  </sheetData>
  <mergeCells count="5">
    <mergeCell ref="N4:P4"/>
    <mergeCell ref="R4:T4"/>
    <mergeCell ref="V4:X4"/>
    <mergeCell ref="Z4:AB4"/>
    <mergeCell ref="F6:I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CA054-5094-49DB-9D07-B9C7EDA45FCE}">
  <dimension ref="B4:N27"/>
  <sheetViews>
    <sheetView zoomScale="115" zoomScaleNormal="115" workbookViewId="0">
      <selection activeCell="L11" sqref="L11"/>
    </sheetView>
  </sheetViews>
  <sheetFormatPr defaultColWidth="9" defaultRowHeight="14.25" x14ac:dyDescent="0.45"/>
  <cols>
    <col min="1" max="16384" width="9" style="6"/>
  </cols>
  <sheetData>
    <row r="4" spans="2:14" x14ac:dyDescent="0.45">
      <c r="B4" s="144" t="s">
        <v>119</v>
      </c>
      <c r="C4" s="144"/>
    </row>
    <row r="5" spans="2:14" ht="15.75" x14ac:dyDescent="0.5">
      <c r="B5" s="85" t="s">
        <v>63</v>
      </c>
      <c r="C5" s="86" t="s">
        <v>64</v>
      </c>
    </row>
    <row r="6" spans="2:14" x14ac:dyDescent="0.45">
      <c r="B6" s="87">
        <f>[1]Mediciones!I36</f>
        <v>0.11805225653206648</v>
      </c>
      <c r="C6" s="77">
        <f>[1]Mediciones!J36</f>
        <v>1.763728134637909</v>
      </c>
    </row>
    <row r="7" spans="2:14" x14ac:dyDescent="0.45">
      <c r="B7" s="87">
        <f>[1]Mediciones!I37</f>
        <v>9.6678107984795758E-2</v>
      </c>
      <c r="C7" s="77">
        <f>[1]Mediciones!J37</f>
        <v>1.6822689096024417</v>
      </c>
    </row>
    <row r="8" spans="2:14" x14ac:dyDescent="0.45">
      <c r="B8" s="87">
        <f>[1]Mediciones!I38</f>
        <v>8.0713111267325499E-2</v>
      </c>
      <c r="C8" s="77">
        <f>[1]Mediciones!J38</f>
        <v>1.6483733962172045</v>
      </c>
      <c r="L8" s="6" t="s">
        <v>153</v>
      </c>
      <c r="M8" s="6" t="s">
        <v>122</v>
      </c>
      <c r="N8" s="6" t="s">
        <v>154</v>
      </c>
    </row>
    <row r="9" spans="2:14" x14ac:dyDescent="0.45">
      <c r="B9" s="87">
        <f>[1]Mediciones!I49</f>
        <v>0.1430861723446894</v>
      </c>
      <c r="C9" s="77">
        <f>[1]Mediciones!J49</f>
        <v>1.7772421994397172</v>
      </c>
      <c r="L9" s="6">
        <v>-101.47</v>
      </c>
      <c r="M9" s="6">
        <v>28.233000000000001</v>
      </c>
      <c r="N9" s="6">
        <v>-0.2656</v>
      </c>
    </row>
    <row r="10" spans="2:14" x14ac:dyDescent="0.45">
      <c r="B10" s="87">
        <f>[1]Mediciones!I50</f>
        <v>0.17279256442754556</v>
      </c>
      <c r="C10" s="77">
        <f>[1]Mediciones!J50</f>
        <v>1.6951263354634258</v>
      </c>
      <c r="K10" s="116" t="s">
        <v>132</v>
      </c>
      <c r="L10" s="116">
        <f>-M9/(L9*2)</f>
        <v>0.13911993692717059</v>
      </c>
    </row>
    <row r="11" spans="2:14" x14ac:dyDescent="0.45">
      <c r="B11" s="87">
        <f>[1]Mediciones!I51</f>
        <v>0.1863437537080784</v>
      </c>
      <c r="C11" s="77">
        <f>[1]Mediciones!J51</f>
        <v>1.6321784584194605</v>
      </c>
      <c r="K11" s="116" t="s">
        <v>155</v>
      </c>
      <c r="L11" s="116">
        <f>L10^2*L9+L10*M9+N9</f>
        <v>1.6982865896324033</v>
      </c>
      <c r="M11" s="116"/>
    </row>
    <row r="12" spans="2:14" x14ac:dyDescent="0.45">
      <c r="K12" s="6" t="s">
        <v>218</v>
      </c>
      <c r="L12" s="6">
        <f>L11*0.95</f>
        <v>1.6133722601507832</v>
      </c>
    </row>
    <row r="13" spans="2:14" x14ac:dyDescent="0.45">
      <c r="B13" s="144" t="s">
        <v>120</v>
      </c>
      <c r="C13" s="144"/>
    </row>
    <row r="14" spans="2:14" ht="15.75" x14ac:dyDescent="0.5">
      <c r="B14" s="85" t="s">
        <v>63</v>
      </c>
      <c r="C14" s="86" t="s">
        <v>64</v>
      </c>
    </row>
    <row r="15" spans="2:14" x14ac:dyDescent="0.45">
      <c r="B15" s="87">
        <f>[1]Mediciones!I35</f>
        <v>0.11843409316154611</v>
      </c>
      <c r="C15" s="77">
        <f>[1]Mediciones!J35</f>
        <v>1.6584291622044007</v>
      </c>
    </row>
    <row r="16" spans="2:14" x14ac:dyDescent="0.45">
      <c r="B16" s="87">
        <f>[1]Mediciones!I54</f>
        <v>0.13297332509443671</v>
      </c>
      <c r="C16" s="77">
        <f>[1]Mediciones!J54</f>
        <v>1.6867190368361413</v>
      </c>
      <c r="L16" s="6">
        <v>1.528457930669163</v>
      </c>
    </row>
    <row r="17" spans="2:11" x14ac:dyDescent="0.45">
      <c r="B17" s="87">
        <f>[1]Mediciones!I55</f>
        <v>0.15578764142732804</v>
      </c>
      <c r="C17" s="77">
        <f>[1]Mediciones!J55</f>
        <v>1.678484887889131</v>
      </c>
    </row>
    <row r="18" spans="2:11" x14ac:dyDescent="0.45">
      <c r="B18" s="87">
        <f>[1]Mediciones!I56</f>
        <v>0.16935064935064942</v>
      </c>
      <c r="C18" s="77">
        <f>[1]Mediciones!J56</f>
        <v>1.601954608561813</v>
      </c>
    </row>
    <row r="19" spans="2:11" x14ac:dyDescent="0.45">
      <c r="B19" s="88"/>
      <c r="C19" s="89"/>
    </row>
    <row r="20" spans="2:11" x14ac:dyDescent="0.45">
      <c r="B20" s="144" t="s">
        <v>130</v>
      </c>
      <c r="C20" s="144"/>
    </row>
    <row r="21" spans="2:11" ht="15.75" x14ac:dyDescent="0.5">
      <c r="B21" s="85" t="s">
        <v>63</v>
      </c>
      <c r="C21" s="86" t="s">
        <v>64</v>
      </c>
    </row>
    <row r="22" spans="2:11" x14ac:dyDescent="0.45">
      <c r="B22" s="96">
        <v>0.11589041095890402</v>
      </c>
      <c r="C22" s="8">
        <v>1.480677915463195</v>
      </c>
      <c r="K22" s="6">
        <v>0.05</v>
      </c>
    </row>
    <row r="23" spans="2:11" x14ac:dyDescent="0.45">
      <c r="B23" s="96">
        <v>0.13460442691211932</v>
      </c>
      <c r="C23" s="8">
        <v>1.4904689597154233</v>
      </c>
      <c r="K23" s="6">
        <v>0.21</v>
      </c>
    </row>
    <row r="24" spans="2:11" x14ac:dyDescent="0.45">
      <c r="B24" s="96">
        <v>0.14028029887536533</v>
      </c>
      <c r="C24" s="8">
        <v>1.5294344523239138</v>
      </c>
    </row>
    <row r="25" spans="2:11" x14ac:dyDescent="0.45">
      <c r="B25" s="96">
        <v>0.15156950672645753</v>
      </c>
      <c r="C25" s="8">
        <v>1.5475074537777984</v>
      </c>
      <c r="K25" s="6">
        <v>1.58</v>
      </c>
    </row>
    <row r="26" spans="2:11" x14ac:dyDescent="0.45">
      <c r="B26" s="96">
        <v>0.16556028504471754</v>
      </c>
      <c r="C26" s="8">
        <v>1.6090048691339709</v>
      </c>
      <c r="K26" s="6">
        <v>1.8</v>
      </c>
    </row>
    <row r="27" spans="2:11" x14ac:dyDescent="0.45">
      <c r="B27" s="96">
        <v>0.19470446643487566</v>
      </c>
      <c r="C27" s="8">
        <v>1.6060302554528956</v>
      </c>
    </row>
  </sheetData>
  <mergeCells count="3">
    <mergeCell ref="B4:C4"/>
    <mergeCell ref="B13:C13"/>
    <mergeCell ref="B20:C20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3A4BC-B75F-40AB-918E-E14B9F99A3EF}">
  <dimension ref="B1:AX98"/>
  <sheetViews>
    <sheetView topLeftCell="H30" zoomScale="62" zoomScaleNormal="100" workbookViewId="0">
      <selection activeCell="AF58" sqref="AF58"/>
    </sheetView>
  </sheetViews>
  <sheetFormatPr defaultColWidth="9" defaultRowHeight="14.25" x14ac:dyDescent="0.45"/>
  <cols>
    <col min="1" max="3" width="9" style="65"/>
    <col min="4" max="12" width="9" style="65" customWidth="1"/>
    <col min="13" max="13" width="10.33203125" style="65" customWidth="1"/>
    <col min="14" max="14" width="9" style="65"/>
    <col min="15" max="15" width="9" style="66"/>
    <col min="16" max="20" width="9" style="65" customWidth="1"/>
    <col min="21" max="21" width="1.9296875" style="65" customWidth="1"/>
    <col min="22" max="28" width="9" style="65" customWidth="1"/>
    <col min="29" max="29" width="12.1328125" style="65" customWidth="1"/>
    <col min="30" max="32" width="9" style="67" customWidth="1"/>
    <col min="33" max="38" width="9" style="65"/>
    <col min="39" max="39" width="10.1328125" style="65" customWidth="1"/>
    <col min="40" max="45" width="9" style="65"/>
    <col min="46" max="47" width="9" style="67"/>
    <col min="48" max="48" width="9" style="65"/>
    <col min="49" max="49" width="9.796875" style="65" customWidth="1"/>
    <col min="50" max="16384" width="9" style="65"/>
  </cols>
  <sheetData>
    <row r="1" spans="2:47" ht="14.65" hidden="1" thickBot="1" x14ac:dyDescent="0.5"/>
    <row r="2" spans="2:47" ht="14.65" hidden="1" thickBot="1" x14ac:dyDescent="0.5">
      <c r="B2" s="148" t="s">
        <v>52</v>
      </c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149"/>
      <c r="AD2" s="149"/>
      <c r="AE2" s="149"/>
      <c r="AF2" s="149"/>
      <c r="AG2" s="149"/>
      <c r="AH2" s="149"/>
      <c r="AI2" s="149"/>
      <c r="AJ2" s="149"/>
      <c r="AK2" s="149"/>
      <c r="AL2" s="149"/>
      <c r="AM2" s="149"/>
      <c r="AN2" s="149"/>
      <c r="AO2" s="149"/>
      <c r="AP2" s="149"/>
      <c r="AQ2" s="149"/>
      <c r="AR2" s="149"/>
      <c r="AS2" s="149"/>
      <c r="AT2" s="150"/>
      <c r="AU2" s="95"/>
    </row>
    <row r="3" spans="2:47" ht="14.65" hidden="1" thickBot="1" x14ac:dyDescent="0.5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</row>
    <row r="4" spans="2:47" ht="16.149999999999999" hidden="1" thickBot="1" x14ac:dyDescent="0.55000000000000004">
      <c r="B4" s="145" t="s">
        <v>53</v>
      </c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7"/>
      <c r="N4" s="6"/>
      <c r="O4" s="145" t="s">
        <v>54</v>
      </c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  <c r="AB4" s="146"/>
      <c r="AC4" s="146"/>
      <c r="AD4" s="147"/>
      <c r="AE4" s="91"/>
      <c r="AF4" s="91"/>
      <c r="AG4" s="6"/>
      <c r="AH4" s="145" t="s">
        <v>55</v>
      </c>
      <c r="AI4" s="146"/>
      <c r="AJ4" s="146"/>
      <c r="AK4" s="146"/>
      <c r="AL4" s="146"/>
      <c r="AM4" s="146"/>
      <c r="AN4" s="146"/>
      <c r="AO4" s="146"/>
      <c r="AP4" s="146"/>
      <c r="AQ4" s="146"/>
      <c r="AR4" s="146"/>
      <c r="AS4" s="146"/>
      <c r="AT4" s="147"/>
      <c r="AU4" s="91"/>
    </row>
    <row r="5" spans="2:47" ht="16.149999999999999" hidden="1" thickBot="1" x14ac:dyDescent="0.55000000000000004">
      <c r="B5" s="68" t="s">
        <v>56</v>
      </c>
      <c r="C5" s="68" t="s">
        <v>57</v>
      </c>
      <c r="D5" s="68" t="s">
        <v>58</v>
      </c>
      <c r="E5" s="68" t="s">
        <v>59</v>
      </c>
      <c r="F5" s="69" t="s">
        <v>60</v>
      </c>
      <c r="G5" s="68" t="s">
        <v>61</v>
      </c>
      <c r="H5" s="69" t="s">
        <v>62</v>
      </c>
      <c r="I5" s="68" t="s">
        <v>63</v>
      </c>
      <c r="J5" s="69" t="s">
        <v>64</v>
      </c>
      <c r="K5" s="68" t="s">
        <v>65</v>
      </c>
      <c r="L5" s="69" t="s">
        <v>66</v>
      </c>
      <c r="M5" s="69" t="s">
        <v>67</v>
      </c>
      <c r="N5" s="6"/>
      <c r="O5" s="68" t="s">
        <v>29</v>
      </c>
      <c r="P5" s="68" t="s">
        <v>68</v>
      </c>
      <c r="Q5" s="68" t="s">
        <v>69</v>
      </c>
      <c r="R5" s="68" t="s">
        <v>70</v>
      </c>
      <c r="S5" s="68" t="s">
        <v>71</v>
      </c>
      <c r="T5" s="68" t="s">
        <v>72</v>
      </c>
      <c r="U5" s="68"/>
      <c r="V5" s="68"/>
      <c r="W5" s="68"/>
      <c r="X5" s="68"/>
      <c r="Y5" s="68"/>
      <c r="Z5" s="68"/>
      <c r="AA5" s="68"/>
      <c r="AB5" s="69" t="s">
        <v>73</v>
      </c>
      <c r="AC5" s="90"/>
      <c r="AD5" s="70" t="s">
        <v>6</v>
      </c>
      <c r="AE5" s="92"/>
      <c r="AF5" s="92"/>
      <c r="AG5" s="6"/>
      <c r="AH5" s="69" t="s">
        <v>74</v>
      </c>
      <c r="AI5" s="69" t="s">
        <v>75</v>
      </c>
      <c r="AJ5" s="69" t="s">
        <v>76</v>
      </c>
      <c r="AK5" s="69" t="s">
        <v>77</v>
      </c>
      <c r="AL5" s="69" t="s">
        <v>78</v>
      </c>
      <c r="AM5" s="69" t="s">
        <v>79</v>
      </c>
      <c r="AN5" s="69" t="s">
        <v>80</v>
      </c>
      <c r="AO5" s="69" t="s">
        <v>81</v>
      </c>
      <c r="AP5" s="69" t="s">
        <v>82</v>
      </c>
      <c r="AQ5" s="69" t="s">
        <v>83</v>
      </c>
      <c r="AR5" s="69" t="s">
        <v>84</v>
      </c>
      <c r="AS5" s="69"/>
      <c r="AT5" s="71" t="s">
        <v>6</v>
      </c>
      <c r="AU5" s="92"/>
    </row>
    <row r="6" spans="2:47" ht="16.149999999999999" hidden="1" thickBot="1" x14ac:dyDescent="0.55000000000000004">
      <c r="B6" s="72" t="s">
        <v>85</v>
      </c>
      <c r="C6" s="72" t="s">
        <v>86</v>
      </c>
      <c r="D6" s="72" t="s">
        <v>87</v>
      </c>
      <c r="E6" s="72" t="s">
        <v>87</v>
      </c>
      <c r="F6" s="73" t="s">
        <v>88</v>
      </c>
      <c r="G6" s="72" t="s">
        <v>89</v>
      </c>
      <c r="H6" s="74" t="s">
        <v>90</v>
      </c>
      <c r="I6" s="73" t="s">
        <v>91</v>
      </c>
      <c r="J6" s="74" t="s">
        <v>90</v>
      </c>
      <c r="K6" s="73" t="s">
        <v>85</v>
      </c>
      <c r="L6" s="73" t="s">
        <v>85</v>
      </c>
      <c r="M6" s="73" t="s">
        <v>91</v>
      </c>
      <c r="N6" s="6"/>
      <c r="O6" s="72" t="s">
        <v>85</v>
      </c>
      <c r="P6" s="72" t="s">
        <v>92</v>
      </c>
      <c r="Q6" s="72" t="s">
        <v>92</v>
      </c>
      <c r="R6" s="72" t="s">
        <v>92</v>
      </c>
      <c r="S6" s="72" t="s">
        <v>92</v>
      </c>
      <c r="T6" s="72" t="s">
        <v>92</v>
      </c>
      <c r="U6" s="72"/>
      <c r="V6" s="72"/>
      <c r="W6" s="72"/>
      <c r="X6" s="72"/>
      <c r="Y6" s="72"/>
      <c r="Z6" s="72"/>
      <c r="AA6" s="72"/>
      <c r="AB6" s="72" t="s">
        <v>92</v>
      </c>
      <c r="AC6" s="72"/>
      <c r="AD6" s="75" t="s">
        <v>17</v>
      </c>
      <c r="AE6" s="93"/>
      <c r="AF6" s="93"/>
      <c r="AG6" s="6"/>
      <c r="AH6" s="72" t="s">
        <v>93</v>
      </c>
      <c r="AI6" s="72" t="s">
        <v>93</v>
      </c>
      <c r="AJ6" s="72" t="s">
        <v>93</v>
      </c>
      <c r="AK6" s="72" t="s">
        <v>93</v>
      </c>
      <c r="AL6" s="72" t="s">
        <v>93</v>
      </c>
      <c r="AM6" s="72" t="s">
        <v>93</v>
      </c>
      <c r="AN6" s="74" t="s">
        <v>17</v>
      </c>
      <c r="AO6" s="74" t="s">
        <v>17</v>
      </c>
      <c r="AP6" s="74" t="s">
        <v>17</v>
      </c>
      <c r="AQ6" s="74" t="s">
        <v>17</v>
      </c>
      <c r="AR6" s="74" t="s">
        <v>17</v>
      </c>
      <c r="AS6" s="74"/>
      <c r="AT6" s="75" t="s">
        <v>17</v>
      </c>
      <c r="AU6" s="93"/>
    </row>
    <row r="7" spans="2:47" ht="14.65" hidden="1" thickBot="1" x14ac:dyDescent="0.5">
      <c r="B7" s="9" t="s">
        <v>94</v>
      </c>
      <c r="C7" s="9">
        <v>25</v>
      </c>
      <c r="D7" s="9">
        <v>116.5</v>
      </c>
      <c r="E7" s="76">
        <v>102</v>
      </c>
      <c r="F7" s="77">
        <f>(D7/10)*(PI()/4)*((E7/10)^2)</f>
        <v>951.95441031649148</v>
      </c>
      <c r="G7" s="9">
        <v>1931.1999999999998</v>
      </c>
      <c r="H7" s="77">
        <f t="shared" ref="H7:H13" si="0">G7/F7</f>
        <v>2.0286685781075833</v>
      </c>
      <c r="I7" s="78">
        <v>0.13873393160320133</v>
      </c>
      <c r="J7" s="77">
        <f t="shared" ref="J7:J13" si="1">H7/(1+I7)</f>
        <v>1.7815123636927728</v>
      </c>
      <c r="K7" s="79">
        <v>2.5</v>
      </c>
      <c r="L7" s="76">
        <f t="shared" ref="L7:L13" si="2">K7/J7-1</f>
        <v>0.40330207690387532</v>
      </c>
      <c r="M7" s="78">
        <f t="shared" ref="M7:M13" si="3">I7*(K7/L7)</f>
        <v>0.85998770864418173</v>
      </c>
      <c r="N7" s="6"/>
      <c r="O7" s="9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0"/>
      <c r="AE7" s="94"/>
      <c r="AF7" s="94"/>
      <c r="AG7" s="6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0"/>
      <c r="AU7" s="94"/>
    </row>
    <row r="8" spans="2:47" ht="14.65" hidden="1" thickBot="1" x14ac:dyDescent="0.5">
      <c r="B8" s="9" t="s">
        <v>95</v>
      </c>
      <c r="C8" s="9">
        <v>25</v>
      </c>
      <c r="D8" s="9">
        <v>117.7</v>
      </c>
      <c r="E8" s="76">
        <v>101.8</v>
      </c>
      <c r="F8" s="77">
        <f t="shared" ref="F8:F13" si="4">(D8/10)*(PI()/4)*((E8/10)^2)</f>
        <v>957.99203931708848</v>
      </c>
      <c r="G8" s="9">
        <v>1925</v>
      </c>
      <c r="H8" s="77">
        <f t="shared" si="0"/>
        <v>2.0094112696095574</v>
      </c>
      <c r="I8" s="78">
        <v>0.16541570438799089</v>
      </c>
      <c r="J8" s="77">
        <f t="shared" si="1"/>
        <v>1.7242012974801848</v>
      </c>
      <c r="K8" s="79">
        <v>2.5</v>
      </c>
      <c r="L8" s="76">
        <f t="shared" si="2"/>
        <v>0.44994671077767867</v>
      </c>
      <c r="M8" s="78">
        <f t="shared" si="3"/>
        <v>0.91908497398552924</v>
      </c>
      <c r="N8" s="6"/>
      <c r="O8" s="9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0"/>
      <c r="AE8" s="94"/>
      <c r="AF8" s="94"/>
      <c r="AG8" s="6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0"/>
      <c r="AU8" s="94"/>
    </row>
    <row r="9" spans="2:47" ht="14.65" hidden="1" thickBot="1" x14ac:dyDescent="0.5">
      <c r="B9" s="9" t="s">
        <v>96</v>
      </c>
      <c r="C9" s="9">
        <v>25</v>
      </c>
      <c r="D9" s="9">
        <v>116.9</v>
      </c>
      <c r="E9" s="76">
        <v>101.1</v>
      </c>
      <c r="F9" s="77">
        <f t="shared" si="4"/>
        <v>938.44041676268716</v>
      </c>
      <c r="G9" s="9">
        <v>1837</v>
      </c>
      <c r="H9" s="77">
        <f t="shared" si="0"/>
        <v>1.9575030733832306</v>
      </c>
      <c r="I9" s="78">
        <v>0.18396770472895047</v>
      </c>
      <c r="J9" s="77">
        <f t="shared" si="1"/>
        <v>1.6533416119077065</v>
      </c>
      <c r="K9" s="79">
        <v>2.5</v>
      </c>
      <c r="L9" s="76">
        <f t="shared" si="2"/>
        <v>0.51208920285710202</v>
      </c>
      <c r="M9" s="78">
        <f t="shared" si="3"/>
        <v>0.89812333331057592</v>
      </c>
      <c r="N9" s="6"/>
      <c r="O9" s="9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0"/>
      <c r="AE9" s="94"/>
      <c r="AF9" s="94"/>
      <c r="AG9" s="6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0"/>
      <c r="AU9" s="94"/>
    </row>
    <row r="10" spans="2:47" ht="14.65" hidden="1" thickBot="1" x14ac:dyDescent="0.5">
      <c r="B10" s="9" t="s">
        <v>97</v>
      </c>
      <c r="C10" s="9">
        <v>25</v>
      </c>
      <c r="D10" s="76">
        <f>AVERAGE(D9,D12)</f>
        <v>116.69</v>
      </c>
      <c r="E10" s="76">
        <v>102.2</v>
      </c>
      <c r="F10" s="77">
        <f t="shared" si="4"/>
        <v>957.24986287126012</v>
      </c>
      <c r="G10" s="9">
        <v>1795.5</v>
      </c>
      <c r="H10" s="77">
        <f t="shared" si="0"/>
        <v>1.8756858262840781</v>
      </c>
      <c r="I10" s="78">
        <v>0.10371452420701166</v>
      </c>
      <c r="J10" s="77">
        <f t="shared" si="1"/>
        <v>1.6994302286922485</v>
      </c>
      <c r="K10" s="79">
        <v>2.5</v>
      </c>
      <c r="L10" s="76">
        <f t="shared" si="2"/>
        <v>0.47108128229766089</v>
      </c>
      <c r="M10" s="78">
        <f t="shared" si="3"/>
        <v>0.55040673501795945</v>
      </c>
      <c r="N10" s="6"/>
      <c r="O10" s="9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0"/>
      <c r="AE10" s="94"/>
      <c r="AF10" s="94"/>
      <c r="AG10" s="6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0"/>
      <c r="AU10" s="94"/>
    </row>
    <row r="11" spans="2:47" ht="14.65" hidden="1" thickBot="1" x14ac:dyDescent="0.5">
      <c r="B11" s="9" t="s">
        <v>98</v>
      </c>
      <c r="C11" s="9">
        <v>25</v>
      </c>
      <c r="D11" s="76">
        <v>118.3</v>
      </c>
      <c r="E11" s="76">
        <v>101.5</v>
      </c>
      <c r="F11" s="77">
        <f t="shared" si="4"/>
        <v>957.20886147429917</v>
      </c>
      <c r="G11" s="9">
        <v>1943.5</v>
      </c>
      <c r="H11" s="77">
        <f t="shared" si="0"/>
        <v>2.0303823734003141</v>
      </c>
      <c r="I11" s="78">
        <v>0.15280665280665287</v>
      </c>
      <c r="J11" s="77">
        <f t="shared" si="1"/>
        <v>1.7612514366195688</v>
      </c>
      <c r="K11" s="79">
        <v>2.5</v>
      </c>
      <c r="L11" s="76">
        <f t="shared" si="2"/>
        <v>0.41944525808213795</v>
      </c>
      <c r="M11" s="78">
        <f t="shared" si="3"/>
        <v>0.91076636260797528</v>
      </c>
      <c r="N11" s="6"/>
      <c r="O11" s="9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0"/>
      <c r="AE11" s="94"/>
      <c r="AF11" s="94"/>
      <c r="AG11" s="6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0"/>
      <c r="AU11" s="94"/>
    </row>
    <row r="12" spans="2:47" ht="14.65" hidden="1" thickBot="1" x14ac:dyDescent="0.5">
      <c r="B12" s="9" t="s">
        <v>99</v>
      </c>
      <c r="C12" s="9">
        <v>25</v>
      </c>
      <c r="D12" s="76">
        <v>116.48</v>
      </c>
      <c r="E12" s="76">
        <v>101.8</v>
      </c>
      <c r="F12" s="77">
        <f t="shared" si="4"/>
        <v>948.06213032841515</v>
      </c>
      <c r="G12" s="9">
        <v>1888.5</v>
      </c>
      <c r="H12" s="77">
        <f t="shared" si="0"/>
        <v>1.9919580580080873</v>
      </c>
      <c r="I12" s="78">
        <v>0.17336268574573463</v>
      </c>
      <c r="J12" s="77">
        <f t="shared" si="1"/>
        <v>1.697649057880251</v>
      </c>
      <c r="K12" s="79">
        <v>2.5</v>
      </c>
      <c r="L12" s="76">
        <f t="shared" si="2"/>
        <v>0.47262473854378051</v>
      </c>
      <c r="M12" s="78">
        <f t="shared" si="3"/>
        <v>0.91702079687940186</v>
      </c>
      <c r="N12" s="6"/>
      <c r="O12" s="9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0"/>
      <c r="AE12" s="94"/>
      <c r="AF12" s="94"/>
      <c r="AG12" s="6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0"/>
      <c r="AU12" s="94"/>
    </row>
    <row r="13" spans="2:47" ht="14.65" hidden="1" thickBot="1" x14ac:dyDescent="0.5">
      <c r="B13" s="9" t="s">
        <v>100</v>
      </c>
      <c r="C13" s="9">
        <v>25</v>
      </c>
      <c r="D13" s="76">
        <v>115.88</v>
      </c>
      <c r="E13" s="76">
        <v>101.5</v>
      </c>
      <c r="F13" s="77">
        <f t="shared" si="4"/>
        <v>937.62775036045457</v>
      </c>
      <c r="G13" s="9">
        <v>1918.5</v>
      </c>
      <c r="H13" s="77">
        <f t="shared" si="0"/>
        <v>2.0461211811003528</v>
      </c>
      <c r="I13" s="78">
        <v>0.19547775346462432</v>
      </c>
      <c r="J13" s="77">
        <f t="shared" si="1"/>
        <v>1.7115510306824793</v>
      </c>
      <c r="K13" s="79">
        <v>2.5</v>
      </c>
      <c r="L13" s="76">
        <f t="shared" si="2"/>
        <v>0.46066343052776371</v>
      </c>
      <c r="M13" s="78">
        <f t="shared" si="3"/>
        <v>1.0608490956221186</v>
      </c>
      <c r="N13" s="6"/>
      <c r="O13" s="9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0"/>
      <c r="AE13" s="94"/>
      <c r="AF13" s="94"/>
      <c r="AG13" s="6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0"/>
      <c r="AU13" s="94"/>
    </row>
    <row r="14" spans="2:47" ht="14.65" hidden="1" thickBot="1" x14ac:dyDescent="0.5"/>
    <row r="15" spans="2:47" ht="14.65" hidden="1" thickBot="1" x14ac:dyDescent="0.5">
      <c r="B15" s="148" t="s">
        <v>101</v>
      </c>
      <c r="C15" s="149"/>
      <c r="D15" s="149"/>
      <c r="E15" s="149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149"/>
      <c r="AS15" s="149"/>
      <c r="AT15" s="150"/>
      <c r="AU15" s="95"/>
    </row>
    <row r="16" spans="2:47" ht="14.65" hidden="1" thickBot="1" x14ac:dyDescent="0.5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7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</row>
    <row r="17" spans="2:50" ht="16.149999999999999" hidden="1" thickBot="1" x14ac:dyDescent="0.55000000000000004">
      <c r="B17" s="145" t="s">
        <v>53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7"/>
      <c r="N17" s="6"/>
      <c r="O17" s="145" t="s">
        <v>54</v>
      </c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7"/>
      <c r="AE17" s="91"/>
      <c r="AF17" s="91"/>
      <c r="AG17" s="6"/>
      <c r="AH17" s="145" t="s">
        <v>55</v>
      </c>
      <c r="AI17" s="146"/>
      <c r="AJ17" s="146"/>
      <c r="AK17" s="146"/>
      <c r="AL17" s="146"/>
      <c r="AM17" s="146"/>
      <c r="AN17" s="146"/>
      <c r="AO17" s="146"/>
      <c r="AP17" s="146"/>
      <c r="AQ17" s="146"/>
      <c r="AR17" s="146"/>
      <c r="AS17" s="146"/>
      <c r="AT17" s="147"/>
      <c r="AU17" s="91"/>
    </row>
    <row r="18" spans="2:50" ht="16.149999999999999" hidden="1" thickBot="1" x14ac:dyDescent="0.55000000000000004">
      <c r="B18" s="68" t="s">
        <v>56</v>
      </c>
      <c r="C18" s="68" t="s">
        <v>57</v>
      </c>
      <c r="D18" s="68" t="s">
        <v>58</v>
      </c>
      <c r="E18" s="68" t="s">
        <v>59</v>
      </c>
      <c r="F18" s="69" t="s">
        <v>60</v>
      </c>
      <c r="G18" s="68" t="s">
        <v>61</v>
      </c>
      <c r="H18" s="69" t="s">
        <v>62</v>
      </c>
      <c r="I18" s="68" t="s">
        <v>63</v>
      </c>
      <c r="J18" s="69" t="s">
        <v>64</v>
      </c>
      <c r="K18" s="68" t="s">
        <v>65</v>
      </c>
      <c r="L18" s="69" t="s">
        <v>66</v>
      </c>
      <c r="M18" s="69" t="s">
        <v>67</v>
      </c>
      <c r="N18" s="6"/>
      <c r="O18" s="68" t="s">
        <v>29</v>
      </c>
      <c r="P18" s="68" t="s">
        <v>68</v>
      </c>
      <c r="Q18" s="68" t="s">
        <v>69</v>
      </c>
      <c r="R18" s="68" t="s">
        <v>70</v>
      </c>
      <c r="S18" s="68" t="s">
        <v>71</v>
      </c>
      <c r="T18" s="68" t="s">
        <v>72</v>
      </c>
      <c r="U18" s="68"/>
      <c r="V18" s="68"/>
      <c r="W18" s="68"/>
      <c r="X18" s="68"/>
      <c r="Y18" s="68"/>
      <c r="Z18" s="68"/>
      <c r="AA18" s="68"/>
      <c r="AB18" s="69" t="s">
        <v>73</v>
      </c>
      <c r="AC18" s="90"/>
      <c r="AD18" s="70" t="s">
        <v>6</v>
      </c>
      <c r="AE18" s="92"/>
      <c r="AF18" s="92"/>
      <c r="AG18" s="6"/>
      <c r="AH18" s="68" t="s">
        <v>74</v>
      </c>
      <c r="AI18" s="68" t="s">
        <v>75</v>
      </c>
      <c r="AJ18" s="68" t="s">
        <v>76</v>
      </c>
      <c r="AK18" s="68" t="s">
        <v>77</v>
      </c>
      <c r="AL18" s="68" t="s">
        <v>78</v>
      </c>
      <c r="AM18" s="69" t="s">
        <v>79</v>
      </c>
      <c r="AN18" s="68" t="s">
        <v>80</v>
      </c>
      <c r="AO18" s="68" t="s">
        <v>81</v>
      </c>
      <c r="AP18" s="68" t="s">
        <v>82</v>
      </c>
      <c r="AQ18" s="68" t="s">
        <v>83</v>
      </c>
      <c r="AR18" s="68" t="s">
        <v>84</v>
      </c>
      <c r="AS18" s="68"/>
      <c r="AT18" s="71" t="s">
        <v>6</v>
      </c>
      <c r="AU18" s="92"/>
    </row>
    <row r="19" spans="2:50" ht="16.149999999999999" hidden="1" thickBot="1" x14ac:dyDescent="0.55000000000000004">
      <c r="B19" s="72" t="s">
        <v>85</v>
      </c>
      <c r="C19" s="72" t="s">
        <v>86</v>
      </c>
      <c r="D19" s="72" t="s">
        <v>87</v>
      </c>
      <c r="E19" s="72" t="s">
        <v>87</v>
      </c>
      <c r="F19" s="73" t="s">
        <v>88</v>
      </c>
      <c r="G19" s="72" t="s">
        <v>89</v>
      </c>
      <c r="H19" s="74" t="s">
        <v>90</v>
      </c>
      <c r="I19" s="73" t="s">
        <v>91</v>
      </c>
      <c r="J19" s="74" t="s">
        <v>90</v>
      </c>
      <c r="K19" s="73" t="s">
        <v>85</v>
      </c>
      <c r="L19" s="73" t="s">
        <v>85</v>
      </c>
      <c r="M19" s="73" t="s">
        <v>91</v>
      </c>
      <c r="N19" s="6"/>
      <c r="O19" s="72" t="s">
        <v>85</v>
      </c>
      <c r="P19" s="72" t="s">
        <v>92</v>
      </c>
      <c r="Q19" s="72" t="s">
        <v>92</v>
      </c>
      <c r="R19" s="72" t="s">
        <v>92</v>
      </c>
      <c r="S19" s="72" t="s">
        <v>92</v>
      </c>
      <c r="T19" s="72" t="s">
        <v>92</v>
      </c>
      <c r="U19" s="72"/>
      <c r="V19" s="72"/>
      <c r="W19" s="72"/>
      <c r="X19" s="72"/>
      <c r="Y19" s="72"/>
      <c r="Z19" s="72"/>
      <c r="AA19" s="72"/>
      <c r="AB19" s="72" t="s">
        <v>92</v>
      </c>
      <c r="AC19" s="72"/>
      <c r="AD19" s="75" t="s">
        <v>17</v>
      </c>
      <c r="AE19" s="93"/>
      <c r="AF19" s="93"/>
      <c r="AG19" s="6"/>
      <c r="AH19" s="72" t="s">
        <v>93</v>
      </c>
      <c r="AI19" s="72" t="s">
        <v>93</v>
      </c>
      <c r="AJ19" s="72" t="s">
        <v>93</v>
      </c>
      <c r="AK19" s="72" t="s">
        <v>93</v>
      </c>
      <c r="AL19" s="72" t="s">
        <v>93</v>
      </c>
      <c r="AM19" s="72" t="s">
        <v>93</v>
      </c>
      <c r="AN19" s="74" t="s">
        <v>17</v>
      </c>
      <c r="AO19" s="74" t="s">
        <v>17</v>
      </c>
      <c r="AP19" s="74" t="s">
        <v>17</v>
      </c>
      <c r="AQ19" s="74" t="s">
        <v>17</v>
      </c>
      <c r="AR19" s="74" t="s">
        <v>17</v>
      </c>
      <c r="AS19" s="74"/>
      <c r="AT19" s="75" t="s">
        <v>17</v>
      </c>
      <c r="AU19" s="93"/>
    </row>
    <row r="20" spans="2:50" ht="14.65" hidden="1" thickBot="1" x14ac:dyDescent="0.5">
      <c r="B20" s="9" t="s">
        <v>94</v>
      </c>
      <c r="C20" s="9">
        <v>25</v>
      </c>
      <c r="D20" s="76">
        <v>116.6</v>
      </c>
      <c r="E20" s="76">
        <v>102.7</v>
      </c>
      <c r="F20" s="77">
        <f>(D20/10)*(PI()/4)*((E20/10)^2)</f>
        <v>965.8936679160438</v>
      </c>
      <c r="G20" s="76">
        <v>1886.25</v>
      </c>
      <c r="H20" s="77">
        <f t="shared" ref="H20:H28" si="5">G20/F20</f>
        <v>1.9528547112951509</v>
      </c>
      <c r="I20" s="78">
        <v>0.20908379013312436</v>
      </c>
      <c r="J20" s="77">
        <f t="shared" ref="J20:J28" si="6">H20/(1+I20)</f>
        <v>1.6151525040957952</v>
      </c>
      <c r="K20" s="79">
        <v>2.5</v>
      </c>
      <c r="L20" s="76">
        <f t="shared" ref="L20:L28" si="7">K20/J20-1</f>
        <v>0.5478414537700671</v>
      </c>
      <c r="M20" s="78">
        <f t="shared" ref="M20:M28" si="8">I20*(K20/L20)</f>
        <v>0.95412545315016584</v>
      </c>
      <c r="N20" s="6"/>
      <c r="O20" s="9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0"/>
      <c r="AE20" s="94"/>
      <c r="AF20" s="94"/>
      <c r="AG20" s="6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0"/>
      <c r="AU20" s="94"/>
    </row>
    <row r="21" spans="2:50" ht="14.65" hidden="1" thickBot="1" x14ac:dyDescent="0.5">
      <c r="B21" s="9" t="s">
        <v>95</v>
      </c>
      <c r="C21" s="9">
        <v>25</v>
      </c>
      <c r="D21" s="76">
        <v>117.7</v>
      </c>
      <c r="E21" s="76">
        <v>101.9</v>
      </c>
      <c r="F21" s="77">
        <f t="shared" ref="F21:F28" si="9">(D21/10)*(PI()/4)*((E21/10)^2)</f>
        <v>959.87506989834424</v>
      </c>
      <c r="G21" s="76">
        <v>1876.16</v>
      </c>
      <c r="H21" s="77">
        <f t="shared" si="5"/>
        <v>1.954587694624359</v>
      </c>
      <c r="I21" s="78">
        <v>0.17261904761904748</v>
      </c>
      <c r="J21" s="77">
        <f t="shared" si="6"/>
        <v>1.6668565111517379</v>
      </c>
      <c r="K21" s="79">
        <v>2.5</v>
      </c>
      <c r="L21" s="76">
        <f t="shared" si="7"/>
        <v>0.49982915942332062</v>
      </c>
      <c r="M21" s="78">
        <f t="shared" si="8"/>
        <v>0.86339024226901462</v>
      </c>
      <c r="N21" s="6"/>
      <c r="O21" s="9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0"/>
      <c r="AE21" s="94"/>
      <c r="AF21" s="94"/>
      <c r="AG21" s="6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0"/>
      <c r="AU21" s="94"/>
    </row>
    <row r="22" spans="2:50" ht="14.65" hidden="1" thickBot="1" x14ac:dyDescent="0.5">
      <c r="B22" s="9" t="s">
        <v>96</v>
      </c>
      <c r="C22" s="9">
        <v>25</v>
      </c>
      <c r="D22" s="76">
        <v>116.3</v>
      </c>
      <c r="E22" s="76">
        <v>101.2</v>
      </c>
      <c r="F22" s="77">
        <f t="shared" si="9"/>
        <v>935.47162976920254</v>
      </c>
      <c r="G22" s="76">
        <v>1771.46</v>
      </c>
      <c r="H22" s="77">
        <f t="shared" si="5"/>
        <v>1.8936544344343726</v>
      </c>
      <c r="I22" s="78">
        <v>0.15281757402101256</v>
      </c>
      <c r="J22" s="77">
        <f t="shared" si="6"/>
        <v>1.6426314770942734</v>
      </c>
      <c r="K22" s="79">
        <v>2.5</v>
      </c>
      <c r="L22" s="76">
        <f t="shared" si="7"/>
        <v>0.52194818792975117</v>
      </c>
      <c r="M22" s="78">
        <f t="shared" si="8"/>
        <v>0.73195758484738827</v>
      </c>
      <c r="N22" s="6"/>
      <c r="O22" s="9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0"/>
      <c r="AE22" s="94"/>
      <c r="AF22" s="94"/>
      <c r="AG22" s="6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0"/>
      <c r="AU22" s="94"/>
    </row>
    <row r="23" spans="2:50" ht="14.65" hidden="1" thickBot="1" x14ac:dyDescent="0.5">
      <c r="B23" s="9" t="s">
        <v>97</v>
      </c>
      <c r="C23" s="9">
        <v>25</v>
      </c>
      <c r="D23" s="76">
        <v>119</v>
      </c>
      <c r="E23" s="76">
        <v>102</v>
      </c>
      <c r="F23" s="77">
        <f t="shared" si="9"/>
        <v>972.38261654645908</v>
      </c>
      <c r="G23" s="76">
        <v>1591.26</v>
      </c>
      <c r="H23" s="77">
        <f t="shared" si="5"/>
        <v>1.6364545940275679</v>
      </c>
      <c r="I23" s="78">
        <v>9.8525989138867301E-2</v>
      </c>
      <c r="J23" s="77">
        <f t="shared" si="6"/>
        <v>1.4896821834050389</v>
      </c>
      <c r="K23" s="79">
        <v>2.5</v>
      </c>
      <c r="L23" s="76">
        <f t="shared" si="7"/>
        <v>0.67821031079637972</v>
      </c>
      <c r="M23" s="78">
        <f t="shared" si="8"/>
        <v>0.36318376309840539</v>
      </c>
      <c r="N23" s="6"/>
      <c r="O23" s="9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0"/>
      <c r="AE23" s="94"/>
      <c r="AF23" s="94"/>
      <c r="AG23" s="6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0"/>
      <c r="AU23" s="94"/>
    </row>
    <row r="24" spans="2:50" ht="14.65" hidden="1" thickBot="1" x14ac:dyDescent="0.5">
      <c r="B24" s="9" t="s">
        <v>94</v>
      </c>
      <c r="C24" s="9">
        <v>56</v>
      </c>
      <c r="D24" s="76">
        <v>119.6</v>
      </c>
      <c r="E24" s="76">
        <v>101.8</v>
      </c>
      <c r="F24" s="77">
        <f t="shared" si="9"/>
        <v>973.45665167649759</v>
      </c>
      <c r="G24" s="76">
        <v>1936.8</v>
      </c>
      <c r="H24" s="77">
        <f t="shared" si="5"/>
        <v>1.9896109361052925</v>
      </c>
      <c r="I24" s="78">
        <v>0.17013766325450055</v>
      </c>
      <c r="J24" s="77">
        <f t="shared" si="6"/>
        <v>1.7003221061798772</v>
      </c>
      <c r="K24" s="79">
        <v>2.5</v>
      </c>
      <c r="L24" s="76">
        <f t="shared" si="7"/>
        <v>0.47030964951503407</v>
      </c>
      <c r="M24" s="78">
        <f t="shared" si="8"/>
        <v>0.90439173122399374</v>
      </c>
      <c r="N24" s="6"/>
      <c r="O24" s="9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0"/>
      <c r="AE24" s="94"/>
      <c r="AF24" s="94"/>
      <c r="AG24" s="6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0"/>
      <c r="AU24" s="94"/>
    </row>
    <row r="25" spans="2:50" ht="14.65" hidden="1" thickBot="1" x14ac:dyDescent="0.5">
      <c r="B25" s="9" t="s">
        <v>95</v>
      </c>
      <c r="C25" s="9">
        <v>56</v>
      </c>
      <c r="D25" s="76">
        <v>118</v>
      </c>
      <c r="E25" s="76">
        <v>102.3</v>
      </c>
      <c r="F25" s="77">
        <f t="shared" si="9"/>
        <v>969.89150635975852</v>
      </c>
      <c r="G25" s="76">
        <v>1740.16</v>
      </c>
      <c r="H25" s="77">
        <f t="shared" si="5"/>
        <v>1.7941800588926164</v>
      </c>
      <c r="I25" s="78">
        <v>0.11027138440398492</v>
      </c>
      <c r="J25" s="77">
        <f t="shared" si="6"/>
        <v>1.6159833389345317</v>
      </c>
      <c r="K25" s="79">
        <v>2.5</v>
      </c>
      <c r="L25" s="76">
        <f t="shared" si="7"/>
        <v>0.54704565311194853</v>
      </c>
      <c r="M25" s="78">
        <f t="shared" si="8"/>
        <v>0.50394050193384299</v>
      </c>
      <c r="N25" s="6"/>
      <c r="O25" s="9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0"/>
      <c r="AE25" s="94"/>
      <c r="AF25" s="94"/>
      <c r="AG25" s="6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0"/>
      <c r="AU25" s="94"/>
    </row>
    <row r="26" spans="2:50" ht="14.65" hidden="1" thickBot="1" x14ac:dyDescent="0.5">
      <c r="B26" s="9" t="s">
        <v>96</v>
      </c>
      <c r="C26" s="9">
        <v>56</v>
      </c>
      <c r="D26" s="76">
        <v>116.8</v>
      </c>
      <c r="E26" s="76">
        <v>101.9</v>
      </c>
      <c r="F26" s="77">
        <f t="shared" si="9"/>
        <v>952.53532849725241</v>
      </c>
      <c r="G26" s="76">
        <v>1903.78</v>
      </c>
      <c r="H26" s="77">
        <f t="shared" si="5"/>
        <v>1.9986450297895606</v>
      </c>
      <c r="I26" s="78">
        <v>0.18211382113821126</v>
      </c>
      <c r="J26" s="77">
        <f t="shared" si="6"/>
        <v>1.6907382301521046</v>
      </c>
      <c r="K26" s="79">
        <v>2.5</v>
      </c>
      <c r="L26" s="76">
        <f t="shared" si="7"/>
        <v>0.47864403573289493</v>
      </c>
      <c r="M26" s="78">
        <f t="shared" si="8"/>
        <v>0.95119654452269742</v>
      </c>
      <c r="N26" s="6"/>
      <c r="O26" s="9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0"/>
      <c r="AE26" s="94"/>
      <c r="AF26" s="94"/>
      <c r="AG26" s="6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0"/>
      <c r="AU26" s="94"/>
    </row>
    <row r="27" spans="2:50" ht="14.65" hidden="1" thickBot="1" x14ac:dyDescent="0.5">
      <c r="B27" s="9" t="s">
        <v>97</v>
      </c>
      <c r="C27" s="9">
        <v>56</v>
      </c>
      <c r="D27" s="76">
        <v>118</v>
      </c>
      <c r="E27" s="76">
        <v>101.7</v>
      </c>
      <c r="F27" s="77">
        <f t="shared" si="9"/>
        <v>958.54784360617646</v>
      </c>
      <c r="G27" s="76">
        <v>1839.59</v>
      </c>
      <c r="H27" s="77">
        <f t="shared" si="5"/>
        <v>1.9191425991625344</v>
      </c>
      <c r="I27" s="78">
        <v>0.14310051107325358</v>
      </c>
      <c r="J27" s="77">
        <f t="shared" si="6"/>
        <v>1.6788922588798927</v>
      </c>
      <c r="K27" s="79">
        <v>2.5</v>
      </c>
      <c r="L27" s="76">
        <f t="shared" si="7"/>
        <v>0.48907709043100001</v>
      </c>
      <c r="M27" s="78">
        <f t="shared" si="8"/>
        <v>0.73148238730189763</v>
      </c>
      <c r="N27" s="6"/>
      <c r="O27" s="9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0"/>
      <c r="AE27" s="94"/>
      <c r="AF27" s="94"/>
      <c r="AG27" s="6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0"/>
      <c r="AU27" s="94"/>
    </row>
    <row r="28" spans="2:50" ht="14.65" hidden="1" thickBot="1" x14ac:dyDescent="0.5">
      <c r="B28" s="9" t="s">
        <v>98</v>
      </c>
      <c r="C28" s="9">
        <v>56</v>
      </c>
      <c r="D28" s="76">
        <v>117.8</v>
      </c>
      <c r="E28" s="76">
        <v>102</v>
      </c>
      <c r="F28" s="77">
        <f t="shared" si="9"/>
        <v>962.57707755607464</v>
      </c>
      <c r="G28" s="76">
        <v>1878.62</v>
      </c>
      <c r="H28" s="77">
        <f t="shared" si="5"/>
        <v>1.9516566972171239</v>
      </c>
      <c r="I28" s="78">
        <v>0.21071012805587891</v>
      </c>
      <c r="J28" s="77">
        <f t="shared" si="6"/>
        <v>1.6119933681822205</v>
      </c>
      <c r="K28" s="79">
        <v>2.5</v>
      </c>
      <c r="L28" s="76">
        <f t="shared" si="7"/>
        <v>0.55087486669945074</v>
      </c>
      <c r="M28" s="78">
        <f t="shared" si="8"/>
        <v>0.95625223073954146</v>
      </c>
      <c r="N28" s="6"/>
      <c r="O28" s="9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0"/>
      <c r="AE28" s="94"/>
      <c r="AF28" s="94"/>
      <c r="AG28" s="6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0"/>
      <c r="AU28" s="94"/>
    </row>
    <row r="29" spans="2:50" ht="14.65" hidden="1" thickBot="1" x14ac:dyDescent="0.5"/>
    <row r="30" spans="2:50" ht="14.65" thickBot="1" x14ac:dyDescent="0.5">
      <c r="B30" s="148" t="s">
        <v>102</v>
      </c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  <c r="AC30" s="149"/>
      <c r="AD30" s="149"/>
      <c r="AE30" s="149"/>
      <c r="AF30" s="149"/>
      <c r="AG30" s="149"/>
      <c r="AH30" s="149"/>
      <c r="AI30" s="149"/>
      <c r="AJ30" s="149"/>
      <c r="AK30" s="149"/>
      <c r="AL30" s="149"/>
      <c r="AM30" s="149"/>
      <c r="AN30" s="149"/>
      <c r="AO30" s="149"/>
      <c r="AP30" s="149"/>
      <c r="AQ30" s="149"/>
      <c r="AR30" s="149"/>
      <c r="AS30" s="149"/>
      <c r="AT30" s="150"/>
      <c r="AU30" s="95"/>
    </row>
    <row r="31" spans="2:50" ht="14.65" thickBot="1" x14ac:dyDescent="0.5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7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</row>
    <row r="32" spans="2:50" ht="16.149999999999999" thickBot="1" x14ac:dyDescent="0.55000000000000004">
      <c r="B32" s="145" t="s">
        <v>53</v>
      </c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47"/>
      <c r="N32" s="6"/>
      <c r="O32" s="145" t="s">
        <v>54</v>
      </c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  <c r="AC32" s="146"/>
      <c r="AD32" s="147"/>
      <c r="AE32" s="91"/>
      <c r="AF32" s="91"/>
      <c r="AG32" s="6"/>
      <c r="AH32" s="145" t="s">
        <v>55</v>
      </c>
      <c r="AI32" s="146"/>
      <c r="AJ32" s="146"/>
      <c r="AK32" s="146"/>
      <c r="AL32" s="146"/>
      <c r="AM32" s="146"/>
      <c r="AN32" s="146"/>
      <c r="AO32" s="146"/>
      <c r="AP32" s="146"/>
      <c r="AQ32" s="146"/>
      <c r="AR32" s="146"/>
      <c r="AS32" s="146"/>
      <c r="AT32" s="147"/>
      <c r="AU32" s="91"/>
      <c r="AW32" s="145" t="s">
        <v>103</v>
      </c>
      <c r="AX32" s="146"/>
    </row>
    <row r="33" spans="2:50" ht="15.75" x14ac:dyDescent="0.5">
      <c r="B33" s="68" t="s">
        <v>56</v>
      </c>
      <c r="C33" s="68" t="s">
        <v>57</v>
      </c>
      <c r="D33" s="68" t="s">
        <v>58</v>
      </c>
      <c r="E33" s="68" t="s">
        <v>59</v>
      </c>
      <c r="F33" s="69" t="s">
        <v>60</v>
      </c>
      <c r="G33" s="68" t="s">
        <v>61</v>
      </c>
      <c r="H33" s="69" t="s">
        <v>62</v>
      </c>
      <c r="I33" s="68" t="s">
        <v>63</v>
      </c>
      <c r="J33" s="69" t="s">
        <v>64</v>
      </c>
      <c r="K33" s="68" t="s">
        <v>65</v>
      </c>
      <c r="L33" s="69" t="s">
        <v>66</v>
      </c>
      <c r="M33" s="69" t="s">
        <v>67</v>
      </c>
      <c r="N33" s="6"/>
      <c r="O33" s="68" t="s">
        <v>29</v>
      </c>
      <c r="P33" s="68" t="s">
        <v>68</v>
      </c>
      <c r="Q33" s="68" t="s">
        <v>69</v>
      </c>
      <c r="R33" s="68" t="s">
        <v>70</v>
      </c>
      <c r="S33" s="68" t="s">
        <v>71</v>
      </c>
      <c r="T33" s="68" t="s">
        <v>72</v>
      </c>
      <c r="U33" s="68"/>
      <c r="V33" s="68" t="s">
        <v>80</v>
      </c>
      <c r="W33" s="68" t="s">
        <v>81</v>
      </c>
      <c r="X33" s="68" t="s">
        <v>82</v>
      </c>
      <c r="Y33" s="68" t="s">
        <v>83</v>
      </c>
      <c r="Z33" s="68" t="s">
        <v>84</v>
      </c>
      <c r="AA33" s="68" t="s">
        <v>152</v>
      </c>
      <c r="AB33" s="69" t="s">
        <v>73</v>
      </c>
      <c r="AC33" s="90" t="s">
        <v>127</v>
      </c>
      <c r="AD33" s="70" t="s">
        <v>6</v>
      </c>
      <c r="AE33" s="92" t="s">
        <v>129</v>
      </c>
      <c r="AF33" s="92" t="s">
        <v>128</v>
      </c>
      <c r="AG33" s="6"/>
      <c r="AH33" s="68" t="s">
        <v>74</v>
      </c>
      <c r="AI33" s="68" t="s">
        <v>75</v>
      </c>
      <c r="AJ33" s="68" t="s">
        <v>76</v>
      </c>
      <c r="AK33" s="68" t="s">
        <v>77</v>
      </c>
      <c r="AL33" s="68" t="s">
        <v>78</v>
      </c>
      <c r="AM33" s="69" t="s">
        <v>79</v>
      </c>
      <c r="AN33" s="68" t="s">
        <v>80</v>
      </c>
      <c r="AO33" s="68" t="s">
        <v>81</v>
      </c>
      <c r="AP33" s="68" t="s">
        <v>82</v>
      </c>
      <c r="AQ33" s="68" t="s">
        <v>83</v>
      </c>
      <c r="AR33" s="68" t="s">
        <v>84</v>
      </c>
      <c r="AS33" s="71" t="s">
        <v>6</v>
      </c>
      <c r="AT33" s="71" t="s">
        <v>6</v>
      </c>
      <c r="AU33" s="111" t="s">
        <v>128</v>
      </c>
      <c r="AW33" s="69" t="s">
        <v>104</v>
      </c>
      <c r="AX33" s="69" t="s">
        <v>105</v>
      </c>
    </row>
    <row r="34" spans="2:50" ht="15.75" x14ac:dyDescent="0.5">
      <c r="B34" s="72" t="s">
        <v>85</v>
      </c>
      <c r="C34" s="72" t="s">
        <v>86</v>
      </c>
      <c r="D34" s="72" t="s">
        <v>87</v>
      </c>
      <c r="E34" s="72" t="s">
        <v>87</v>
      </c>
      <c r="F34" s="73" t="s">
        <v>88</v>
      </c>
      <c r="G34" s="72" t="s">
        <v>89</v>
      </c>
      <c r="H34" s="74" t="s">
        <v>90</v>
      </c>
      <c r="I34" s="73" t="s">
        <v>91</v>
      </c>
      <c r="J34" s="74" t="s">
        <v>90</v>
      </c>
      <c r="K34" s="73" t="s">
        <v>85</v>
      </c>
      <c r="L34" s="73" t="s">
        <v>85</v>
      </c>
      <c r="M34" s="73" t="s">
        <v>91</v>
      </c>
      <c r="N34" s="6"/>
      <c r="O34" s="72" t="s">
        <v>85</v>
      </c>
      <c r="P34" s="72" t="s">
        <v>92</v>
      </c>
      <c r="Q34" s="72" t="s">
        <v>92</v>
      </c>
      <c r="R34" s="72" t="s">
        <v>92</v>
      </c>
      <c r="S34" s="72" t="s">
        <v>92</v>
      </c>
      <c r="T34" s="72" t="s">
        <v>92</v>
      </c>
      <c r="U34" s="72"/>
      <c r="V34" s="72"/>
      <c r="W34" s="72"/>
      <c r="X34" s="72"/>
      <c r="Y34" s="72"/>
      <c r="Z34" s="72"/>
      <c r="AA34" s="72"/>
      <c r="AB34" s="72" t="s">
        <v>92</v>
      </c>
      <c r="AC34" s="72"/>
      <c r="AD34" s="75" t="s">
        <v>17</v>
      </c>
      <c r="AE34" s="93"/>
      <c r="AF34" s="93"/>
      <c r="AG34" s="6"/>
      <c r="AH34" s="72" t="s">
        <v>93</v>
      </c>
      <c r="AI34" s="72" t="s">
        <v>93</v>
      </c>
      <c r="AJ34" s="72" t="s">
        <v>93</v>
      </c>
      <c r="AK34" s="72" t="s">
        <v>93</v>
      </c>
      <c r="AL34" s="72" t="s">
        <v>93</v>
      </c>
      <c r="AM34" s="72" t="s">
        <v>93</v>
      </c>
      <c r="AN34" s="74" t="s">
        <v>17</v>
      </c>
      <c r="AO34" s="74" t="s">
        <v>17</v>
      </c>
      <c r="AP34" s="74" t="s">
        <v>17</v>
      </c>
      <c r="AQ34" s="74" t="s">
        <v>17</v>
      </c>
      <c r="AR34" s="74" t="s">
        <v>17</v>
      </c>
      <c r="AS34" s="74" t="s">
        <v>137</v>
      </c>
      <c r="AT34" s="75" t="s">
        <v>17</v>
      </c>
      <c r="AU34" s="112"/>
      <c r="AW34" s="74" t="s">
        <v>17</v>
      </c>
      <c r="AX34" s="66" t="s">
        <v>91</v>
      </c>
    </row>
    <row r="35" spans="2:50" x14ac:dyDescent="0.45">
      <c r="B35" s="9" t="s">
        <v>106</v>
      </c>
      <c r="C35" s="9">
        <v>25</v>
      </c>
      <c r="D35" s="81">
        <f>AVERAGE(116.3,117.4,117.4)</f>
        <v>117.03333333333335</v>
      </c>
      <c r="E35" s="76">
        <v>101</v>
      </c>
      <c r="F35" s="77">
        <f>(D35/10)*(PI()/4)*((E35/10)^2)</f>
        <v>937.65312133912619</v>
      </c>
      <c r="G35" s="76">
        <v>1739.1999999999998</v>
      </c>
      <c r="H35" s="77">
        <f t="shared" ref="H35:H42" si="10">G35/F35</f>
        <v>1.8548437161027418</v>
      </c>
      <c r="I35" s="78">
        <v>0.11843409316154611</v>
      </c>
      <c r="J35" s="77">
        <f t="shared" ref="J35:J42" si="11">H35/(1+I35)</f>
        <v>1.6584291622044007</v>
      </c>
      <c r="K35" s="79">
        <v>2.5</v>
      </c>
      <c r="L35" s="76">
        <f t="shared" ref="L35:L42" si="12">K35/J35-1</f>
        <v>0.50745057852032383</v>
      </c>
      <c r="M35" s="78">
        <f t="shared" ref="M35:M42" si="13">I35*(K35/L35)</f>
        <v>0.5834759983272082</v>
      </c>
      <c r="N35" s="6"/>
      <c r="O35" s="9">
        <v>0.2</v>
      </c>
      <c r="P35" s="8">
        <v>246.34</v>
      </c>
      <c r="Q35" s="8">
        <v>244.08</v>
      </c>
      <c r="R35" s="8">
        <v>254.25</v>
      </c>
      <c r="S35" s="8">
        <v>223.74</v>
      </c>
      <c r="T35" s="8">
        <v>256.51</v>
      </c>
      <c r="U35" s="8"/>
      <c r="V35" s="8">
        <f t="shared" ref="V35:X36" si="14">(((($D35/10)/P35)*10000)^2)*(($H35*1000*(1+$O35)*(1-2*($O35)))/(1-$O35))/1000000</f>
        <v>376.78977417816321</v>
      </c>
      <c r="W35" s="8">
        <f t="shared" si="14"/>
        <v>383.79966623891954</v>
      </c>
      <c r="X35" s="8">
        <f t="shared" si="14"/>
        <v>353.70977240578844</v>
      </c>
      <c r="Y35" s="8"/>
      <c r="Z35" s="8">
        <f t="shared" ref="Z35:Z42" si="15">(((($D35/10)/T35)*10000)^2)*(($H35*1000*(1+$O35)*(1-2*($O35)))/(1-$O35))/1000000</f>
        <v>347.50445822824116</v>
      </c>
      <c r="AA35" s="8">
        <v>100</v>
      </c>
      <c r="AB35" s="8">
        <f>AVERAGE(T35)+AA35</f>
        <v>356.51</v>
      </c>
      <c r="AC35" s="8">
        <f t="shared" ref="AC35:AC42" si="16">_xlfn.STDEV.S(P35:T35)</f>
        <v>12.967950107862068</v>
      </c>
      <c r="AD35" s="80">
        <f t="shared" ref="AD35:AD42" si="17">((((D35/10)/AB35)*10000)^2)*((H35*1000*(1+O35)*(1-2*(O35)))/(1-O35))/1000000</f>
        <v>179.89767461098856</v>
      </c>
      <c r="AE35" s="94">
        <f>AD35</f>
        <v>179.89767461098856</v>
      </c>
      <c r="AF35" s="94">
        <f>_xlfn.STDEV.S(V35:Z35)</f>
        <v>17.561094684635073</v>
      </c>
      <c r="AG35" s="6"/>
      <c r="AH35" s="8">
        <v>1.35001350014363E-3</v>
      </c>
      <c r="AI35" s="8">
        <v>1.32001320014297E-3</v>
      </c>
      <c r="AJ35" s="8">
        <v>1.37001370012513E-3</v>
      </c>
      <c r="AK35" s="8">
        <v>1.35001350014363E-3</v>
      </c>
      <c r="AL35" s="8">
        <v>1.37001370012513E-3</v>
      </c>
      <c r="AM35" s="8">
        <f>AVERAGE(AH35:AL35)</f>
        <v>1.3520135201360978E-3</v>
      </c>
      <c r="AN35" s="8">
        <v>224.27854357524899</v>
      </c>
      <c r="AO35" s="8">
        <v>245.020188233406</v>
      </c>
      <c r="AP35" s="8">
        <v>210.450780482911</v>
      </c>
      <c r="AQ35" s="8">
        <v>224.27854357524899</v>
      </c>
      <c r="AR35" s="8">
        <v>210.450780482911</v>
      </c>
      <c r="AS35" s="8">
        <f>AVERAGE(AN35:AR35)</f>
        <v>222.8957672699452</v>
      </c>
      <c r="AT35" s="80">
        <v>222.895551338432</v>
      </c>
      <c r="AU35" s="113">
        <f>_xlfn.STDEV.S(AN35:AR35)</f>
        <v>14.169240768724649</v>
      </c>
      <c r="AW35" s="82">
        <f>AD35-AT35</f>
        <v>-42.99787672744344</v>
      </c>
      <c r="AX35" s="83">
        <f>ABS(AW35)/AD35</f>
        <v>0.23901296567852931</v>
      </c>
    </row>
    <row r="36" spans="2:50" x14ac:dyDescent="0.45">
      <c r="B36" s="9" t="s">
        <v>106</v>
      </c>
      <c r="C36" s="9">
        <v>56</v>
      </c>
      <c r="D36" s="76">
        <f>AVERAGE(116.5,116.2,116.4,116.3)</f>
        <v>116.35000000000001</v>
      </c>
      <c r="E36" s="76">
        <v>101</v>
      </c>
      <c r="F36" s="77">
        <f t="shared" ref="F36:F42" si="18">(D36/10)*(PI()/4)*((E36/10)^2)</f>
        <v>932.17835945150102</v>
      </c>
      <c r="G36" s="76">
        <v>1838.2000000000003</v>
      </c>
      <c r="H36" s="77">
        <f t="shared" si="10"/>
        <v>1.9719402208410066</v>
      </c>
      <c r="I36" s="78">
        <v>0.11805225653206648</v>
      </c>
      <c r="J36" s="77">
        <f t="shared" si="11"/>
        <v>1.763728134637909</v>
      </c>
      <c r="K36" s="79">
        <v>2.5</v>
      </c>
      <c r="L36" s="76">
        <f t="shared" si="12"/>
        <v>0.41745201593285608</v>
      </c>
      <c r="M36" s="78">
        <f t="shared" si="13"/>
        <v>0.70698099438004791</v>
      </c>
      <c r="N36" s="6"/>
      <c r="O36" s="9">
        <v>0.34</v>
      </c>
      <c r="P36" s="8">
        <v>308.49</v>
      </c>
      <c r="Q36" s="8">
        <v>341.26</v>
      </c>
      <c r="R36" s="8">
        <v>341.26</v>
      </c>
      <c r="S36" s="8">
        <v>359.34</v>
      </c>
      <c r="T36" s="8">
        <v>368.38</v>
      </c>
      <c r="U36" s="8"/>
      <c r="V36" s="8">
        <f t="shared" si="14"/>
        <v>182.24481474296391</v>
      </c>
      <c r="W36" s="8">
        <f t="shared" si="14"/>
        <v>148.9246502124727</v>
      </c>
      <c r="X36" s="8">
        <f t="shared" si="14"/>
        <v>148.9246502124727</v>
      </c>
      <c r="Y36" s="8">
        <f>(((($D36/10)/S36)*10000)^2)*(($H36*1000*(1+$O36)*(1-2*($O36)))/(1-$O36))/1000000</f>
        <v>134.3155314067715</v>
      </c>
      <c r="Z36" s="8">
        <f t="shared" si="15"/>
        <v>127.8042436484094</v>
      </c>
      <c r="AA36" s="8">
        <v>0</v>
      </c>
      <c r="AB36" s="8">
        <f>P36</f>
        <v>308.49</v>
      </c>
      <c r="AC36" s="8">
        <f t="shared" si="16"/>
        <v>22.942061372073773</v>
      </c>
      <c r="AD36" s="80">
        <f t="shared" si="17"/>
        <v>182.24481474296391</v>
      </c>
      <c r="AE36" s="94">
        <f t="shared" ref="AE36:AE42" si="19">AD36</f>
        <v>182.24481474296391</v>
      </c>
      <c r="AF36" s="94">
        <f>_xlfn.STDEV.S(V36:Z36)</f>
        <v>21.027186486300735</v>
      </c>
      <c r="AG36" s="6"/>
      <c r="AH36" s="8">
        <v>1.3900139001421499E-3</v>
      </c>
      <c r="AI36" s="8">
        <v>1.26001260012742E-3</v>
      </c>
      <c r="AJ36" s="8">
        <v>1.3400134001315699E-3</v>
      </c>
      <c r="AK36" s="8">
        <v>1.3100131001308999E-3</v>
      </c>
      <c r="AL36" s="8">
        <v>1.29001290012809E-3</v>
      </c>
      <c r="AM36" s="8">
        <f>AVERAGE(AH36:AL36)</f>
        <v>1.3180131801320259E-3</v>
      </c>
      <c r="AN36" s="8">
        <v>180.60106688835799</v>
      </c>
      <c r="AO36" s="8">
        <v>222.13457960436401</v>
      </c>
      <c r="AP36" s="8">
        <v>242.90133595990801</v>
      </c>
      <c r="AQ36" s="8">
        <v>256.74584019857701</v>
      </c>
      <c r="AR36" s="8">
        <v>187.52331900523299</v>
      </c>
      <c r="AS36" s="8">
        <f t="shared" ref="AS36:AS42" si="20">AVERAGE(AN36:AR36)</f>
        <v>217.98122833128801</v>
      </c>
      <c r="AT36" s="80">
        <v>221.83874573585601</v>
      </c>
      <c r="AU36" s="113">
        <f>_xlfn.STDEV.S(AN36:AP36)</f>
        <v>31.721744315344878</v>
      </c>
      <c r="AW36" s="82">
        <f>AD36-AT36</f>
        <v>-39.593930992892098</v>
      </c>
      <c r="AX36" s="83">
        <f t="shared" ref="AX36:AX42" si="21">ABS(AW36)/AD36</f>
        <v>0.21725683141512117</v>
      </c>
    </row>
    <row r="37" spans="2:50" x14ac:dyDescent="0.45">
      <c r="B37" s="9" t="s">
        <v>107</v>
      </c>
      <c r="C37" s="9">
        <v>56</v>
      </c>
      <c r="D37" s="76">
        <f>AVERAGE(116.3,116.7,116.5)</f>
        <v>116.5</v>
      </c>
      <c r="E37" s="76">
        <v>101</v>
      </c>
      <c r="F37" s="77">
        <f t="shared" si="18"/>
        <v>933.38013645122351</v>
      </c>
      <c r="G37" s="76">
        <v>1722.0000000000005</v>
      </c>
      <c r="H37" s="77">
        <f t="shared" si="10"/>
        <v>1.8449074849044513</v>
      </c>
      <c r="I37" s="78">
        <v>9.6678107984795758E-2</v>
      </c>
      <c r="J37" s="77">
        <f t="shared" si="11"/>
        <v>1.6822689096024417</v>
      </c>
      <c r="K37" s="79">
        <v>2.5</v>
      </c>
      <c r="L37" s="76">
        <f t="shared" si="12"/>
        <v>0.48608821439302874</v>
      </c>
      <c r="M37" s="78">
        <f t="shared" si="13"/>
        <v>0.49722511841557554</v>
      </c>
      <c r="N37" s="6"/>
      <c r="O37" s="9">
        <v>0.12</v>
      </c>
      <c r="P37" s="8">
        <v>243.97906606702199</v>
      </c>
      <c r="Q37" s="8">
        <v>227.13</v>
      </c>
      <c r="R37" s="8">
        <v>195.49</v>
      </c>
      <c r="S37" s="8">
        <v>202.27</v>
      </c>
      <c r="T37" s="8">
        <v>235.04</v>
      </c>
      <c r="U37" s="8"/>
      <c r="V37" s="8">
        <f t="shared" ref="V37:V42" si="22">(((($D37/10)/P37)*10000)^2)*(($H37*1000*(1+$O37)*(1-2*($O37)))/(1-$O37))/1000000</f>
        <v>406.88366737909126</v>
      </c>
      <c r="W37" s="8">
        <f t="shared" ref="W37:W42" si="23">(((($D37/10)/Q37)*10000)^2)*(($H37*1000*(1+$O37)*(1-2*($O37)))/(1-$O37))/1000000</f>
        <v>469.49004128094128</v>
      </c>
      <c r="X37" s="8"/>
      <c r="Y37" s="8">
        <f t="shared" ref="Y37:Y42" si="24">(((($D37/10)/S37)*10000)^2)*(($H37*1000*(1+$O37)*(1-2*($O37)))/(1-$O37))/1000000</f>
        <v>591.98736486973883</v>
      </c>
      <c r="Z37" s="8">
        <f t="shared" si="15"/>
        <v>438.42148571078275</v>
      </c>
      <c r="AA37" s="8">
        <v>80</v>
      </c>
      <c r="AB37" s="8">
        <f>P37+AA37</f>
        <v>323.97906606702202</v>
      </c>
      <c r="AC37" s="8">
        <f t="shared" si="16"/>
        <v>21.000422316844823</v>
      </c>
      <c r="AD37" s="80">
        <f t="shared" si="17"/>
        <v>230.74988224286855</v>
      </c>
      <c r="AE37" s="94">
        <f t="shared" si="19"/>
        <v>230.74988224286855</v>
      </c>
      <c r="AF37" s="94">
        <f>_xlfn.STDEV.S(V37:W37,Z37)</f>
        <v>31.303480060735129</v>
      </c>
      <c r="AG37" s="6"/>
      <c r="AH37" s="8">
        <v>1.33001330013016E-3</v>
      </c>
      <c r="AI37" s="8">
        <v>1.2800128001231299E-3</v>
      </c>
      <c r="AJ37" s="8">
        <v>1.2700127001323801E-3</v>
      </c>
      <c r="AK37" s="8">
        <v>1.2500125001295699E-3</v>
      </c>
      <c r="AL37" s="8">
        <v>1.26001260012742E-3</v>
      </c>
      <c r="AM37" s="8">
        <f>AVERAGE(AH37:AL37)</f>
        <v>1.2780127801285319E-3</v>
      </c>
      <c r="AN37" s="8">
        <v>241.097283756666</v>
      </c>
      <c r="AO37" s="8">
        <v>275.69654528227801</v>
      </c>
      <c r="AP37" s="8">
        <v>282.61639758002502</v>
      </c>
      <c r="AQ37" s="8">
        <v>296.45610219026901</v>
      </c>
      <c r="AR37" s="8">
        <v>289.53624988760498</v>
      </c>
      <c r="AS37" s="8">
        <f t="shared" si="20"/>
        <v>277.08051573936859</v>
      </c>
      <c r="AT37" s="80">
        <v>277.08026106407374</v>
      </c>
      <c r="AU37" s="113">
        <f>_xlfn.STDEV.S(AP37:AR37)</f>
        <v>6.9198523051219922</v>
      </c>
      <c r="AW37" s="82">
        <f t="shared" ref="AW37:AW42" si="25">AD37-AT37</f>
        <v>-46.330378821205187</v>
      </c>
      <c r="AX37" s="83">
        <f t="shared" si="21"/>
        <v>0.20078180916444238</v>
      </c>
    </row>
    <row r="38" spans="2:50" x14ac:dyDescent="0.45">
      <c r="B38" s="9" t="s">
        <v>108</v>
      </c>
      <c r="C38" s="9">
        <v>56</v>
      </c>
      <c r="D38" s="76">
        <f>AVERAGE(116.5,116.2,116.4,116.3)</f>
        <v>116.35000000000001</v>
      </c>
      <c r="E38" s="76">
        <v>101</v>
      </c>
      <c r="F38" s="77">
        <f t="shared" si="18"/>
        <v>932.17835945150102</v>
      </c>
      <c r="G38" s="76">
        <v>1660.6</v>
      </c>
      <c r="H38" s="77">
        <f t="shared" si="10"/>
        <v>1.7814187415561826</v>
      </c>
      <c r="I38" s="78">
        <v>8.0713111267325499E-2</v>
      </c>
      <c r="J38" s="77">
        <f t="shared" si="11"/>
        <v>1.6483733962172045</v>
      </c>
      <c r="K38" s="79">
        <v>2.5</v>
      </c>
      <c r="L38" s="76">
        <f t="shared" si="12"/>
        <v>0.51664665647793417</v>
      </c>
      <c r="M38" s="78">
        <f t="shared" si="13"/>
        <v>0.39056243883179337</v>
      </c>
      <c r="N38" s="6"/>
      <c r="O38" s="9">
        <v>0.1</v>
      </c>
      <c r="P38" s="8">
        <v>200.01</v>
      </c>
      <c r="Q38" s="8">
        <v>242.95</v>
      </c>
      <c r="R38" s="8">
        <v>201.14</v>
      </c>
      <c r="S38" s="8">
        <v>218.09</v>
      </c>
      <c r="T38" s="8">
        <v>215.83</v>
      </c>
      <c r="U38" s="8"/>
      <c r="V38" s="8">
        <f t="shared" si="22"/>
        <v>589.43447759397066</v>
      </c>
      <c r="W38" s="8"/>
      <c r="X38" s="8">
        <f t="shared" ref="X38:X42" si="26">(((($D38/10)/R38)*10000)^2)*(($H38*1000*(1+$O38)*(1-2*($O38)))/(1-$O38))/1000000</f>
        <v>582.83022183251808</v>
      </c>
      <c r="Y38" s="8">
        <f t="shared" si="24"/>
        <v>495.75539607886117</v>
      </c>
      <c r="Z38" s="8">
        <f t="shared" si="15"/>
        <v>506.19206569286752</v>
      </c>
      <c r="AA38" s="8">
        <v>30</v>
      </c>
      <c r="AB38" s="8">
        <f>Q38+AA38</f>
        <v>272.95</v>
      </c>
      <c r="AC38" s="8">
        <f t="shared" si="16"/>
        <v>17.366743505908069</v>
      </c>
      <c r="AD38" s="80">
        <f t="shared" si="17"/>
        <v>316.49930282616896</v>
      </c>
      <c r="AE38" s="94">
        <f t="shared" si="19"/>
        <v>316.49930282616896</v>
      </c>
      <c r="AF38" s="94">
        <f>_xlfn.STDEV.S(V38,X38:Z38)</f>
        <v>49.424219750996258</v>
      </c>
      <c r="AG38" s="6"/>
      <c r="AH38" s="8">
        <v>1.25001250012602E-3</v>
      </c>
      <c r="AI38" s="8">
        <v>1.2200122001217999E-3</v>
      </c>
      <c r="AJ38" s="8">
        <v>1.2400124001246101E-3</v>
      </c>
      <c r="AK38" s="8">
        <v>1.2400124001246101E-3</v>
      </c>
      <c r="AL38" s="8">
        <v>1.2400124001246101E-3</v>
      </c>
      <c r="AM38" s="8">
        <f t="shared" ref="AM38:AM42" si="27">AVERAGE(AH38:AL38)</f>
        <v>1.2380123801243302E-3</v>
      </c>
      <c r="AN38" s="8">
        <v>297.21660821000597</v>
      </c>
      <c r="AO38" s="8">
        <v>344.91377277248898</v>
      </c>
      <c r="AP38" s="8">
        <v>310.33617709669898</v>
      </c>
      <c r="AQ38" s="8">
        <v>310.33617709669898</v>
      </c>
      <c r="AR38" s="8">
        <v>310.33617709669898</v>
      </c>
      <c r="AS38" s="8">
        <f t="shared" si="20"/>
        <v>314.62778245451835</v>
      </c>
      <c r="AT38" s="80">
        <v>305.52195060121596</v>
      </c>
      <c r="AU38" s="113">
        <f t="shared" ref="AU38:AU42" si="28">_xlfn.STDEV.S(AN38:AR38)</f>
        <v>17.85807819835868</v>
      </c>
      <c r="AW38" s="82">
        <f t="shared" si="25"/>
        <v>10.977352224952995</v>
      </c>
      <c r="AX38" s="83">
        <f t="shared" si="21"/>
        <v>3.4683653729822246E-2</v>
      </c>
    </row>
    <row r="39" spans="2:50" x14ac:dyDescent="0.45">
      <c r="B39" s="9" t="s">
        <v>109</v>
      </c>
      <c r="C39" s="9">
        <v>25</v>
      </c>
      <c r="D39" s="76">
        <f>AVERAGE(116.3,116.7,116.5)</f>
        <v>116.5</v>
      </c>
      <c r="E39" s="76">
        <v>101</v>
      </c>
      <c r="F39" s="77">
        <f t="shared" si="18"/>
        <v>933.38013645122351</v>
      </c>
      <c r="G39" s="76">
        <v>1542.2000000000003</v>
      </c>
      <c r="H39" s="77">
        <f t="shared" si="10"/>
        <v>1.6522742875839982</v>
      </c>
      <c r="I39" s="78">
        <v>0.11589041095890402</v>
      </c>
      <c r="J39" s="77">
        <f t="shared" si="11"/>
        <v>1.480677915463195</v>
      </c>
      <c r="K39" s="79">
        <v>2.5</v>
      </c>
      <c r="L39" s="76">
        <f t="shared" si="12"/>
        <v>0.6884158086587886</v>
      </c>
      <c r="M39" s="78">
        <f t="shared" si="13"/>
        <v>0.42085905604306362</v>
      </c>
      <c r="N39" s="6"/>
      <c r="O39" s="9">
        <v>0.11</v>
      </c>
      <c r="P39" s="8">
        <v>527.71</v>
      </c>
      <c r="Q39" s="8">
        <v>461.04</v>
      </c>
      <c r="R39" s="8">
        <v>482.51</v>
      </c>
      <c r="S39" s="8">
        <v>500.59</v>
      </c>
      <c r="T39" s="8">
        <v>498.33</v>
      </c>
      <c r="U39" s="8"/>
      <c r="V39" s="8">
        <f t="shared" si="22"/>
        <v>78.337719024237515</v>
      </c>
      <c r="W39" s="8">
        <f t="shared" si="23"/>
        <v>102.632369787323</v>
      </c>
      <c r="X39" s="8">
        <f t="shared" si="26"/>
        <v>93.702015610665029</v>
      </c>
      <c r="Y39" s="8">
        <f t="shared" si="24"/>
        <v>87.055703745124532</v>
      </c>
      <c r="Z39" s="8">
        <f t="shared" si="15"/>
        <v>87.847115164344785</v>
      </c>
      <c r="AA39" s="8">
        <v>0</v>
      </c>
      <c r="AB39" s="8">
        <f>AVERAGE(P39:T39)</f>
        <v>494.03599999999994</v>
      </c>
      <c r="AC39" s="8">
        <f t="shared" si="16"/>
        <v>24.581071579571145</v>
      </c>
      <c r="AD39" s="80">
        <f t="shared" si="17"/>
        <v>89.380828617218</v>
      </c>
      <c r="AE39" s="94">
        <f t="shared" si="19"/>
        <v>89.380828617218</v>
      </c>
      <c r="AF39" s="94">
        <f>_xlfn.STDEV.S(V39:Z39)</f>
        <v>8.97995182476207</v>
      </c>
      <c r="AH39" s="8">
        <v>1.9200192001918E-3</v>
      </c>
      <c r="AI39" s="8">
        <v>1.87001870018833E-3</v>
      </c>
      <c r="AJ39" s="8">
        <v>1.86001860018337E-3</v>
      </c>
      <c r="AK39" s="8">
        <v>1.9000190001889901E-3</v>
      </c>
      <c r="AL39" s="8">
        <v>1.9300193001896601E-3</v>
      </c>
      <c r="AM39" s="8">
        <f t="shared" si="27"/>
        <v>1.8960189601884298E-3</v>
      </c>
      <c r="AN39" s="8">
        <v>46.693928889435</v>
      </c>
      <c r="AO39" s="8">
        <v>53.606397937724999</v>
      </c>
      <c r="AP39" s="8">
        <v>54.988891747972403</v>
      </c>
      <c r="AQ39" s="8">
        <v>49.458916508947503</v>
      </c>
      <c r="AR39" s="8">
        <v>45.31143508017</v>
      </c>
      <c r="AS39" s="8">
        <f t="shared" si="20"/>
        <v>50.011914032849987</v>
      </c>
      <c r="AT39" s="80">
        <v>50.01189739449967</v>
      </c>
      <c r="AU39" s="113">
        <f t="shared" si="28"/>
        <v>4.2160394856186727</v>
      </c>
      <c r="AW39" s="82">
        <f t="shared" si="25"/>
        <v>39.368931222718331</v>
      </c>
      <c r="AX39" s="83">
        <f t="shared" si="21"/>
        <v>0.44046281324286629</v>
      </c>
    </row>
    <row r="40" spans="2:50" x14ac:dyDescent="0.45">
      <c r="B40" s="9" t="s">
        <v>110</v>
      </c>
      <c r="C40" s="9">
        <v>25</v>
      </c>
      <c r="D40" s="76">
        <f>AVERAGE(116.5,116.2,116.4,116.3)</f>
        <v>116.35000000000001</v>
      </c>
      <c r="E40" s="76">
        <v>101</v>
      </c>
      <c r="F40" s="77">
        <f t="shared" si="18"/>
        <v>932.17835945150102</v>
      </c>
      <c r="G40" s="76">
        <v>1576.4</v>
      </c>
      <c r="H40" s="77">
        <f t="shared" si="10"/>
        <v>1.6910926798682204</v>
      </c>
      <c r="I40" s="78">
        <v>0.13460442691211932</v>
      </c>
      <c r="J40" s="77">
        <f t="shared" si="11"/>
        <v>1.4904689597154233</v>
      </c>
      <c r="K40" s="79">
        <v>2.5</v>
      </c>
      <c r="L40" s="76">
        <f t="shared" si="12"/>
        <v>0.6773244311490576</v>
      </c>
      <c r="M40" s="78">
        <f t="shared" si="13"/>
        <v>0.49682405034381949</v>
      </c>
      <c r="N40" s="6"/>
      <c r="O40" s="9">
        <v>0.13</v>
      </c>
      <c r="P40" s="8">
        <v>597.77</v>
      </c>
      <c r="Q40" s="8">
        <v>474.6</v>
      </c>
      <c r="R40" s="8">
        <v>523.19000000000005</v>
      </c>
      <c r="S40" s="8">
        <v>461.04</v>
      </c>
      <c r="T40" s="8">
        <v>493.81</v>
      </c>
      <c r="U40" s="8"/>
      <c r="V40" s="8">
        <f t="shared" si="22"/>
        <v>61.577615067180332</v>
      </c>
      <c r="W40" s="8">
        <f t="shared" si="23"/>
        <v>97.686742505752903</v>
      </c>
      <c r="X40" s="8">
        <f t="shared" si="26"/>
        <v>80.384483661419381</v>
      </c>
      <c r="Y40" s="8">
        <f t="shared" si="24"/>
        <v>103.51752557919318</v>
      </c>
      <c r="Z40" s="8">
        <f t="shared" si="15"/>
        <v>90.234233713402787</v>
      </c>
      <c r="AA40" s="8">
        <v>0</v>
      </c>
      <c r="AB40" s="8">
        <f>AVERAGE(P40:T40)</f>
        <v>510.08199999999999</v>
      </c>
      <c r="AC40" s="8">
        <f t="shared" si="16"/>
        <v>54.29059098959965</v>
      </c>
      <c r="AD40" s="80">
        <f t="shared" si="17"/>
        <v>84.568981266252109</v>
      </c>
      <c r="AE40" s="94">
        <f t="shared" si="19"/>
        <v>84.568981266252109</v>
      </c>
      <c r="AF40" s="94">
        <f>_xlfn.STDEV.S(V40:Z40)</f>
        <v>16.485193968528939</v>
      </c>
      <c r="AG40" s="6"/>
      <c r="AH40" s="8">
        <v>1.8500185001855099E-3</v>
      </c>
      <c r="AI40" s="8">
        <v>1.8500185001855099E-3</v>
      </c>
      <c r="AJ40" s="8">
        <v>1.7400174001735999E-3</v>
      </c>
      <c r="AK40" s="8">
        <v>1.87001870020254E-3</v>
      </c>
      <c r="AL40" s="8">
        <v>1.87001870020254E-3</v>
      </c>
      <c r="AM40" s="8">
        <f t="shared" si="27"/>
        <v>1.83601836018994E-3</v>
      </c>
      <c r="AN40" s="8">
        <v>56.115377422564997</v>
      </c>
      <c r="AO40" s="8">
        <v>56.115377422564997</v>
      </c>
      <c r="AP40" s="8">
        <v>71.361920805588596</v>
      </c>
      <c r="AQ40" s="8">
        <v>53.343278623592397</v>
      </c>
      <c r="AR40" s="8">
        <v>53.343278623592397</v>
      </c>
      <c r="AS40" s="8">
        <f t="shared" si="20"/>
        <v>58.055846579580681</v>
      </c>
      <c r="AT40" s="80">
        <v>58.055829107995521</v>
      </c>
      <c r="AU40" s="113">
        <f t="shared" si="28"/>
        <v>7.566357212792413</v>
      </c>
      <c r="AW40" s="82">
        <f t="shared" si="25"/>
        <v>26.513152158256588</v>
      </c>
      <c r="AX40" s="83">
        <f t="shared" si="21"/>
        <v>0.31350918222349289</v>
      </c>
    </row>
    <row r="41" spans="2:50" x14ac:dyDescent="0.45">
      <c r="B41" s="9" t="s">
        <v>111</v>
      </c>
      <c r="C41" s="9">
        <v>25</v>
      </c>
      <c r="D41" s="76">
        <f>AVERAGE(116.3,116.7,116.5)</f>
        <v>116.5</v>
      </c>
      <c r="E41" s="76">
        <v>101</v>
      </c>
      <c r="F41" s="77">
        <f t="shared" si="18"/>
        <v>933.38013645122351</v>
      </c>
      <c r="G41" s="76">
        <v>1627.7999999999997</v>
      </c>
      <c r="H41" s="77">
        <f t="shared" si="10"/>
        <v>1.7439839744061931</v>
      </c>
      <c r="I41" s="78">
        <v>0.14028029887536533</v>
      </c>
      <c r="J41" s="77">
        <f t="shared" si="11"/>
        <v>1.5294344523239138</v>
      </c>
      <c r="K41" s="79">
        <v>2.5</v>
      </c>
      <c r="L41" s="76">
        <f t="shared" si="12"/>
        <v>0.63459113674427248</v>
      </c>
      <c r="M41" s="78">
        <f t="shared" si="13"/>
        <v>0.55264047491690493</v>
      </c>
      <c r="N41" s="6"/>
      <c r="O41" s="9">
        <v>0.16</v>
      </c>
      <c r="P41" s="8">
        <v>491.55</v>
      </c>
      <c r="Q41" s="8">
        <v>491.55</v>
      </c>
      <c r="R41" s="8">
        <v>517.54</v>
      </c>
      <c r="S41" s="8">
        <v>553.70000000000005</v>
      </c>
      <c r="T41" s="8">
        <v>586.47</v>
      </c>
      <c r="U41" s="8"/>
      <c r="V41" s="8">
        <f t="shared" si="22"/>
        <v>91.991257492307923</v>
      </c>
      <c r="W41" s="8">
        <f t="shared" si="23"/>
        <v>91.991257492307923</v>
      </c>
      <c r="X41" s="8">
        <f t="shared" si="26"/>
        <v>82.983951960212295</v>
      </c>
      <c r="Y41" s="8">
        <f t="shared" si="24"/>
        <v>72.499149100299704</v>
      </c>
      <c r="Z41" s="8">
        <f t="shared" si="15"/>
        <v>64.623481866275966</v>
      </c>
      <c r="AA41" s="8">
        <v>-120</v>
      </c>
      <c r="AB41" s="8">
        <f>Q41+AA41</f>
        <v>371.55</v>
      </c>
      <c r="AC41" s="8">
        <f t="shared" si="16"/>
        <v>41.369421920060731</v>
      </c>
      <c r="AD41" s="80">
        <f t="shared" si="17"/>
        <v>161.00798881060038</v>
      </c>
      <c r="AE41" s="94">
        <f t="shared" si="19"/>
        <v>161.00798881060038</v>
      </c>
      <c r="AF41" s="94">
        <f>_xlfn.STDEV.S(V41:Z41)</f>
        <v>12.102070190518972</v>
      </c>
      <c r="AG41" s="6"/>
      <c r="AH41" s="8">
        <v>1.41001410014496E-3</v>
      </c>
      <c r="AI41" s="8">
        <v>1.40001400012579E-3</v>
      </c>
      <c r="AJ41" s="8">
        <v>1.3700137001535499E-3</v>
      </c>
      <c r="AK41" s="8">
        <v>1.4200142001357099E-3</v>
      </c>
      <c r="AL41" s="8">
        <v>1.52001520015688E-3</v>
      </c>
      <c r="AM41" s="8">
        <f t="shared" si="27"/>
        <v>1.4240142401433782E-3</v>
      </c>
      <c r="AN41" s="8">
        <v>184.266224629216</v>
      </c>
      <c r="AO41" s="8">
        <v>191.18309028232099</v>
      </c>
      <c r="AP41" s="8">
        <v>211.93368718265799</v>
      </c>
      <c r="AQ41" s="8">
        <v>177.34935899576999</v>
      </c>
      <c r="AR41" s="8">
        <v>108.180702582679</v>
      </c>
      <c r="AS41" s="8">
        <f>AVERAGE(AN41:AR41)</f>
        <v>174.58261273452882</v>
      </c>
      <c r="AT41" s="80">
        <v>174.58243839235092</v>
      </c>
      <c r="AU41" s="113">
        <f>_xlfn.STDEV.S(AN41:AQ41)</f>
        <v>14.942137547797271</v>
      </c>
      <c r="AW41" s="82">
        <f>AD41-AT41</f>
        <v>-13.574449581750542</v>
      </c>
      <c r="AX41" s="83">
        <f>ABS(AW41)/AD41</f>
        <v>8.4309168023449232E-2</v>
      </c>
    </row>
    <row r="42" spans="2:50" x14ac:dyDescent="0.45">
      <c r="B42" s="9" t="s">
        <v>112</v>
      </c>
      <c r="C42" s="9">
        <v>25</v>
      </c>
      <c r="D42" s="76">
        <f>AVERAGE(116.5,116.2,116.4,116.3)</f>
        <v>116.35000000000001</v>
      </c>
      <c r="E42" s="76">
        <v>101</v>
      </c>
      <c r="F42" s="77">
        <f t="shared" si="18"/>
        <v>932.17835945150102</v>
      </c>
      <c r="G42" s="76">
        <v>1661.2000000000003</v>
      </c>
      <c r="H42" s="77">
        <f t="shared" si="10"/>
        <v>1.7820623952024157</v>
      </c>
      <c r="I42" s="78">
        <v>0.15156950672645753</v>
      </c>
      <c r="J42" s="77">
        <f t="shared" si="11"/>
        <v>1.5475074537777984</v>
      </c>
      <c r="K42" s="79">
        <v>2.5</v>
      </c>
      <c r="L42" s="76">
        <f t="shared" si="12"/>
        <v>0.61550110398302937</v>
      </c>
      <c r="M42" s="78">
        <f t="shared" si="13"/>
        <v>0.61563458516004788</v>
      </c>
      <c r="N42" s="6"/>
      <c r="O42" s="9">
        <v>0.22</v>
      </c>
      <c r="P42" s="8">
        <v>476.86</v>
      </c>
      <c r="Q42" s="8">
        <v>438.44</v>
      </c>
      <c r="R42" s="8">
        <v>414.71</v>
      </c>
      <c r="S42" s="8">
        <v>323.18</v>
      </c>
      <c r="T42" s="8">
        <v>392.11</v>
      </c>
      <c r="U42" s="8"/>
      <c r="V42" s="8">
        <f t="shared" si="22"/>
        <v>92.923839759077339</v>
      </c>
      <c r="W42" s="8">
        <f t="shared" si="23"/>
        <v>109.92300642772564</v>
      </c>
      <c r="X42" s="8">
        <f t="shared" si="26"/>
        <v>122.86266198171734</v>
      </c>
      <c r="Y42" s="8">
        <f t="shared" si="24"/>
        <v>202.31122646163053</v>
      </c>
      <c r="Z42" s="8">
        <f t="shared" si="15"/>
        <v>137.43365595308924</v>
      </c>
      <c r="AA42" s="8">
        <v>0</v>
      </c>
      <c r="AB42" s="8">
        <f>AVERAGE(P42:T42)</f>
        <v>409.06000000000006</v>
      </c>
      <c r="AC42" s="8">
        <f t="shared" si="16"/>
        <v>57.3468041829707</v>
      </c>
      <c r="AD42" s="80">
        <f t="shared" si="17"/>
        <v>126.28009736924638</v>
      </c>
      <c r="AE42" s="94">
        <f t="shared" si="19"/>
        <v>126.28009736924638</v>
      </c>
      <c r="AF42" s="94">
        <f>_xlfn.STDEV.S(V42:X42,Z42)</f>
        <v>18.936325034197282</v>
      </c>
      <c r="AG42" s="6"/>
      <c r="AH42" s="8">
        <v>1.7400174001735999E-3</v>
      </c>
      <c r="AI42" s="8">
        <v>1.64001640017375E-3</v>
      </c>
      <c r="AJ42" s="8">
        <v>1.6200162001638299E-3</v>
      </c>
      <c r="AK42" s="8">
        <v>1.6200162001496199E-3</v>
      </c>
      <c r="AL42" s="8">
        <v>1.6400164001595401E-3</v>
      </c>
      <c r="AM42" s="8">
        <f t="shared" si="27"/>
        <v>1.6520165201640679E-3</v>
      </c>
      <c r="AN42" s="8">
        <v>70.371917915138198</v>
      </c>
      <c r="AO42" s="8">
        <v>84.394703155192602</v>
      </c>
      <c r="AP42" s="8">
        <v>87.199260204598403</v>
      </c>
      <c r="AQ42" s="8">
        <v>87.199260206591106</v>
      </c>
      <c r="AR42" s="8">
        <v>84.394703157185305</v>
      </c>
      <c r="AS42" s="8">
        <f t="shared" si="20"/>
        <v>82.711968927741125</v>
      </c>
      <c r="AT42" s="80">
        <v>82.71194987437471</v>
      </c>
      <c r="AU42" s="113">
        <f t="shared" si="28"/>
        <v>7.0393823234965875</v>
      </c>
      <c r="AW42" s="82">
        <f t="shared" si="25"/>
        <v>43.568147494871667</v>
      </c>
      <c r="AX42" s="83">
        <f t="shared" si="21"/>
        <v>0.34501198844879916</v>
      </c>
    </row>
    <row r="43" spans="2:50" ht="14.65" thickBot="1" x14ac:dyDescent="0.5">
      <c r="AU43" s="65"/>
    </row>
    <row r="44" spans="2:50" ht="14.65" thickBot="1" x14ac:dyDescent="0.5">
      <c r="B44" s="148" t="s">
        <v>113</v>
      </c>
      <c r="C44" s="149"/>
      <c r="D44" s="149"/>
      <c r="E44" s="149"/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  <c r="AA44" s="149"/>
      <c r="AB44" s="149"/>
      <c r="AC44" s="149"/>
      <c r="AD44" s="149"/>
      <c r="AE44" s="149"/>
      <c r="AF44" s="149"/>
      <c r="AG44" s="149"/>
      <c r="AH44" s="149"/>
      <c r="AI44" s="149"/>
      <c r="AJ44" s="149"/>
      <c r="AK44" s="149"/>
      <c r="AL44" s="149"/>
      <c r="AM44" s="149"/>
      <c r="AN44" s="149"/>
      <c r="AO44" s="149"/>
      <c r="AP44" s="149"/>
      <c r="AQ44" s="149"/>
      <c r="AR44" s="149"/>
      <c r="AS44" s="149"/>
      <c r="AT44" s="150"/>
      <c r="AU44" s="114"/>
    </row>
    <row r="45" spans="2:50" ht="14.65" thickBot="1" x14ac:dyDescent="0.5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7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U45" s="65"/>
    </row>
    <row r="46" spans="2:50" ht="16.149999999999999" thickBot="1" x14ac:dyDescent="0.55000000000000004">
      <c r="B46" s="145" t="s">
        <v>53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7"/>
      <c r="N46" s="6"/>
      <c r="O46" s="145" t="s">
        <v>54</v>
      </c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7"/>
      <c r="AE46" s="91"/>
      <c r="AF46" s="91"/>
      <c r="AG46" s="6"/>
      <c r="AH46" s="145" t="s">
        <v>55</v>
      </c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7"/>
      <c r="AU46" s="115"/>
      <c r="AW46" s="145" t="s">
        <v>103</v>
      </c>
      <c r="AX46" s="146"/>
    </row>
    <row r="47" spans="2:50" ht="15.75" x14ac:dyDescent="0.5">
      <c r="B47" s="68" t="s">
        <v>56</v>
      </c>
      <c r="C47" s="68" t="s">
        <v>57</v>
      </c>
      <c r="D47" s="68" t="s">
        <v>58</v>
      </c>
      <c r="E47" s="68" t="s">
        <v>59</v>
      </c>
      <c r="F47" s="69" t="s">
        <v>60</v>
      </c>
      <c r="G47" s="68" t="s">
        <v>61</v>
      </c>
      <c r="H47" s="69" t="s">
        <v>62</v>
      </c>
      <c r="I47" s="68" t="s">
        <v>63</v>
      </c>
      <c r="J47" s="69" t="s">
        <v>64</v>
      </c>
      <c r="K47" s="68" t="s">
        <v>65</v>
      </c>
      <c r="L47" s="69" t="s">
        <v>66</v>
      </c>
      <c r="M47" s="69" t="s">
        <v>67</v>
      </c>
      <c r="N47" s="6"/>
      <c r="O47" s="68" t="s">
        <v>29</v>
      </c>
      <c r="P47" s="68" t="s">
        <v>68</v>
      </c>
      <c r="Q47" s="68" t="s">
        <v>69</v>
      </c>
      <c r="R47" s="68" t="s">
        <v>70</v>
      </c>
      <c r="S47" s="68" t="s">
        <v>71</v>
      </c>
      <c r="T47" s="68" t="s">
        <v>72</v>
      </c>
      <c r="U47" s="68"/>
      <c r="V47" s="68"/>
      <c r="W47" s="68"/>
      <c r="X47" s="68"/>
      <c r="Y47" s="68"/>
      <c r="Z47" s="68"/>
      <c r="AA47" s="68"/>
      <c r="AB47" s="69" t="s">
        <v>73</v>
      </c>
      <c r="AC47" s="90"/>
      <c r="AD47" s="70" t="s">
        <v>6</v>
      </c>
      <c r="AE47" s="92"/>
      <c r="AF47" s="92"/>
      <c r="AG47" s="6"/>
      <c r="AH47" s="68" t="s">
        <v>74</v>
      </c>
      <c r="AI47" s="68" t="s">
        <v>75</v>
      </c>
      <c r="AJ47" s="68" t="s">
        <v>76</v>
      </c>
      <c r="AK47" s="68" t="s">
        <v>77</v>
      </c>
      <c r="AL47" s="68" t="s">
        <v>78</v>
      </c>
      <c r="AM47" s="69" t="s">
        <v>79</v>
      </c>
      <c r="AN47" s="68" t="s">
        <v>80</v>
      </c>
      <c r="AO47" s="68" t="s">
        <v>81</v>
      </c>
      <c r="AP47" s="68" t="s">
        <v>82</v>
      </c>
      <c r="AQ47" s="68" t="s">
        <v>83</v>
      </c>
      <c r="AR47" s="68" t="s">
        <v>84</v>
      </c>
      <c r="AS47" s="71" t="s">
        <v>6</v>
      </c>
      <c r="AT47" s="71" t="s">
        <v>6</v>
      </c>
      <c r="AU47" s="111"/>
      <c r="AW47" s="69" t="s">
        <v>104</v>
      </c>
      <c r="AX47" s="69" t="s">
        <v>105</v>
      </c>
    </row>
    <row r="48" spans="2:50" ht="15.75" x14ac:dyDescent="0.5">
      <c r="B48" s="72" t="s">
        <v>85</v>
      </c>
      <c r="C48" s="72" t="s">
        <v>86</v>
      </c>
      <c r="D48" s="72" t="s">
        <v>87</v>
      </c>
      <c r="E48" s="72" t="s">
        <v>87</v>
      </c>
      <c r="F48" s="73" t="s">
        <v>88</v>
      </c>
      <c r="G48" s="72" t="s">
        <v>89</v>
      </c>
      <c r="H48" s="74" t="s">
        <v>90</v>
      </c>
      <c r="I48" s="73" t="s">
        <v>91</v>
      </c>
      <c r="J48" s="74" t="s">
        <v>90</v>
      </c>
      <c r="K48" s="73" t="s">
        <v>85</v>
      </c>
      <c r="L48" s="73" t="s">
        <v>85</v>
      </c>
      <c r="M48" s="73" t="s">
        <v>91</v>
      </c>
      <c r="N48" s="6"/>
      <c r="O48" s="72" t="s">
        <v>85</v>
      </c>
      <c r="P48" s="72" t="s">
        <v>92</v>
      </c>
      <c r="Q48" s="72" t="s">
        <v>92</v>
      </c>
      <c r="R48" s="72" t="s">
        <v>92</v>
      </c>
      <c r="S48" s="72" t="s">
        <v>92</v>
      </c>
      <c r="T48" s="72" t="s">
        <v>92</v>
      </c>
      <c r="U48" s="72"/>
      <c r="V48" s="72"/>
      <c r="W48" s="72"/>
      <c r="X48" s="72"/>
      <c r="Y48" s="72"/>
      <c r="Z48" s="72"/>
      <c r="AA48" s="72"/>
      <c r="AB48" s="72" t="s">
        <v>92</v>
      </c>
      <c r="AC48" s="72"/>
      <c r="AD48" s="75" t="s">
        <v>17</v>
      </c>
      <c r="AE48" s="93"/>
      <c r="AF48" s="93"/>
      <c r="AG48" s="6"/>
      <c r="AH48" s="72" t="s">
        <v>93</v>
      </c>
      <c r="AI48" s="72" t="s">
        <v>93</v>
      </c>
      <c r="AJ48" s="72" t="s">
        <v>93</v>
      </c>
      <c r="AK48" s="72" t="s">
        <v>93</v>
      </c>
      <c r="AL48" s="72" t="s">
        <v>93</v>
      </c>
      <c r="AM48" s="72" t="s">
        <v>93</v>
      </c>
      <c r="AN48" s="74" t="s">
        <v>17</v>
      </c>
      <c r="AO48" s="74" t="s">
        <v>17</v>
      </c>
      <c r="AP48" s="74" t="s">
        <v>17</v>
      </c>
      <c r="AQ48" s="74" t="s">
        <v>17</v>
      </c>
      <c r="AR48" s="74" t="s">
        <v>17</v>
      </c>
      <c r="AS48" s="74" t="s">
        <v>137</v>
      </c>
      <c r="AT48" s="75" t="s">
        <v>17</v>
      </c>
      <c r="AU48" s="112"/>
      <c r="AW48" s="74" t="s">
        <v>17</v>
      </c>
      <c r="AX48" s="66" t="s">
        <v>91</v>
      </c>
    </row>
    <row r="49" spans="2:50" x14ac:dyDescent="0.45">
      <c r="B49" s="9" t="s">
        <v>114</v>
      </c>
      <c r="C49" s="9">
        <v>56</v>
      </c>
      <c r="D49" s="76">
        <f>AVERAGE(116.3,116.7,116.5)</f>
        <v>116.5</v>
      </c>
      <c r="E49" s="76">
        <v>101</v>
      </c>
      <c r="F49" s="77">
        <f>(D49/10)*(PI()/4)*((E49/10)^2)</f>
        <v>933.38013645122351</v>
      </c>
      <c r="G49" s="76">
        <v>1896.2</v>
      </c>
      <c r="H49" s="77">
        <f t="shared" ref="H49:H56" si="29">G49/F49</f>
        <v>2.0315409830870035</v>
      </c>
      <c r="I49" s="78">
        <v>0.1430861723446894</v>
      </c>
      <c r="J49" s="77">
        <f t="shared" ref="J49:J56" si="30">H49/(1+I49)</f>
        <v>1.7772421994397172</v>
      </c>
      <c r="K49" s="79">
        <v>2.5</v>
      </c>
      <c r="L49" s="76">
        <f t="shared" ref="L49:L56" si="31">K49/J49-1</f>
        <v>0.40667377850252207</v>
      </c>
      <c r="M49" s="78">
        <f t="shared" ref="M49:M56" si="32">I49*(K49/L49)</f>
        <v>0.87961272590262429</v>
      </c>
      <c r="N49" s="6"/>
      <c r="O49" s="9">
        <v>0.46</v>
      </c>
      <c r="P49" s="8">
        <v>342.39</v>
      </c>
      <c r="Q49" s="8">
        <v>291.54000000000002</v>
      </c>
      <c r="R49" s="8">
        <v>249.73</v>
      </c>
      <c r="S49" s="8">
        <v>368.38</v>
      </c>
      <c r="T49" s="8">
        <v>240.69</v>
      </c>
      <c r="U49" s="8"/>
      <c r="V49" s="8">
        <f>(((($D49/10)/P49)*10000)^2)*(($H49*1000*(1+$O49)*(1-2*($O49)))/(1-$O49))/1000000</f>
        <v>50.872651951511962</v>
      </c>
      <c r="W49" s="8">
        <f>(((($D49/10)/Q49)*10000)^2)*(($H49*1000*(1+$O49)*(1-2*($O49)))/(1-$O49))/1000000</f>
        <v>70.166566056973153</v>
      </c>
      <c r="X49" s="8">
        <f>(((($D49/10)/R49)*10000)^2)*(($H49*1000*(1+$O49)*(1-2*($O49)))/(1-$O49))/1000000</f>
        <v>95.628003173898207</v>
      </c>
      <c r="Y49" s="8">
        <f>(((($D49/10)/S49)*10000)^2)*(($H49*1000*(1+$O49)*(1-2*($O49)))/(1-$O49))/1000000</f>
        <v>43.947526280781759</v>
      </c>
      <c r="Z49" s="8">
        <f>(((($D49/10)/T49)*10000)^2)*(($H49*1000*(1+$O49)*(1-2*($O49)))/(1-$O49))/1000000</f>
        <v>102.94622546268073</v>
      </c>
      <c r="AA49" s="8">
        <v>-70</v>
      </c>
      <c r="AB49" s="8">
        <f>T49+AA49</f>
        <v>170.69</v>
      </c>
      <c r="AC49" s="8">
        <f t="shared" ref="AC49:AC56" si="33">_xlfn.STDEV.S(P49:T49)</f>
        <v>56.076926003481987</v>
      </c>
      <c r="AD49" s="80">
        <f t="shared" ref="AD49:AD56" si="34">((((D49/10)/AB49)*10000)^2)*((H49*1000*(1+O49)*(1-2*(O49)))/(1-O49))/1000000</f>
        <v>204.69647543572381</v>
      </c>
      <c r="AE49" s="94">
        <f t="shared" ref="AE49:AE56" si="35">AVERAGE(V49:Z49)</f>
        <v>72.712194585169158</v>
      </c>
      <c r="AF49" s="94">
        <f>_xlfn.STDEV.S(V49:Z49)</f>
        <v>26.220616392878334</v>
      </c>
      <c r="AG49" s="6"/>
      <c r="AH49" s="8">
        <v>1.3700137001375599E-3</v>
      </c>
      <c r="AI49" s="8">
        <v>1.3300133001337101E-3</v>
      </c>
      <c r="AJ49" s="8">
        <v>1.32001320013586E-3</v>
      </c>
      <c r="AK49" s="8">
        <v>1.3000130001330501E-3</v>
      </c>
      <c r="AL49" s="8">
        <v>1.3000130001330501E-3</v>
      </c>
      <c r="AM49" s="8">
        <f t="shared" ref="AM49:AM56" si="36">AVERAGE(AH49:AL49)</f>
        <v>1.3240132401346459E-3</v>
      </c>
      <c r="AN49" s="8">
        <v>185.07503977296901</v>
      </c>
      <c r="AO49" s="8">
        <v>212.955633960933</v>
      </c>
      <c r="AP49" s="8">
        <v>219.92578250575701</v>
      </c>
      <c r="AQ49" s="8">
        <v>233.86607960035701</v>
      </c>
      <c r="AR49" s="8">
        <v>233.86607960035701</v>
      </c>
      <c r="AS49" s="8">
        <f>AVERAGE(AN49:AR49)</f>
        <v>217.13772308807461</v>
      </c>
      <c r="AT49" s="80">
        <v>217.13760864298627</v>
      </c>
      <c r="AU49" s="113">
        <f>_xlfn.STDEV.S(AN49:AR49)</f>
        <v>20.080803204507763</v>
      </c>
      <c r="AW49" s="82">
        <f t="shared" ref="AW49:AW56" si="37">AD49-AT49</f>
        <v>-12.441133207262453</v>
      </c>
      <c r="AX49" s="83">
        <f t="shared" ref="AX49:AX56" si="38">ABS(AW49)/AD49</f>
        <v>6.0778443697087785E-2</v>
      </c>
    </row>
    <row r="50" spans="2:50" x14ac:dyDescent="0.45">
      <c r="B50" s="9" t="s">
        <v>115</v>
      </c>
      <c r="C50" s="9">
        <v>56</v>
      </c>
      <c r="D50" s="84">
        <f t="shared" ref="D50:D56" si="39">AVERAGE(116.5,116.2,116.4,116.3)</f>
        <v>116.35000000000001</v>
      </c>
      <c r="E50" s="76">
        <v>101</v>
      </c>
      <c r="F50" s="77">
        <f t="shared" ref="F50:F56" si="40">(D50/10)*(PI()/4)*((E50/10)^2)</f>
        <v>932.17835945150102</v>
      </c>
      <c r="G50" s="76">
        <v>1853.2</v>
      </c>
      <c r="H50" s="77">
        <f t="shared" si="29"/>
        <v>1.9880315619968192</v>
      </c>
      <c r="I50" s="78">
        <v>0.17279256442754556</v>
      </c>
      <c r="J50" s="77">
        <f t="shared" si="30"/>
        <v>1.6951263354634258</v>
      </c>
      <c r="K50" s="79">
        <v>2.5</v>
      </c>
      <c r="L50" s="76">
        <f t="shared" si="31"/>
        <v>0.47481632943690411</v>
      </c>
      <c r="M50" s="78">
        <f t="shared" si="32"/>
        <v>0.90978634113355128</v>
      </c>
      <c r="N50" s="6"/>
      <c r="O50" s="9">
        <v>0.47</v>
      </c>
      <c r="P50" s="8">
        <v>415.84</v>
      </c>
      <c r="Q50" s="8">
        <v>463.3</v>
      </c>
      <c r="R50" s="8">
        <v>423.75</v>
      </c>
      <c r="S50" s="8">
        <v>420.36</v>
      </c>
      <c r="T50" s="8">
        <v>413.58</v>
      </c>
      <c r="U50" s="8"/>
      <c r="V50" s="8">
        <f t="shared" ref="V50:V56" si="41">(((($D50/10)/P50)*10000)^2)*(($H50*1000*(1+$O50)*(1-2*($O50)))/(1-$O50))/1000000</f>
        <v>25.899789921232152</v>
      </c>
      <c r="W50" s="8">
        <f t="shared" ref="W50:W56" si="42">(((($D50/10)/Q50)*10000)^2)*(($H50*1000*(1+$O50)*(1-2*($O50)))/(1-$O50))/1000000</f>
        <v>20.865277515127559</v>
      </c>
      <c r="X50" s="8">
        <f t="shared" ref="X50:X56" si="43">(((($D50/10)/R50)*10000)^2)*(($H50*1000*(1+$O50)*(1-2*($O50)))/(1-$O50))/1000000</f>
        <v>24.941889068749813</v>
      </c>
      <c r="Y50" s="8">
        <f t="shared" ref="Y50:Y56" si="44">(((($D50/10)/S50)*10000)^2)*(($H50*1000*(1+$O50)*(1-2*($O50)))/(1-$O50))/1000000</f>
        <v>25.345799733299671</v>
      </c>
      <c r="Z50" s="8">
        <f>(((($D50/10)/T50)*10000)^2)*(($H50*1000*(1+$O50)*(1-2*($O50)))/(1-$O50))/1000000</f>
        <v>26.183621116582628</v>
      </c>
      <c r="AA50" s="8">
        <v>-200</v>
      </c>
      <c r="AB50" s="8">
        <f>AVERAGE(P50:T50)+AA50</f>
        <v>227.36599999999999</v>
      </c>
      <c r="AC50" s="8">
        <f t="shared" si="33"/>
        <v>20.47140884257848</v>
      </c>
      <c r="AD50" s="80">
        <f t="shared" si="34"/>
        <v>86.635866407444553</v>
      </c>
      <c r="AE50" s="94">
        <f t="shared" si="35"/>
        <v>24.647275470998366</v>
      </c>
      <c r="AF50" s="94">
        <f>_xlfn.STDEV.S(V50:Z50)</f>
        <v>2.1683745205778431</v>
      </c>
      <c r="AG50" s="6"/>
      <c r="AH50" s="8">
        <v>1.59001590015961E-3</v>
      </c>
      <c r="AI50" s="8">
        <v>1.49001490014911E-3</v>
      </c>
      <c r="AJ50" s="8">
        <v>1.46001460014844E-3</v>
      </c>
      <c r="AK50" s="8">
        <v>1.46001460014134E-3</v>
      </c>
      <c r="AL50" s="8">
        <v>1.4200142001428199E-3</v>
      </c>
      <c r="AM50" s="8">
        <f t="shared" si="36"/>
        <v>1.484014840148264E-3</v>
      </c>
      <c r="AN50" s="8">
        <v>86.390918651402302</v>
      </c>
      <c r="AO50" s="8">
        <v>100.017086441282</v>
      </c>
      <c r="AP50" s="8">
        <v>120.939595994955</v>
      </c>
      <c r="AQ50" s="8">
        <v>120.93959599991101</v>
      </c>
      <c r="AR50" s="8">
        <v>148.836275403157</v>
      </c>
      <c r="AS50" s="8">
        <f t="shared" ref="AS50:AS55" si="45">AVERAGE(AN50:AR50)</f>
        <v>115.42469449814148</v>
      </c>
      <c r="AT50" s="80">
        <v>104.20158240318801</v>
      </c>
      <c r="AU50" s="113">
        <f>_xlfn.STDEV.S(AO50:AR50)</f>
        <v>20.031777810271894</v>
      </c>
      <c r="AW50" s="82">
        <f t="shared" si="37"/>
        <v>-17.56571599574346</v>
      </c>
      <c r="AX50" s="83">
        <f t="shared" si="38"/>
        <v>0.20275339445597154</v>
      </c>
    </row>
    <row r="51" spans="2:50" x14ac:dyDescent="0.45">
      <c r="B51" s="9" t="s">
        <v>116</v>
      </c>
      <c r="C51" s="9">
        <v>56</v>
      </c>
      <c r="D51" s="84">
        <f t="shared" si="39"/>
        <v>116.35000000000001</v>
      </c>
      <c r="E51" s="76">
        <v>101</v>
      </c>
      <c r="F51" s="77">
        <f t="shared" si="40"/>
        <v>932.17835945150102</v>
      </c>
      <c r="G51" s="76">
        <v>1805</v>
      </c>
      <c r="H51" s="77">
        <f t="shared" si="29"/>
        <v>1.9363247190828075</v>
      </c>
      <c r="I51" s="78">
        <v>0.1863437537080784</v>
      </c>
      <c r="J51" s="77">
        <f t="shared" si="30"/>
        <v>1.6321784584194605</v>
      </c>
      <c r="K51" s="79">
        <v>2.5</v>
      </c>
      <c r="L51" s="76">
        <f t="shared" si="31"/>
        <v>0.53169525495447645</v>
      </c>
      <c r="M51" s="78">
        <f t="shared" si="32"/>
        <v>0.87617743421479799</v>
      </c>
      <c r="N51" s="6"/>
      <c r="O51" s="9">
        <v>0.46</v>
      </c>
      <c r="P51" s="8">
        <v>574.04</v>
      </c>
      <c r="Q51" s="8">
        <v>996.66</v>
      </c>
      <c r="R51" s="8">
        <v>1033.95</v>
      </c>
      <c r="S51" s="8">
        <v>923.21</v>
      </c>
      <c r="T51" s="8">
        <v>1048.6400000000001</v>
      </c>
      <c r="U51" s="8"/>
      <c r="V51" s="8">
        <f t="shared" si="41"/>
        <v>17.205834308716298</v>
      </c>
      <c r="W51" s="8">
        <f t="shared" si="42"/>
        <v>5.7077637726108996</v>
      </c>
      <c r="X51" s="8">
        <f t="shared" si="43"/>
        <v>5.3034804563224478</v>
      </c>
      <c r="Y51" s="8">
        <f t="shared" si="44"/>
        <v>6.6521042669535557</v>
      </c>
      <c r="Z51" s="8">
        <f>(((($D51/10)/T51)*10000)^2)*(($H51*1000*(1+$O51)*(1-2*($O51)))/(1-$O51))/1000000</f>
        <v>5.1559323269412358</v>
      </c>
      <c r="AA51" s="8">
        <v>-300</v>
      </c>
      <c r="AB51" s="8">
        <f>P51+AA51</f>
        <v>274.03999999999996</v>
      </c>
      <c r="AC51" s="8">
        <f t="shared" si="33"/>
        <v>196.84878930285555</v>
      </c>
      <c r="AD51" s="80">
        <f t="shared" si="34"/>
        <v>75.497423408578115</v>
      </c>
      <c r="AE51" s="94">
        <f t="shared" si="35"/>
        <v>8.0050230263088871</v>
      </c>
      <c r="AF51" s="94">
        <f>_xlfn.STDEV.S(V51:Z51)</f>
        <v>5.1763492823916071</v>
      </c>
      <c r="AG51" s="6"/>
      <c r="AH51" s="8">
        <v>1.60001600015391E-3</v>
      </c>
      <c r="AI51" s="8">
        <v>1.60001600015391E-3</v>
      </c>
      <c r="AJ51" s="8">
        <v>1.5300153001476201E-3</v>
      </c>
      <c r="AK51" s="8">
        <v>1.5300153001476201E-3</v>
      </c>
      <c r="AL51" s="8">
        <v>1.6200162001496199E-3</v>
      </c>
      <c r="AM51" s="8">
        <f t="shared" si="36"/>
        <v>1.5760157601505359E-3</v>
      </c>
      <c r="AN51" s="8">
        <v>85.272145278396806</v>
      </c>
      <c r="AO51" s="8">
        <v>85.272145278396806</v>
      </c>
      <c r="AP51" s="8">
        <v>94.822954012427104</v>
      </c>
      <c r="AQ51" s="8">
        <v>94.822954012427104</v>
      </c>
      <c r="AR51" s="8">
        <v>82.543342783790493</v>
      </c>
      <c r="AS51" s="8">
        <f t="shared" si="45"/>
        <v>88.54670827308766</v>
      </c>
      <c r="AT51" s="80">
        <v>88.546707922032653</v>
      </c>
      <c r="AU51" s="113">
        <f t="shared" ref="AU51:AU55" si="46">_xlfn.STDEV.S(AN51:AR51)</f>
        <v>5.8367037780676077</v>
      </c>
      <c r="AW51" s="82">
        <f t="shared" si="37"/>
        <v>-13.049284513454538</v>
      </c>
      <c r="AX51" s="83">
        <f t="shared" si="38"/>
        <v>0.17284410413364995</v>
      </c>
    </row>
    <row r="52" spans="2:50" x14ac:dyDescent="0.45">
      <c r="B52" s="9" t="s">
        <v>117</v>
      </c>
      <c r="C52" s="9">
        <v>25</v>
      </c>
      <c r="D52" s="76">
        <f t="shared" si="39"/>
        <v>116.35000000000001</v>
      </c>
      <c r="E52" s="76">
        <v>101</v>
      </c>
      <c r="F52" s="77">
        <f t="shared" si="40"/>
        <v>932.17835945150102</v>
      </c>
      <c r="G52" s="76">
        <v>1748.1999999999998</v>
      </c>
      <c r="H52" s="77">
        <f t="shared" si="29"/>
        <v>1.8753921739061294</v>
      </c>
      <c r="I52" s="78">
        <v>0.16556028504471754</v>
      </c>
      <c r="J52" s="77">
        <f t="shared" si="30"/>
        <v>1.6090048691339709</v>
      </c>
      <c r="K52" s="79">
        <v>2.5</v>
      </c>
      <c r="L52" s="76">
        <f t="shared" si="31"/>
        <v>0.55375539748714209</v>
      </c>
      <c r="M52" s="78">
        <f t="shared" si="32"/>
        <v>0.74744321137096337</v>
      </c>
      <c r="N52" s="6"/>
      <c r="O52" s="9">
        <v>0.4</v>
      </c>
      <c r="P52" s="8">
        <v>397.76</v>
      </c>
      <c r="Q52" s="8">
        <v>418.1</v>
      </c>
      <c r="R52" s="8">
        <v>400.02</v>
      </c>
      <c r="S52" s="8">
        <v>389.85</v>
      </c>
      <c r="T52" s="8">
        <v>402.28</v>
      </c>
      <c r="U52" s="8"/>
      <c r="V52" s="8">
        <f t="shared" si="41"/>
        <v>74.884070182015805</v>
      </c>
      <c r="W52" s="8">
        <f t="shared" si="42"/>
        <v>67.775279998776355</v>
      </c>
      <c r="X52" s="8">
        <f t="shared" si="43"/>
        <v>74.040312744042964</v>
      </c>
      <c r="Y52" s="8">
        <f t="shared" si="44"/>
        <v>77.953672185108019</v>
      </c>
      <c r="Z52" s="8">
        <f>(((($D52/10)/T52)*10000)^2)*(($H52*1000*(1+$O52)*(1-2*($O52)))/(1-$O52))/1000000</f>
        <v>73.210735953734428</v>
      </c>
      <c r="AA52" s="8">
        <v>0</v>
      </c>
      <c r="AB52" s="8">
        <f>AVERAGE(P52:T52)</f>
        <v>401.60199999999998</v>
      </c>
      <c r="AC52" s="8">
        <f t="shared" si="33"/>
        <v>10.344284412176615</v>
      </c>
      <c r="AD52" s="80">
        <f t="shared" si="34"/>
        <v>73.45813899666885</v>
      </c>
      <c r="AE52" s="94">
        <f t="shared" si="35"/>
        <v>73.572814212735508</v>
      </c>
      <c r="AF52" s="94">
        <f>_xlfn.STDEV.S(V52:Z52)</f>
        <v>3.703794246968771</v>
      </c>
      <c r="AG52" s="6"/>
      <c r="AH52" s="8">
        <v>1.68001680016694E-3</v>
      </c>
      <c r="AI52" s="8">
        <v>1.7000170001679701E-3</v>
      </c>
      <c r="AJ52" s="8">
        <v>1.6800168001722699E-3</v>
      </c>
      <c r="AK52" s="8">
        <v>1.66001660016946E-3</v>
      </c>
      <c r="AL52" s="8">
        <v>1.7100171001658299E-3</v>
      </c>
      <c r="AM52" s="8">
        <f t="shared" si="36"/>
        <v>1.686016860168494E-3</v>
      </c>
      <c r="AN52" s="8">
        <v>75.681555822854193</v>
      </c>
      <c r="AO52" s="8">
        <v>72.9142132137478</v>
      </c>
      <c r="AP52" s="8">
        <v>75.681555822116806</v>
      </c>
      <c r="AQ52" s="8">
        <v>78.448898431468905</v>
      </c>
      <c r="AR52" s="8">
        <v>71.530541909563397</v>
      </c>
      <c r="AS52" s="8">
        <f t="shared" si="45"/>
        <v>74.851353039950226</v>
      </c>
      <c r="AT52" s="80">
        <v>74.851347637731493</v>
      </c>
      <c r="AU52" s="113">
        <f t="shared" si="46"/>
        <v>2.6972719289245068</v>
      </c>
      <c r="AW52" s="82">
        <f t="shared" si="37"/>
        <v>-1.3932086410626425</v>
      </c>
      <c r="AX52" s="83">
        <f t="shared" si="38"/>
        <v>1.896602146599196E-2</v>
      </c>
    </row>
    <row r="53" spans="2:50" x14ac:dyDescent="0.45">
      <c r="B53" s="9" t="s">
        <v>118</v>
      </c>
      <c r="C53" s="9">
        <v>25</v>
      </c>
      <c r="D53" s="76">
        <f t="shared" si="39"/>
        <v>116.35000000000001</v>
      </c>
      <c r="E53" s="76">
        <v>101</v>
      </c>
      <c r="F53" s="77">
        <f t="shared" si="40"/>
        <v>932.17835945150102</v>
      </c>
      <c r="G53" s="76">
        <v>1788.6</v>
      </c>
      <c r="H53" s="77">
        <f t="shared" si="29"/>
        <v>1.9187315194191186</v>
      </c>
      <c r="I53" s="78">
        <v>0.19470446643487566</v>
      </c>
      <c r="J53" s="77">
        <f t="shared" si="30"/>
        <v>1.6060302554528956</v>
      </c>
      <c r="K53" s="79">
        <v>2.5</v>
      </c>
      <c r="L53" s="76">
        <f t="shared" si="31"/>
        <v>0.55663319013564139</v>
      </c>
      <c r="M53" s="78">
        <f t="shared" si="32"/>
        <v>0.87447384509819537</v>
      </c>
      <c r="N53" s="6"/>
      <c r="O53" s="9">
        <v>0.46</v>
      </c>
      <c r="P53" s="8">
        <v>870.1</v>
      </c>
      <c r="Q53" s="8">
        <v>706.25</v>
      </c>
      <c r="R53" s="8">
        <v>197.75</v>
      </c>
      <c r="S53" s="8">
        <v>72.320000000000107</v>
      </c>
      <c r="T53" s="8"/>
      <c r="U53" s="8"/>
      <c r="V53" s="8">
        <f t="shared" si="41"/>
        <v>7.4209196749109161</v>
      </c>
      <c r="W53" s="8">
        <f t="shared" si="42"/>
        <v>11.263649984651982</v>
      </c>
      <c r="X53" s="8"/>
      <c r="Y53" s="8"/>
      <c r="Z53" s="8"/>
      <c r="AA53" s="8">
        <v>0</v>
      </c>
      <c r="AB53" s="8">
        <f>AVERAGE(P53:T53)</f>
        <v>461.60500000000002</v>
      </c>
      <c r="AC53" s="8">
        <f t="shared" si="33"/>
        <v>386.38565074288147</v>
      </c>
      <c r="AD53" s="80">
        <f t="shared" si="34"/>
        <v>26.366656380882276</v>
      </c>
      <c r="AE53" s="94">
        <f t="shared" si="35"/>
        <v>9.3422848297814483</v>
      </c>
      <c r="AF53" s="94">
        <f>_xlfn.STDEV.S(V53:W53)</f>
        <v>2.7172206602889983</v>
      </c>
      <c r="AG53" s="6"/>
      <c r="AH53" s="8">
        <v>2.2200222002215502E-3</v>
      </c>
      <c r="AI53" s="8">
        <v>1.72001720017079E-3</v>
      </c>
      <c r="AJ53" s="8">
        <v>1.7000170001679701E-3</v>
      </c>
      <c r="AK53" s="8">
        <v>1.7900179001770801E-3</v>
      </c>
      <c r="AL53" s="8">
        <v>2.4200242002336801E-3</v>
      </c>
      <c r="AM53" s="8">
        <f t="shared" si="36"/>
        <v>1.9700197001942142E-3</v>
      </c>
      <c r="AN53" s="8"/>
      <c r="AO53" s="8">
        <v>68.899330304942396</v>
      </c>
      <c r="AP53" s="8">
        <v>71.628132800518202</v>
      </c>
      <c r="AQ53" s="8">
        <v>59.348521570912098</v>
      </c>
      <c r="AR53" s="8"/>
      <c r="AS53" s="8">
        <f t="shared" si="45"/>
        <v>66.625328225457565</v>
      </c>
      <c r="AT53" s="80">
        <v>34.789304082209583</v>
      </c>
      <c r="AU53" s="113">
        <f>_xlfn.STDEV.S(AO53:AQ53)</f>
        <v>6.447908737000942</v>
      </c>
      <c r="AW53" s="82">
        <f>AD53-AT53</f>
        <v>-8.4226477013273069</v>
      </c>
      <c r="AX53" s="83">
        <f t="shared" si="38"/>
        <v>0.31944314742290697</v>
      </c>
    </row>
    <row r="54" spans="2:50" x14ac:dyDescent="0.45">
      <c r="B54" s="9" t="s">
        <v>107</v>
      </c>
      <c r="C54" s="9">
        <v>25</v>
      </c>
      <c r="D54" s="76">
        <f t="shared" si="39"/>
        <v>116.35000000000001</v>
      </c>
      <c r="E54" s="76">
        <v>101</v>
      </c>
      <c r="F54" s="77">
        <f t="shared" si="40"/>
        <v>932.17835945150102</v>
      </c>
      <c r="G54" s="76">
        <v>1781.4</v>
      </c>
      <c r="H54" s="77">
        <f t="shared" si="29"/>
        <v>1.9110076756643286</v>
      </c>
      <c r="I54" s="78">
        <v>0.13297332509443671</v>
      </c>
      <c r="J54" s="77">
        <f t="shared" si="30"/>
        <v>1.6867190368361413</v>
      </c>
      <c r="K54" s="79">
        <v>2.5</v>
      </c>
      <c r="L54" s="76">
        <f t="shared" si="31"/>
        <v>0.48216741816667241</v>
      </c>
      <c r="M54" s="78">
        <f t="shared" si="32"/>
        <v>0.68945619345266185</v>
      </c>
      <c r="N54" s="6"/>
      <c r="O54" s="9">
        <v>0.32</v>
      </c>
      <c r="P54" s="8">
        <v>364.99</v>
      </c>
      <c r="Q54" s="8">
        <v>287.02</v>
      </c>
      <c r="R54" s="8">
        <v>303.97000000000003</v>
      </c>
      <c r="S54" s="8">
        <v>238.43</v>
      </c>
      <c r="T54" s="8">
        <v>250.86</v>
      </c>
      <c r="U54" s="8"/>
      <c r="V54" s="8">
        <f t="shared" si="41"/>
        <v>135.70654516451461</v>
      </c>
      <c r="W54" s="8">
        <f t="shared" si="42"/>
        <v>219.45142523511441</v>
      </c>
      <c r="X54" s="8">
        <f t="shared" si="43"/>
        <v>195.65965299634658</v>
      </c>
      <c r="Y54" s="8"/>
      <c r="Z54" s="8">
        <f>(((($D54/10)/T54)*10000)^2)*(($H54*1000*(1+$O54)*(1-2*($O54)))/(1-$O54))/1000000</f>
        <v>287.27636049161271</v>
      </c>
      <c r="AA54" s="8">
        <v>0</v>
      </c>
      <c r="AB54" s="8">
        <f>AVERAGE(P54:T54)</f>
        <v>289.05399999999997</v>
      </c>
      <c r="AC54" s="8">
        <f t="shared" si="33"/>
        <v>50.03616522076824</v>
      </c>
      <c r="AD54" s="80">
        <f t="shared" si="34"/>
        <v>216.37384303347091</v>
      </c>
      <c r="AE54" s="94">
        <f t="shared" si="35"/>
        <v>209.52349597189709</v>
      </c>
      <c r="AF54" s="94">
        <f>_xlfn.STDEV.S(W54:X54)</f>
        <v>16.823323486478582</v>
      </c>
      <c r="AG54" s="6"/>
      <c r="AH54" s="8">
        <v>1.4200142001410401E-3</v>
      </c>
      <c r="AI54" s="8">
        <v>1.42001420013926E-3</v>
      </c>
      <c r="AJ54" s="8">
        <v>1.40001400014E-3</v>
      </c>
      <c r="AK54" s="8">
        <v>1.3900139001350501E-3</v>
      </c>
      <c r="AL54" s="8">
        <v>1.40001400014E-3</v>
      </c>
      <c r="AM54" s="8">
        <f t="shared" si="36"/>
        <v>1.4060140601390699E-3</v>
      </c>
      <c r="AN54" s="8">
        <v>169.48987586403899</v>
      </c>
      <c r="AO54" s="8">
        <v>169.489875865268</v>
      </c>
      <c r="AP54" s="8">
        <v>183.31854247311199</v>
      </c>
      <c r="AQ54" s="8">
        <v>190.23287578071901</v>
      </c>
      <c r="AR54" s="8">
        <v>183.31854247311199</v>
      </c>
      <c r="AS54" s="8">
        <f t="shared" si="45"/>
        <v>179.16994249125</v>
      </c>
      <c r="AT54" s="80">
        <v>179.16977933051805</v>
      </c>
      <c r="AU54" s="113">
        <f t="shared" si="46"/>
        <v>9.2765515734154551</v>
      </c>
      <c r="AW54" s="82">
        <f t="shared" si="37"/>
        <v>37.204063702952851</v>
      </c>
      <c r="AX54" s="83">
        <f t="shared" si="38"/>
        <v>0.17194344372391512</v>
      </c>
    </row>
    <row r="55" spans="2:50" x14ac:dyDescent="0.45">
      <c r="B55" s="9" t="s">
        <v>108</v>
      </c>
      <c r="C55" s="9">
        <v>25</v>
      </c>
      <c r="D55" s="76">
        <f t="shared" si="39"/>
        <v>116.35000000000001</v>
      </c>
      <c r="E55" s="76">
        <v>101</v>
      </c>
      <c r="F55" s="77">
        <f t="shared" si="40"/>
        <v>932.17835945150102</v>
      </c>
      <c r="G55" s="76">
        <v>1808.4</v>
      </c>
      <c r="H55" s="77">
        <f t="shared" si="29"/>
        <v>1.9399720897447918</v>
      </c>
      <c r="I55" s="78">
        <v>0.15578764142732804</v>
      </c>
      <c r="J55" s="77">
        <f t="shared" si="30"/>
        <v>1.678484887889131</v>
      </c>
      <c r="K55" s="79">
        <v>2.5</v>
      </c>
      <c r="L55" s="76">
        <f t="shared" si="31"/>
        <v>0.48943849184368271</v>
      </c>
      <c r="M55" s="78">
        <f t="shared" si="32"/>
        <v>0.79574677933730853</v>
      </c>
      <c r="N55" s="6"/>
      <c r="O55" s="9">
        <v>0.44</v>
      </c>
      <c r="P55" s="8">
        <v>283.63</v>
      </c>
      <c r="Q55" s="8">
        <v>277.98</v>
      </c>
      <c r="R55" s="8">
        <v>296.06</v>
      </c>
      <c r="S55" s="8">
        <v>363.86</v>
      </c>
      <c r="T55" s="8">
        <v>279.11</v>
      </c>
      <c r="U55" s="8"/>
      <c r="V55" s="8">
        <f t="shared" si="41"/>
        <v>100.73482545478518</v>
      </c>
      <c r="W55" s="8">
        <f t="shared" si="42"/>
        <v>104.87135201396195</v>
      </c>
      <c r="X55" s="8">
        <f t="shared" si="43"/>
        <v>92.453743058052012</v>
      </c>
      <c r="Y55" s="8">
        <f t="shared" si="44"/>
        <v>61.209007546747038</v>
      </c>
      <c r="Z55" s="8">
        <f>(((($D55/10)/T55)*10000)^2)*(($H55*1000*(1+$O55)*(1-2*($O55)))/(1-$O55))/1000000</f>
        <v>104.02391021778621</v>
      </c>
      <c r="AA55" s="8">
        <v>0</v>
      </c>
      <c r="AB55" s="8">
        <f>AVERAGE(P55:T55)</f>
        <v>300.12800000000004</v>
      </c>
      <c r="AC55" s="8">
        <f t="shared" si="33"/>
        <v>36.341404348208187</v>
      </c>
      <c r="AD55" s="80">
        <f t="shared" si="34"/>
        <v>89.964452196165865</v>
      </c>
      <c r="AE55" s="94">
        <f t="shared" si="35"/>
        <v>92.658567658266477</v>
      </c>
      <c r="AF55" s="94">
        <f>_xlfn.STDEV.S(V55:Z55)</f>
        <v>18.252847980073621</v>
      </c>
      <c r="AG55" s="6"/>
      <c r="AH55" s="8">
        <v>1.4800148001477E-3</v>
      </c>
      <c r="AI55" s="8">
        <v>1.52001520014977E-3</v>
      </c>
      <c r="AJ55" s="8">
        <v>1.5000150001611701E-3</v>
      </c>
      <c r="AK55" s="8">
        <v>1.5100151001519199E-3</v>
      </c>
      <c r="AL55" s="8">
        <v>1.57001570015325E-3</v>
      </c>
      <c r="AM55" s="8">
        <f t="shared" si="36"/>
        <v>1.516015160152762E-3</v>
      </c>
      <c r="AN55" s="8">
        <v>111.222824839551</v>
      </c>
      <c r="AO55" s="8">
        <v>89.872768396403501</v>
      </c>
      <c r="AP55" s="8">
        <v>96.726591817348705</v>
      </c>
      <c r="AQ55" s="8">
        <v>99.468121183973494</v>
      </c>
      <c r="AR55" s="8">
        <v>98.097356501148099</v>
      </c>
      <c r="AS55" s="8">
        <f t="shared" si="45"/>
        <v>99.077532547684967</v>
      </c>
      <c r="AT55" s="80">
        <v>97.274894332241047</v>
      </c>
      <c r="AU55" s="113">
        <f t="shared" si="46"/>
        <v>7.7278074966016908</v>
      </c>
      <c r="AW55" s="82">
        <f t="shared" si="37"/>
        <v>-7.3104421360751815</v>
      </c>
      <c r="AX55" s="83">
        <f t="shared" si="38"/>
        <v>8.1259230258356865E-2</v>
      </c>
    </row>
    <row r="56" spans="2:50" x14ac:dyDescent="0.45">
      <c r="B56" s="9" t="s">
        <v>114</v>
      </c>
      <c r="C56" s="9">
        <v>25</v>
      </c>
      <c r="D56" s="84">
        <f t="shared" si="39"/>
        <v>116.35000000000001</v>
      </c>
      <c r="E56" s="76">
        <v>101</v>
      </c>
      <c r="F56" s="77">
        <f t="shared" si="40"/>
        <v>932.17835945150102</v>
      </c>
      <c r="G56" s="76">
        <v>1746.2</v>
      </c>
      <c r="H56" s="77">
        <f t="shared" si="29"/>
        <v>1.8732466617520214</v>
      </c>
      <c r="I56" s="78">
        <v>0.16935064935064942</v>
      </c>
      <c r="J56" s="77">
        <f t="shared" si="30"/>
        <v>1.601954608561813</v>
      </c>
      <c r="K56" s="79">
        <v>2.5</v>
      </c>
      <c r="L56" s="76">
        <f t="shared" si="31"/>
        <v>0.56059353157604463</v>
      </c>
      <c r="M56" s="78">
        <f t="shared" si="32"/>
        <v>0.75522923389135188</v>
      </c>
      <c r="N56" s="6"/>
      <c r="O56" s="9">
        <v>0.4</v>
      </c>
      <c r="P56" s="8">
        <v>448.61</v>
      </c>
      <c r="Q56" s="8">
        <v>480.25</v>
      </c>
      <c r="R56" s="8">
        <v>359.34</v>
      </c>
      <c r="S56" s="8">
        <v>479.12</v>
      </c>
      <c r="T56" s="8">
        <v>418.1</v>
      </c>
      <c r="U56" s="8"/>
      <c r="V56" s="8">
        <f t="shared" si="41"/>
        <v>58.802612712735076</v>
      </c>
      <c r="W56" s="8">
        <f t="shared" si="42"/>
        <v>51.309735568395659</v>
      </c>
      <c r="X56" s="8">
        <f t="shared" si="43"/>
        <v>91.648085390624047</v>
      </c>
      <c r="Y56" s="8">
        <f t="shared" si="44"/>
        <v>51.552048032226011</v>
      </c>
      <c r="Z56" s="8">
        <f>(((($D56/10)/T56)*10000)^2)*(($H56*1000*(1+$O56)*(1-2*($O56)))/(1-$O56))/1000000</f>
        <v>67.69774278335619</v>
      </c>
      <c r="AA56" s="8">
        <v>-40</v>
      </c>
      <c r="AB56" s="8">
        <f>R56+AA56</f>
        <v>319.33999999999997</v>
      </c>
      <c r="AC56" s="8">
        <f t="shared" si="33"/>
        <v>50.417505194128502</v>
      </c>
      <c r="AD56" s="80">
        <f t="shared" si="34"/>
        <v>116.04538711425469</v>
      </c>
      <c r="AE56" s="94">
        <f t="shared" si="35"/>
        <v>64.202044897467403</v>
      </c>
      <c r="AF56" s="94">
        <f>_xlfn.STDEV.S(V56:Z56)</f>
        <v>16.739869853929648</v>
      </c>
      <c r="AG56" s="6"/>
      <c r="AH56" s="8">
        <v>1.4800148001477E-3</v>
      </c>
      <c r="AI56" s="8">
        <v>1.4200142001428199E-3</v>
      </c>
      <c r="AJ56" s="8">
        <v>1.46001460014844E-3</v>
      </c>
      <c r="AK56" s="8">
        <v>1.46001460014134E-3</v>
      </c>
      <c r="AL56" s="8"/>
      <c r="AM56" s="8">
        <f t="shared" si="36"/>
        <v>1.455014550145075E-3</v>
      </c>
      <c r="AN56" s="8">
        <v>116.842222146642</v>
      </c>
      <c r="AO56" s="8">
        <v>158.51892875069001</v>
      </c>
      <c r="AP56" s="8">
        <v>130.734457679679</v>
      </c>
      <c r="AQ56" s="8">
        <v>130.73445768461499</v>
      </c>
      <c r="AR56" s="8"/>
      <c r="AS56" s="8">
        <f>AVERAGE(AN56:AR56)</f>
        <v>134.20751656540648</v>
      </c>
      <c r="AT56" s="80">
        <v>134.20744380989277</v>
      </c>
      <c r="AU56" s="113">
        <f>_xlfn.STDEV.S(AN56:AR56)</f>
        <v>17.480679703664464</v>
      </c>
      <c r="AW56" s="82">
        <f t="shared" si="37"/>
        <v>-18.162056695638071</v>
      </c>
      <c r="AX56" s="83">
        <f t="shared" si="38"/>
        <v>0.15650821758004282</v>
      </c>
    </row>
    <row r="59" spans="2:50" x14ac:dyDescent="0.45">
      <c r="C59" s="66"/>
      <c r="O59" s="65"/>
      <c r="P59" s="67"/>
      <c r="Q59" s="67"/>
      <c r="R59" s="67"/>
      <c r="AD59" s="65"/>
      <c r="AE59" s="65"/>
      <c r="AF59" s="65"/>
      <c r="AG59" s="67"/>
      <c r="AH59" s="67"/>
      <c r="AT59" s="65"/>
      <c r="AU59" s="65"/>
    </row>
    <row r="60" spans="2:50" x14ac:dyDescent="0.45">
      <c r="C60" s="66"/>
      <c r="O60" s="65"/>
      <c r="P60" s="67"/>
      <c r="Q60" s="67"/>
      <c r="R60" s="67"/>
      <c r="AD60" s="65"/>
      <c r="AE60" s="65"/>
      <c r="AF60" s="65"/>
      <c r="AG60" s="67"/>
      <c r="AH60" s="67"/>
      <c r="AT60" s="65"/>
      <c r="AU60" s="65"/>
    </row>
    <row r="61" spans="2:50" x14ac:dyDescent="0.45">
      <c r="C61" s="66"/>
      <c r="O61" s="65"/>
      <c r="P61" s="67"/>
      <c r="Q61" s="67"/>
      <c r="R61" s="67"/>
      <c r="AD61" s="65"/>
      <c r="AE61" s="65"/>
      <c r="AF61" s="65"/>
      <c r="AG61" s="67"/>
      <c r="AH61" s="67"/>
      <c r="AT61" s="65"/>
      <c r="AU61" s="65"/>
    </row>
    <row r="62" spans="2:50" x14ac:dyDescent="0.45">
      <c r="C62" s="66"/>
      <c r="O62" s="65"/>
      <c r="P62" s="67"/>
      <c r="Q62" s="67"/>
      <c r="R62" s="67"/>
      <c r="AD62" s="65"/>
      <c r="AE62" s="65"/>
      <c r="AF62" s="65"/>
      <c r="AG62" s="67"/>
      <c r="AH62" s="67"/>
      <c r="AT62" s="65"/>
      <c r="AU62" s="65"/>
    </row>
    <row r="63" spans="2:50" x14ac:dyDescent="0.45">
      <c r="C63" s="66"/>
      <c r="O63" s="65"/>
      <c r="P63" s="67"/>
      <c r="Q63" s="67"/>
      <c r="R63" s="67"/>
      <c r="Z63" s="65" t="s">
        <v>121</v>
      </c>
      <c r="AB63" s="65" t="s">
        <v>122</v>
      </c>
      <c r="AD63" s="65"/>
      <c r="AE63" s="65"/>
      <c r="AF63" s="65"/>
      <c r="AG63" s="67"/>
      <c r="AH63" s="67"/>
      <c r="AT63" s="65"/>
      <c r="AU63" s="65"/>
    </row>
    <row r="64" spans="2:50" x14ac:dyDescent="0.45">
      <c r="C64" s="66"/>
      <c r="O64" s="65"/>
      <c r="P64" s="67"/>
      <c r="Q64" s="67"/>
      <c r="R64" s="67"/>
      <c r="Z64" s="65">
        <v>0</v>
      </c>
      <c r="AB64" s="65">
        <v>0</v>
      </c>
      <c r="AD64" s="65"/>
      <c r="AE64" s="65"/>
      <c r="AF64" s="65"/>
      <c r="AG64" s="67"/>
      <c r="AH64" s="67"/>
      <c r="AT64" s="65"/>
      <c r="AU64" s="65"/>
    </row>
    <row r="65" spans="3:47" x14ac:dyDescent="0.45">
      <c r="C65" s="66"/>
      <c r="O65" s="65"/>
      <c r="P65" s="67"/>
      <c r="Q65" s="67"/>
      <c r="R65" s="67"/>
      <c r="Z65" s="65">
        <v>1000</v>
      </c>
      <c r="AB65" s="65">
        <v>1000</v>
      </c>
      <c r="AD65" s="65"/>
      <c r="AE65" s="65"/>
      <c r="AF65" s="65"/>
      <c r="AG65" s="67"/>
      <c r="AH65" s="67"/>
      <c r="AT65" s="65"/>
      <c r="AU65" s="65"/>
    </row>
    <row r="66" spans="3:47" x14ac:dyDescent="0.45">
      <c r="C66" s="66"/>
      <c r="O66" s="65"/>
      <c r="P66" s="67"/>
      <c r="Q66" s="67"/>
      <c r="R66" s="67"/>
      <c r="AD66" s="65"/>
      <c r="AE66" s="65"/>
      <c r="AF66" s="65"/>
      <c r="AG66" s="67"/>
      <c r="AH66" s="67"/>
      <c r="AT66" s="65"/>
      <c r="AU66" s="65"/>
    </row>
    <row r="67" spans="3:47" x14ac:dyDescent="0.45">
      <c r="C67" s="66"/>
      <c r="O67" s="65"/>
      <c r="P67" s="67"/>
      <c r="Q67" s="67"/>
      <c r="R67" s="67"/>
      <c r="AD67" s="65"/>
      <c r="AE67" s="65"/>
      <c r="AF67" s="65"/>
      <c r="AG67" s="67"/>
      <c r="AH67" s="67"/>
      <c r="AT67" s="65"/>
      <c r="AU67" s="65"/>
    </row>
    <row r="68" spans="3:47" x14ac:dyDescent="0.45">
      <c r="C68" s="66"/>
      <c r="O68" s="65"/>
      <c r="P68" s="67"/>
      <c r="Q68" s="67"/>
      <c r="R68" s="67"/>
      <c r="AD68" s="65"/>
      <c r="AE68" s="65"/>
      <c r="AF68" s="65"/>
      <c r="AG68" s="67"/>
      <c r="AH68" s="67"/>
      <c r="AT68" s="65"/>
      <c r="AU68" s="65"/>
    </row>
    <row r="69" spans="3:47" x14ac:dyDescent="0.45">
      <c r="C69" s="66"/>
      <c r="O69" s="65"/>
      <c r="P69" s="67"/>
      <c r="Q69" s="67"/>
      <c r="R69" s="67"/>
      <c r="AD69" s="65"/>
      <c r="AE69" s="65"/>
      <c r="AF69" s="65"/>
      <c r="AG69" s="67"/>
      <c r="AH69" s="67"/>
      <c r="AT69" s="65"/>
      <c r="AU69" s="65"/>
    </row>
    <row r="70" spans="3:47" x14ac:dyDescent="0.45">
      <c r="C70" s="66"/>
      <c r="O70" s="65"/>
      <c r="P70" s="67"/>
      <c r="Q70" s="67"/>
      <c r="R70" s="67"/>
      <c r="AD70" s="65"/>
      <c r="AE70" s="65"/>
      <c r="AF70" s="65"/>
      <c r="AG70" s="67"/>
      <c r="AH70" s="67"/>
      <c r="AT70" s="65"/>
      <c r="AU70" s="65"/>
    </row>
    <row r="71" spans="3:47" x14ac:dyDescent="0.45">
      <c r="C71" s="66"/>
      <c r="O71" s="65"/>
      <c r="P71" s="67"/>
      <c r="Q71" s="67"/>
      <c r="R71" s="67"/>
      <c r="AD71" s="65"/>
      <c r="AE71" s="65"/>
      <c r="AF71" s="65"/>
      <c r="AG71" s="67"/>
      <c r="AH71" s="67"/>
      <c r="AT71" s="65"/>
      <c r="AU71" s="65"/>
    </row>
    <row r="72" spans="3:47" x14ac:dyDescent="0.45">
      <c r="C72" s="66"/>
      <c r="O72" s="65"/>
      <c r="P72" s="67"/>
      <c r="Q72" s="67"/>
      <c r="R72" s="67"/>
      <c r="AD72" s="65"/>
      <c r="AE72" s="65"/>
      <c r="AF72" s="65"/>
      <c r="AG72" s="67"/>
      <c r="AH72" s="67"/>
      <c r="AT72" s="65"/>
      <c r="AU72" s="65"/>
    </row>
    <row r="73" spans="3:47" x14ac:dyDescent="0.45">
      <c r="C73" s="66"/>
      <c r="O73" s="65"/>
      <c r="P73" s="67"/>
      <c r="Q73" s="67"/>
      <c r="R73" s="67"/>
      <c r="AD73" s="65"/>
      <c r="AE73" s="65"/>
      <c r="AF73" s="65"/>
      <c r="AG73" s="67"/>
      <c r="AH73" s="67"/>
      <c r="AT73" s="65"/>
      <c r="AU73" s="65"/>
    </row>
    <row r="74" spans="3:47" x14ac:dyDescent="0.45">
      <c r="C74" s="66"/>
      <c r="O74" s="65"/>
      <c r="P74" s="67"/>
      <c r="Q74" s="67"/>
      <c r="R74" s="67"/>
      <c r="V74" s="65" t="s">
        <v>123</v>
      </c>
      <c r="Y74" s="65" t="s">
        <v>124</v>
      </c>
      <c r="AD74" s="65"/>
      <c r="AE74" s="65"/>
      <c r="AF74" s="65"/>
      <c r="AG74" s="67"/>
      <c r="AH74" s="67"/>
      <c r="AT74" s="65"/>
      <c r="AU74" s="65"/>
    </row>
    <row r="75" spans="3:47" x14ac:dyDescent="0.45">
      <c r="C75" s="66"/>
      <c r="O75" s="65"/>
      <c r="P75" s="67"/>
      <c r="Q75" s="67"/>
      <c r="R75" s="67"/>
      <c r="V75" s="65" cm="1">
        <f t="array" ref="V75:V82">AD35:AD42</f>
        <v>179.89767461098856</v>
      </c>
      <c r="W75" s="65" cm="1">
        <f t="array" ref="W75:W82">AF35:AF42</f>
        <v>17.561094684635073</v>
      </c>
      <c r="Y75" s="65" cm="1">
        <f t="array" ref="Y75:Y82">AT35:AT42</f>
        <v>222.895551338432</v>
      </c>
      <c r="Z75" s="65" cm="1">
        <f t="array" ref="Z75:Z82">AU35:AU42</f>
        <v>14.169240768724649</v>
      </c>
      <c r="AD75" s="65"/>
      <c r="AE75" s="65"/>
      <c r="AF75" s="65"/>
      <c r="AG75" s="67"/>
      <c r="AH75" s="67"/>
      <c r="AT75" s="65"/>
      <c r="AU75" s="65"/>
    </row>
    <row r="76" spans="3:47" x14ac:dyDescent="0.45">
      <c r="C76" s="66"/>
      <c r="O76" s="65"/>
      <c r="P76" s="67"/>
      <c r="Q76" s="67"/>
      <c r="R76" s="67"/>
      <c r="V76" s="65">
        <v>182.24481474296391</v>
      </c>
      <c r="W76" s="65">
        <v>21.027186486300735</v>
      </c>
      <c r="Y76" s="65">
        <v>221.83874573585601</v>
      </c>
      <c r="Z76" s="65">
        <v>31.721744315344878</v>
      </c>
      <c r="AD76" s="65"/>
      <c r="AE76" s="65"/>
      <c r="AF76" s="65"/>
      <c r="AG76" s="67"/>
      <c r="AH76" s="67"/>
      <c r="AT76" s="65"/>
      <c r="AU76" s="65"/>
    </row>
    <row r="77" spans="3:47" x14ac:dyDescent="0.45">
      <c r="C77" s="66"/>
      <c r="O77" s="65"/>
      <c r="P77" s="67"/>
      <c r="Q77" s="67"/>
      <c r="R77" s="67"/>
      <c r="V77" s="65">
        <v>230.74988224286855</v>
      </c>
      <c r="W77" s="65">
        <v>31.303480060735129</v>
      </c>
      <c r="Y77" s="65">
        <v>277.08026106407374</v>
      </c>
      <c r="Z77" s="65">
        <v>6.9198523051219922</v>
      </c>
      <c r="AD77" s="65"/>
      <c r="AE77" s="65"/>
      <c r="AF77" s="65"/>
      <c r="AG77" s="67"/>
      <c r="AH77" s="67"/>
      <c r="AT77" s="65"/>
      <c r="AU77" s="65"/>
    </row>
    <row r="78" spans="3:47" x14ac:dyDescent="0.45">
      <c r="C78" s="66"/>
      <c r="O78" s="65"/>
      <c r="P78" s="67"/>
      <c r="Q78" s="67"/>
      <c r="R78" s="67"/>
      <c r="V78" s="65">
        <v>316.49930282616896</v>
      </c>
      <c r="W78" s="65">
        <v>49.424219750996258</v>
      </c>
      <c r="Y78" s="65">
        <v>305.52195060121596</v>
      </c>
      <c r="Z78" s="65">
        <v>17.85807819835868</v>
      </c>
      <c r="AD78" s="65"/>
      <c r="AE78" s="65"/>
      <c r="AF78" s="65"/>
      <c r="AG78" s="65" t="s">
        <v>125</v>
      </c>
      <c r="AH78" s="67"/>
      <c r="AT78" s="65"/>
      <c r="AU78" s="65"/>
    </row>
    <row r="79" spans="3:47" x14ac:dyDescent="0.45">
      <c r="C79" s="66"/>
      <c r="O79" s="65"/>
      <c r="P79" s="67"/>
      <c r="Q79" s="67"/>
      <c r="R79" s="67"/>
      <c r="V79" s="65">
        <v>89.380828617218</v>
      </c>
      <c r="W79" s="65">
        <v>8.97995182476207</v>
      </c>
      <c r="Y79" s="65">
        <v>50.01189739449967</v>
      </c>
      <c r="Z79" s="65">
        <v>4.2160394856186727</v>
      </c>
      <c r="AD79" s="65"/>
      <c r="AE79" s="65"/>
      <c r="AF79" s="65"/>
      <c r="AG79" s="65" t="s">
        <v>126</v>
      </c>
      <c r="AH79" s="67"/>
      <c r="AT79" s="65"/>
      <c r="AU79" s="65"/>
    </row>
    <row r="80" spans="3:47" x14ac:dyDescent="0.45">
      <c r="C80" s="66"/>
      <c r="O80" s="65"/>
      <c r="P80" s="67"/>
      <c r="Q80" s="67"/>
      <c r="R80" s="67"/>
      <c r="V80" s="65">
        <v>84.568981266252109</v>
      </c>
      <c r="W80" s="65">
        <v>16.485193968528939</v>
      </c>
      <c r="Y80" s="65">
        <v>58.055829107995521</v>
      </c>
      <c r="Z80" s="65">
        <v>7.566357212792413</v>
      </c>
      <c r="AD80" s="65"/>
      <c r="AE80" s="65"/>
      <c r="AF80" s="65"/>
      <c r="AG80" s="67"/>
      <c r="AH80" s="67"/>
      <c r="AT80" s="65"/>
      <c r="AU80" s="65"/>
    </row>
    <row r="81" spans="3:47" x14ac:dyDescent="0.45">
      <c r="C81" s="66"/>
      <c r="O81" s="65"/>
      <c r="P81" s="67"/>
      <c r="Q81" s="67"/>
      <c r="R81" s="67"/>
      <c r="V81" s="65">
        <v>161.00798881060038</v>
      </c>
      <c r="W81" s="65">
        <v>12.102070190518972</v>
      </c>
      <c r="Y81" s="65">
        <v>174.58243839235092</v>
      </c>
      <c r="Z81" s="65">
        <v>14.942137547797271</v>
      </c>
      <c r="AD81" s="65"/>
      <c r="AE81" s="65"/>
      <c r="AF81" s="65"/>
      <c r="AG81" s="67"/>
      <c r="AH81" s="67"/>
      <c r="AT81" s="65"/>
      <c r="AU81" s="65"/>
    </row>
    <row r="82" spans="3:47" x14ac:dyDescent="0.45">
      <c r="C82" s="66"/>
      <c r="O82" s="65"/>
      <c r="P82" s="67"/>
      <c r="Q82" s="67"/>
      <c r="R82" s="67"/>
      <c r="V82" s="65">
        <v>126.28009736924638</v>
      </c>
      <c r="W82" s="65">
        <v>18.936325034197282</v>
      </c>
      <c r="Y82" s="65">
        <v>82.71194987437471</v>
      </c>
      <c r="Z82" s="65">
        <v>7.0393823234965875</v>
      </c>
      <c r="AD82" s="65"/>
      <c r="AE82" s="65"/>
      <c r="AF82" s="65"/>
      <c r="AG82" s="67"/>
      <c r="AH82" s="67"/>
      <c r="AT82" s="65"/>
      <c r="AU82" s="65"/>
    </row>
    <row r="83" spans="3:47" x14ac:dyDescent="0.45">
      <c r="C83" s="66"/>
      <c r="O83" s="65"/>
      <c r="P83" s="67"/>
      <c r="Q83" s="67"/>
      <c r="R83" s="67"/>
      <c r="V83" s="65" cm="1">
        <f t="array" ref="V83:V90">AD49:AD56</f>
        <v>204.69647543572381</v>
      </c>
      <c r="W83" s="65" cm="1">
        <f t="array" ref="W83:W90">AF49:AF56</f>
        <v>26.220616392878334</v>
      </c>
      <c r="Y83" s="65" cm="1">
        <f t="array" ref="Y83:Y90">AT49:AT56</f>
        <v>217.13760864298627</v>
      </c>
      <c r="Z83" s="65" cm="1">
        <f t="array" ref="Z83:Z90">AU49:AU56</f>
        <v>20.080803204507763</v>
      </c>
      <c r="AD83" s="65"/>
      <c r="AE83" s="65"/>
      <c r="AF83" s="65"/>
      <c r="AG83" s="67"/>
      <c r="AH83" s="67"/>
      <c r="AT83" s="65"/>
      <c r="AU83" s="65"/>
    </row>
    <row r="84" spans="3:47" x14ac:dyDescent="0.45">
      <c r="C84" s="66"/>
      <c r="O84" s="65"/>
      <c r="P84" s="67"/>
      <c r="Q84" s="67"/>
      <c r="R84" s="67"/>
      <c r="V84" s="65">
        <v>86.635866407444553</v>
      </c>
      <c r="W84" s="65">
        <v>2.1683745205778431</v>
      </c>
      <c r="Y84" s="65">
        <v>104.20158240318801</v>
      </c>
      <c r="Z84" s="65">
        <v>20.031777810271894</v>
      </c>
      <c r="AD84" s="65"/>
      <c r="AE84" s="65"/>
      <c r="AF84" s="65"/>
      <c r="AG84" s="67"/>
      <c r="AH84" s="67"/>
      <c r="AT84" s="65"/>
      <c r="AU84" s="65"/>
    </row>
    <row r="85" spans="3:47" x14ac:dyDescent="0.45">
      <c r="C85" s="66"/>
      <c r="O85" s="65"/>
      <c r="P85" s="67"/>
      <c r="Q85" s="67"/>
      <c r="R85" s="67"/>
      <c r="V85" s="65">
        <v>75.497423408578115</v>
      </c>
      <c r="W85" s="65">
        <v>5.1763492823916071</v>
      </c>
      <c r="Y85" s="65">
        <v>88.546707922032653</v>
      </c>
      <c r="Z85" s="65">
        <v>5.8367037780676077</v>
      </c>
      <c r="AD85" s="65"/>
      <c r="AE85" s="65"/>
      <c r="AF85" s="65"/>
      <c r="AG85" s="67"/>
      <c r="AH85" s="67"/>
      <c r="AT85" s="65"/>
      <c r="AU85" s="65"/>
    </row>
    <row r="86" spans="3:47" x14ac:dyDescent="0.45">
      <c r="C86" s="66"/>
      <c r="O86" s="65"/>
      <c r="P86" s="67"/>
      <c r="Q86" s="67"/>
      <c r="R86" s="67"/>
      <c r="V86" s="65">
        <v>73.45813899666885</v>
      </c>
      <c r="W86" s="65">
        <v>3.703794246968771</v>
      </c>
      <c r="Y86" s="65">
        <v>74.851347637731493</v>
      </c>
      <c r="Z86" s="65">
        <v>2.6972719289245068</v>
      </c>
      <c r="AD86" s="65"/>
      <c r="AE86" s="65"/>
      <c r="AF86" s="65"/>
      <c r="AG86" s="67"/>
      <c r="AH86" s="67"/>
      <c r="AT86" s="65"/>
      <c r="AU86" s="65"/>
    </row>
    <row r="87" spans="3:47" x14ac:dyDescent="0.45">
      <c r="C87" s="66"/>
      <c r="O87" s="65"/>
      <c r="P87" s="67"/>
      <c r="Q87" s="67"/>
      <c r="R87" s="67"/>
      <c r="V87" s="65">
        <v>26.366656380882276</v>
      </c>
      <c r="W87" s="65">
        <v>2.7172206602889983</v>
      </c>
      <c r="Y87" s="65">
        <v>34.789304082209583</v>
      </c>
      <c r="Z87" s="65">
        <v>6.447908737000942</v>
      </c>
      <c r="AD87" s="65"/>
      <c r="AE87" s="65"/>
      <c r="AF87" s="65"/>
      <c r="AG87" s="67"/>
      <c r="AH87" s="67"/>
      <c r="AT87" s="65"/>
      <c r="AU87" s="65"/>
    </row>
    <row r="88" spans="3:47" x14ac:dyDescent="0.45">
      <c r="C88" s="66"/>
      <c r="O88" s="65"/>
      <c r="P88" s="67"/>
      <c r="Q88" s="67"/>
      <c r="R88" s="67"/>
      <c r="V88" s="65">
        <v>216.37384303347091</v>
      </c>
      <c r="W88" s="65">
        <v>16.823323486478582</v>
      </c>
      <c r="Y88" s="65">
        <v>179.16977933051805</v>
      </c>
      <c r="Z88" s="65">
        <v>9.2765515734154551</v>
      </c>
      <c r="AD88" s="65"/>
      <c r="AE88" s="65"/>
      <c r="AF88" s="65"/>
      <c r="AG88" s="67"/>
      <c r="AH88" s="67"/>
      <c r="AT88" s="65"/>
      <c r="AU88" s="65"/>
    </row>
    <row r="89" spans="3:47" x14ac:dyDescent="0.45">
      <c r="C89" s="66"/>
      <c r="O89" s="65"/>
      <c r="P89" s="67"/>
      <c r="Q89" s="67"/>
      <c r="R89" s="67"/>
      <c r="V89" s="65">
        <v>89.964452196165865</v>
      </c>
      <c r="W89" s="65">
        <v>18.252847980073621</v>
      </c>
      <c r="Y89" s="65">
        <v>97.274894332241047</v>
      </c>
      <c r="Z89" s="65">
        <v>7.7278074966016908</v>
      </c>
      <c r="AD89" s="65"/>
      <c r="AE89" s="65"/>
      <c r="AF89" s="65"/>
      <c r="AG89" s="67"/>
      <c r="AH89" s="67"/>
      <c r="AT89" s="65"/>
      <c r="AU89" s="65"/>
    </row>
    <row r="90" spans="3:47" x14ac:dyDescent="0.45">
      <c r="C90" s="66"/>
      <c r="O90" s="65"/>
      <c r="P90" s="67"/>
      <c r="Q90" s="67"/>
      <c r="R90" s="67"/>
      <c r="V90" s="65">
        <v>116.04538711425469</v>
      </c>
      <c r="W90" s="65">
        <v>16.739869853929648</v>
      </c>
      <c r="Y90" s="65">
        <v>134.20744380989277</v>
      </c>
      <c r="Z90" s="65">
        <v>17.480679703664464</v>
      </c>
      <c r="AD90" s="65"/>
      <c r="AE90" s="65"/>
      <c r="AF90" s="65"/>
      <c r="AG90" s="67"/>
      <c r="AH90" s="67"/>
      <c r="AT90" s="65"/>
      <c r="AU90" s="65"/>
    </row>
    <row r="91" spans="3:47" x14ac:dyDescent="0.45">
      <c r="C91" s="66"/>
      <c r="O91" s="65"/>
      <c r="P91" s="67"/>
      <c r="Q91" s="67"/>
      <c r="R91" s="67"/>
      <c r="AD91" s="65"/>
      <c r="AE91" s="65"/>
      <c r="AF91" s="65"/>
      <c r="AG91" s="67"/>
      <c r="AH91" s="67"/>
      <c r="AT91" s="65"/>
      <c r="AU91" s="65"/>
    </row>
    <row r="92" spans="3:47" x14ac:dyDescent="0.45">
      <c r="C92" s="66"/>
      <c r="O92" s="65"/>
      <c r="P92" s="67"/>
      <c r="Q92" s="67"/>
      <c r="R92" s="67"/>
      <c r="AD92" s="65"/>
      <c r="AE92" s="65"/>
      <c r="AF92" s="65"/>
      <c r="AG92" s="67"/>
      <c r="AH92" s="67"/>
      <c r="AT92" s="65"/>
      <c r="AU92" s="65"/>
    </row>
    <row r="93" spans="3:47" x14ac:dyDescent="0.45">
      <c r="C93" s="66"/>
      <c r="O93" s="65"/>
      <c r="P93" s="67"/>
      <c r="Q93" s="67"/>
      <c r="R93" s="67"/>
      <c r="AD93" s="65"/>
      <c r="AE93" s="65"/>
      <c r="AF93" s="65"/>
      <c r="AG93" s="67"/>
      <c r="AH93" s="67"/>
      <c r="AT93" s="65"/>
      <c r="AU93" s="65"/>
    </row>
    <row r="94" spans="3:47" x14ac:dyDescent="0.45">
      <c r="C94" s="66"/>
      <c r="O94" s="65"/>
      <c r="P94" s="67"/>
      <c r="Q94" s="67"/>
      <c r="R94" s="67"/>
      <c r="AD94" s="65"/>
      <c r="AE94" s="65"/>
      <c r="AF94" s="65"/>
      <c r="AG94" s="67"/>
      <c r="AH94" s="67"/>
      <c r="AT94" s="65"/>
      <c r="AU94" s="65"/>
    </row>
    <row r="95" spans="3:47" x14ac:dyDescent="0.45">
      <c r="C95" s="66"/>
      <c r="O95" s="65"/>
      <c r="P95" s="67"/>
      <c r="Q95" s="67"/>
      <c r="R95" s="67"/>
      <c r="AD95" s="65"/>
      <c r="AE95" s="65"/>
      <c r="AF95" s="65"/>
      <c r="AG95" s="67"/>
      <c r="AH95" s="67"/>
      <c r="AT95" s="65"/>
      <c r="AU95" s="65"/>
    </row>
    <row r="96" spans="3:47" x14ac:dyDescent="0.45">
      <c r="C96" s="66"/>
      <c r="O96" s="65"/>
      <c r="P96" s="67"/>
      <c r="Q96" s="67"/>
      <c r="R96" s="67"/>
      <c r="AD96" s="65"/>
      <c r="AE96" s="65"/>
      <c r="AF96" s="65"/>
      <c r="AG96" s="67"/>
      <c r="AH96" s="67"/>
      <c r="AT96" s="65"/>
      <c r="AU96" s="65"/>
    </row>
    <row r="97" spans="3:47" x14ac:dyDescent="0.45">
      <c r="C97" s="66"/>
      <c r="O97" s="65"/>
      <c r="P97" s="67"/>
      <c r="Q97" s="67"/>
      <c r="R97" s="67"/>
      <c r="AD97" s="65"/>
      <c r="AE97" s="65"/>
      <c r="AF97" s="65"/>
      <c r="AG97" s="67"/>
      <c r="AH97" s="67"/>
      <c r="AT97" s="65"/>
      <c r="AU97" s="65"/>
    </row>
    <row r="98" spans="3:47" x14ac:dyDescent="0.45">
      <c r="C98" s="66"/>
      <c r="O98" s="65"/>
      <c r="P98" s="67"/>
      <c r="Q98" s="67"/>
      <c r="R98" s="67"/>
      <c r="AD98" s="65"/>
      <c r="AE98" s="65"/>
      <c r="AF98" s="65"/>
      <c r="AG98" s="67"/>
      <c r="AH98" s="67"/>
      <c r="AT98" s="65"/>
      <c r="AU98" s="65"/>
    </row>
  </sheetData>
  <mergeCells count="18">
    <mergeCell ref="B17:M17"/>
    <mergeCell ref="O17:AD17"/>
    <mergeCell ref="AH17:AT17"/>
    <mergeCell ref="B2:AT2"/>
    <mergeCell ref="B4:M4"/>
    <mergeCell ref="O4:AD4"/>
    <mergeCell ref="AH4:AT4"/>
    <mergeCell ref="B15:AT15"/>
    <mergeCell ref="B46:M46"/>
    <mergeCell ref="O46:AD46"/>
    <mergeCell ref="AH46:AT46"/>
    <mergeCell ref="AW46:AX46"/>
    <mergeCell ref="B30:AT30"/>
    <mergeCell ref="B32:M32"/>
    <mergeCell ref="O32:AD32"/>
    <mergeCell ref="AH32:AT32"/>
    <mergeCell ref="AW32:AX32"/>
    <mergeCell ref="B44:AT4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FB7F2-411D-402B-8DBA-17FA06DB5D2C}">
  <dimension ref="B1:AX98"/>
  <sheetViews>
    <sheetView topLeftCell="P66" zoomScale="104" zoomScaleNormal="100" workbookViewId="0">
      <selection activeCell="AB79" sqref="AB79"/>
    </sheetView>
  </sheetViews>
  <sheetFormatPr defaultColWidth="9" defaultRowHeight="14.25" x14ac:dyDescent="0.45"/>
  <cols>
    <col min="1" max="3" width="9" style="65"/>
    <col min="4" max="12" width="9" style="65" customWidth="1"/>
    <col min="13" max="13" width="10.33203125" style="65" customWidth="1"/>
    <col min="14" max="14" width="9" style="65"/>
    <col min="15" max="15" width="9" style="66"/>
    <col min="16" max="20" width="9" style="65" customWidth="1"/>
    <col min="21" max="21" width="1.9296875" style="65" customWidth="1"/>
    <col min="22" max="28" width="9" style="65" customWidth="1"/>
    <col min="29" max="29" width="12.1328125" style="65" customWidth="1"/>
    <col min="30" max="32" width="9" style="67" customWidth="1"/>
    <col min="33" max="38" width="9" style="65"/>
    <col min="39" max="39" width="10.1328125" style="65" customWidth="1"/>
    <col min="40" max="45" width="9" style="65"/>
    <col min="46" max="47" width="9" style="67"/>
    <col min="48" max="48" width="9" style="65"/>
    <col min="49" max="49" width="9.796875" style="65" customWidth="1"/>
    <col min="50" max="16384" width="9" style="65"/>
  </cols>
  <sheetData>
    <row r="1" spans="2:47" ht="14.65" hidden="1" thickBot="1" x14ac:dyDescent="0.5"/>
    <row r="2" spans="2:47" ht="14.65" hidden="1" thickBot="1" x14ac:dyDescent="0.5">
      <c r="B2" s="148" t="s">
        <v>52</v>
      </c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149"/>
      <c r="AD2" s="149"/>
      <c r="AE2" s="149"/>
      <c r="AF2" s="149"/>
      <c r="AG2" s="149"/>
      <c r="AH2" s="149"/>
      <c r="AI2" s="149"/>
      <c r="AJ2" s="149"/>
      <c r="AK2" s="149"/>
      <c r="AL2" s="149"/>
      <c r="AM2" s="149"/>
      <c r="AN2" s="149"/>
      <c r="AO2" s="149"/>
      <c r="AP2" s="149"/>
      <c r="AQ2" s="149"/>
      <c r="AR2" s="149"/>
      <c r="AS2" s="149"/>
      <c r="AT2" s="150"/>
      <c r="AU2" s="95"/>
    </row>
    <row r="3" spans="2:47" ht="14.65" hidden="1" thickBot="1" x14ac:dyDescent="0.5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</row>
    <row r="4" spans="2:47" ht="16.149999999999999" hidden="1" thickBot="1" x14ac:dyDescent="0.55000000000000004">
      <c r="B4" s="145" t="s">
        <v>53</v>
      </c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7"/>
      <c r="N4" s="6"/>
      <c r="O4" s="145" t="s">
        <v>54</v>
      </c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  <c r="AB4" s="146"/>
      <c r="AC4" s="146"/>
      <c r="AD4" s="147"/>
      <c r="AE4" s="91"/>
      <c r="AF4" s="91"/>
      <c r="AG4" s="6"/>
      <c r="AH4" s="145" t="s">
        <v>55</v>
      </c>
      <c r="AI4" s="146"/>
      <c r="AJ4" s="146"/>
      <c r="AK4" s="146"/>
      <c r="AL4" s="146"/>
      <c r="AM4" s="146"/>
      <c r="AN4" s="146"/>
      <c r="AO4" s="146"/>
      <c r="AP4" s="146"/>
      <c r="AQ4" s="146"/>
      <c r="AR4" s="146"/>
      <c r="AS4" s="146"/>
      <c r="AT4" s="147"/>
      <c r="AU4" s="91"/>
    </row>
    <row r="5" spans="2:47" ht="16.149999999999999" hidden="1" thickBot="1" x14ac:dyDescent="0.55000000000000004">
      <c r="B5" s="68" t="s">
        <v>56</v>
      </c>
      <c r="C5" s="68" t="s">
        <v>57</v>
      </c>
      <c r="D5" s="68" t="s">
        <v>58</v>
      </c>
      <c r="E5" s="68" t="s">
        <v>59</v>
      </c>
      <c r="F5" s="69" t="s">
        <v>60</v>
      </c>
      <c r="G5" s="68" t="s">
        <v>61</v>
      </c>
      <c r="H5" s="69" t="s">
        <v>62</v>
      </c>
      <c r="I5" s="68" t="s">
        <v>63</v>
      </c>
      <c r="J5" s="69" t="s">
        <v>64</v>
      </c>
      <c r="K5" s="68" t="s">
        <v>65</v>
      </c>
      <c r="L5" s="69" t="s">
        <v>66</v>
      </c>
      <c r="M5" s="69" t="s">
        <v>67</v>
      </c>
      <c r="N5" s="6"/>
      <c r="O5" s="68" t="s">
        <v>29</v>
      </c>
      <c r="P5" s="68" t="s">
        <v>68</v>
      </c>
      <c r="Q5" s="68" t="s">
        <v>69</v>
      </c>
      <c r="R5" s="68" t="s">
        <v>70</v>
      </c>
      <c r="S5" s="68" t="s">
        <v>71</v>
      </c>
      <c r="T5" s="68" t="s">
        <v>72</v>
      </c>
      <c r="U5" s="68"/>
      <c r="V5" s="68"/>
      <c r="W5" s="68"/>
      <c r="X5" s="68"/>
      <c r="Y5" s="68"/>
      <c r="Z5" s="68"/>
      <c r="AA5" s="68"/>
      <c r="AB5" s="69" t="s">
        <v>73</v>
      </c>
      <c r="AC5" s="90"/>
      <c r="AD5" s="70" t="s">
        <v>6</v>
      </c>
      <c r="AE5" s="92"/>
      <c r="AF5" s="92"/>
      <c r="AG5" s="6"/>
      <c r="AH5" s="69" t="s">
        <v>74</v>
      </c>
      <c r="AI5" s="69" t="s">
        <v>75</v>
      </c>
      <c r="AJ5" s="69" t="s">
        <v>76</v>
      </c>
      <c r="AK5" s="69" t="s">
        <v>77</v>
      </c>
      <c r="AL5" s="69" t="s">
        <v>78</v>
      </c>
      <c r="AM5" s="69" t="s">
        <v>79</v>
      </c>
      <c r="AN5" s="69" t="s">
        <v>80</v>
      </c>
      <c r="AO5" s="69" t="s">
        <v>81</v>
      </c>
      <c r="AP5" s="69" t="s">
        <v>82</v>
      </c>
      <c r="AQ5" s="69" t="s">
        <v>83</v>
      </c>
      <c r="AR5" s="69" t="s">
        <v>84</v>
      </c>
      <c r="AS5" s="69"/>
      <c r="AT5" s="71" t="s">
        <v>6</v>
      </c>
      <c r="AU5" s="92"/>
    </row>
    <row r="6" spans="2:47" ht="16.149999999999999" hidden="1" thickBot="1" x14ac:dyDescent="0.55000000000000004">
      <c r="B6" s="72" t="s">
        <v>85</v>
      </c>
      <c r="C6" s="72" t="s">
        <v>86</v>
      </c>
      <c r="D6" s="72" t="s">
        <v>87</v>
      </c>
      <c r="E6" s="72" t="s">
        <v>87</v>
      </c>
      <c r="F6" s="73" t="s">
        <v>88</v>
      </c>
      <c r="G6" s="72" t="s">
        <v>89</v>
      </c>
      <c r="H6" s="74" t="s">
        <v>90</v>
      </c>
      <c r="I6" s="73" t="s">
        <v>91</v>
      </c>
      <c r="J6" s="74" t="s">
        <v>90</v>
      </c>
      <c r="K6" s="73" t="s">
        <v>85</v>
      </c>
      <c r="L6" s="73" t="s">
        <v>85</v>
      </c>
      <c r="M6" s="73" t="s">
        <v>91</v>
      </c>
      <c r="N6" s="6"/>
      <c r="O6" s="72" t="s">
        <v>85</v>
      </c>
      <c r="P6" s="72" t="s">
        <v>92</v>
      </c>
      <c r="Q6" s="72" t="s">
        <v>92</v>
      </c>
      <c r="R6" s="72" t="s">
        <v>92</v>
      </c>
      <c r="S6" s="72" t="s">
        <v>92</v>
      </c>
      <c r="T6" s="72" t="s">
        <v>92</v>
      </c>
      <c r="U6" s="72"/>
      <c r="V6" s="72"/>
      <c r="W6" s="72"/>
      <c r="X6" s="72"/>
      <c r="Y6" s="72"/>
      <c r="Z6" s="72"/>
      <c r="AA6" s="72"/>
      <c r="AB6" s="72" t="s">
        <v>92</v>
      </c>
      <c r="AC6" s="72"/>
      <c r="AD6" s="75" t="s">
        <v>17</v>
      </c>
      <c r="AE6" s="93"/>
      <c r="AF6" s="93"/>
      <c r="AG6" s="6"/>
      <c r="AH6" s="72" t="s">
        <v>93</v>
      </c>
      <c r="AI6" s="72" t="s">
        <v>93</v>
      </c>
      <c r="AJ6" s="72" t="s">
        <v>93</v>
      </c>
      <c r="AK6" s="72" t="s">
        <v>93</v>
      </c>
      <c r="AL6" s="72" t="s">
        <v>93</v>
      </c>
      <c r="AM6" s="72" t="s">
        <v>93</v>
      </c>
      <c r="AN6" s="74" t="s">
        <v>17</v>
      </c>
      <c r="AO6" s="74" t="s">
        <v>17</v>
      </c>
      <c r="AP6" s="74" t="s">
        <v>17</v>
      </c>
      <c r="AQ6" s="74" t="s">
        <v>17</v>
      </c>
      <c r="AR6" s="74" t="s">
        <v>17</v>
      </c>
      <c r="AS6" s="74"/>
      <c r="AT6" s="75" t="s">
        <v>17</v>
      </c>
      <c r="AU6" s="93"/>
    </row>
    <row r="7" spans="2:47" ht="14.65" hidden="1" thickBot="1" x14ac:dyDescent="0.5">
      <c r="B7" s="9" t="s">
        <v>94</v>
      </c>
      <c r="C7" s="9">
        <v>25</v>
      </c>
      <c r="D7" s="9">
        <v>116.5</v>
      </c>
      <c r="E7" s="76">
        <v>102</v>
      </c>
      <c r="F7" s="77">
        <f>(D7/10)*(PI()/4)*((E7/10)^2)</f>
        <v>951.95441031649148</v>
      </c>
      <c r="G7" s="9">
        <v>1931.1999999999998</v>
      </c>
      <c r="H7" s="77">
        <f t="shared" ref="H7:H13" si="0">G7/F7</f>
        <v>2.0286685781075833</v>
      </c>
      <c r="I7" s="78">
        <v>0.13873393160320133</v>
      </c>
      <c r="J7" s="77">
        <f t="shared" ref="J7:J13" si="1">H7/(1+I7)</f>
        <v>1.7815123636927728</v>
      </c>
      <c r="K7" s="79">
        <v>2.5</v>
      </c>
      <c r="L7" s="76">
        <f t="shared" ref="L7:L13" si="2">K7/J7-1</f>
        <v>0.40330207690387532</v>
      </c>
      <c r="M7" s="78">
        <f t="shared" ref="M7:M13" si="3">I7*(K7/L7)</f>
        <v>0.85998770864418173</v>
      </c>
      <c r="N7" s="6"/>
      <c r="O7" s="9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0"/>
      <c r="AE7" s="94"/>
      <c r="AF7" s="94"/>
      <c r="AG7" s="6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0"/>
      <c r="AU7" s="94"/>
    </row>
    <row r="8" spans="2:47" ht="14.65" hidden="1" thickBot="1" x14ac:dyDescent="0.5">
      <c r="B8" s="9" t="s">
        <v>95</v>
      </c>
      <c r="C8" s="9">
        <v>25</v>
      </c>
      <c r="D8" s="9">
        <v>117.7</v>
      </c>
      <c r="E8" s="76">
        <v>101.8</v>
      </c>
      <c r="F8" s="77">
        <f t="shared" ref="F8:F13" si="4">(D8/10)*(PI()/4)*((E8/10)^2)</f>
        <v>957.99203931708848</v>
      </c>
      <c r="G8" s="9">
        <v>1925</v>
      </c>
      <c r="H8" s="77">
        <f t="shared" si="0"/>
        <v>2.0094112696095574</v>
      </c>
      <c r="I8" s="78">
        <v>0.16541570438799089</v>
      </c>
      <c r="J8" s="77">
        <f t="shared" si="1"/>
        <v>1.7242012974801848</v>
      </c>
      <c r="K8" s="79">
        <v>2.5</v>
      </c>
      <c r="L8" s="76">
        <f t="shared" si="2"/>
        <v>0.44994671077767867</v>
      </c>
      <c r="M8" s="78">
        <f t="shared" si="3"/>
        <v>0.91908497398552924</v>
      </c>
      <c r="N8" s="6"/>
      <c r="O8" s="9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0"/>
      <c r="AE8" s="94"/>
      <c r="AF8" s="94"/>
      <c r="AG8" s="6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0"/>
      <c r="AU8" s="94"/>
    </row>
    <row r="9" spans="2:47" ht="14.65" hidden="1" thickBot="1" x14ac:dyDescent="0.5">
      <c r="B9" s="9" t="s">
        <v>96</v>
      </c>
      <c r="C9" s="9">
        <v>25</v>
      </c>
      <c r="D9" s="9">
        <v>116.9</v>
      </c>
      <c r="E9" s="76">
        <v>101.1</v>
      </c>
      <c r="F9" s="77">
        <f t="shared" si="4"/>
        <v>938.44041676268716</v>
      </c>
      <c r="G9" s="9">
        <v>1837</v>
      </c>
      <c r="H9" s="77">
        <f t="shared" si="0"/>
        <v>1.9575030733832306</v>
      </c>
      <c r="I9" s="78">
        <v>0.18396770472895047</v>
      </c>
      <c r="J9" s="77">
        <f t="shared" si="1"/>
        <v>1.6533416119077065</v>
      </c>
      <c r="K9" s="79">
        <v>2.5</v>
      </c>
      <c r="L9" s="76">
        <f t="shared" si="2"/>
        <v>0.51208920285710202</v>
      </c>
      <c r="M9" s="78">
        <f t="shared" si="3"/>
        <v>0.89812333331057592</v>
      </c>
      <c r="N9" s="6"/>
      <c r="O9" s="9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0"/>
      <c r="AE9" s="94"/>
      <c r="AF9" s="94"/>
      <c r="AG9" s="6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0"/>
      <c r="AU9" s="94"/>
    </row>
    <row r="10" spans="2:47" ht="14.65" hidden="1" thickBot="1" x14ac:dyDescent="0.5">
      <c r="B10" s="9" t="s">
        <v>97</v>
      </c>
      <c r="C10" s="9">
        <v>25</v>
      </c>
      <c r="D10" s="76">
        <f>AVERAGE(D9,D12)</f>
        <v>116.69</v>
      </c>
      <c r="E10" s="76">
        <v>102.2</v>
      </c>
      <c r="F10" s="77">
        <f t="shared" si="4"/>
        <v>957.24986287126012</v>
      </c>
      <c r="G10" s="9">
        <v>1795.5</v>
      </c>
      <c r="H10" s="77">
        <f t="shared" si="0"/>
        <v>1.8756858262840781</v>
      </c>
      <c r="I10" s="78">
        <v>0.10371452420701166</v>
      </c>
      <c r="J10" s="77">
        <f t="shared" si="1"/>
        <v>1.6994302286922485</v>
      </c>
      <c r="K10" s="79">
        <v>2.5</v>
      </c>
      <c r="L10" s="76">
        <f t="shared" si="2"/>
        <v>0.47108128229766089</v>
      </c>
      <c r="M10" s="78">
        <f t="shared" si="3"/>
        <v>0.55040673501795945</v>
      </c>
      <c r="N10" s="6"/>
      <c r="O10" s="9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0"/>
      <c r="AE10" s="94"/>
      <c r="AF10" s="94"/>
      <c r="AG10" s="6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0"/>
      <c r="AU10" s="94"/>
    </row>
    <row r="11" spans="2:47" ht="14.65" hidden="1" thickBot="1" x14ac:dyDescent="0.5">
      <c r="B11" s="9" t="s">
        <v>98</v>
      </c>
      <c r="C11" s="9">
        <v>25</v>
      </c>
      <c r="D11" s="76">
        <v>118.3</v>
      </c>
      <c r="E11" s="76">
        <v>101.5</v>
      </c>
      <c r="F11" s="77">
        <f t="shared" si="4"/>
        <v>957.20886147429917</v>
      </c>
      <c r="G11" s="9">
        <v>1943.5</v>
      </c>
      <c r="H11" s="77">
        <f t="shared" si="0"/>
        <v>2.0303823734003141</v>
      </c>
      <c r="I11" s="78">
        <v>0.15280665280665287</v>
      </c>
      <c r="J11" s="77">
        <f t="shared" si="1"/>
        <v>1.7612514366195688</v>
      </c>
      <c r="K11" s="79">
        <v>2.5</v>
      </c>
      <c r="L11" s="76">
        <f t="shared" si="2"/>
        <v>0.41944525808213795</v>
      </c>
      <c r="M11" s="78">
        <f t="shared" si="3"/>
        <v>0.91076636260797528</v>
      </c>
      <c r="N11" s="6"/>
      <c r="O11" s="9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0"/>
      <c r="AE11" s="94"/>
      <c r="AF11" s="94"/>
      <c r="AG11" s="6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0"/>
      <c r="AU11" s="94"/>
    </row>
    <row r="12" spans="2:47" ht="14.65" hidden="1" thickBot="1" x14ac:dyDescent="0.5">
      <c r="B12" s="9" t="s">
        <v>99</v>
      </c>
      <c r="C12" s="9">
        <v>25</v>
      </c>
      <c r="D12" s="76">
        <v>116.48</v>
      </c>
      <c r="E12" s="76">
        <v>101.8</v>
      </c>
      <c r="F12" s="77">
        <f t="shared" si="4"/>
        <v>948.06213032841515</v>
      </c>
      <c r="G12" s="9">
        <v>1888.5</v>
      </c>
      <c r="H12" s="77">
        <f t="shared" si="0"/>
        <v>1.9919580580080873</v>
      </c>
      <c r="I12" s="78">
        <v>0.17336268574573463</v>
      </c>
      <c r="J12" s="77">
        <f t="shared" si="1"/>
        <v>1.697649057880251</v>
      </c>
      <c r="K12" s="79">
        <v>2.5</v>
      </c>
      <c r="L12" s="76">
        <f t="shared" si="2"/>
        <v>0.47262473854378051</v>
      </c>
      <c r="M12" s="78">
        <f t="shared" si="3"/>
        <v>0.91702079687940186</v>
      </c>
      <c r="N12" s="6"/>
      <c r="O12" s="9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0"/>
      <c r="AE12" s="94"/>
      <c r="AF12" s="94"/>
      <c r="AG12" s="6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0"/>
      <c r="AU12" s="94"/>
    </row>
    <row r="13" spans="2:47" ht="14.65" hidden="1" thickBot="1" x14ac:dyDescent="0.5">
      <c r="B13" s="9" t="s">
        <v>100</v>
      </c>
      <c r="C13" s="9">
        <v>25</v>
      </c>
      <c r="D13" s="76">
        <v>115.88</v>
      </c>
      <c r="E13" s="76">
        <v>101.5</v>
      </c>
      <c r="F13" s="77">
        <f t="shared" si="4"/>
        <v>937.62775036045457</v>
      </c>
      <c r="G13" s="9">
        <v>1918.5</v>
      </c>
      <c r="H13" s="77">
        <f t="shared" si="0"/>
        <v>2.0461211811003528</v>
      </c>
      <c r="I13" s="78">
        <v>0.19547775346462432</v>
      </c>
      <c r="J13" s="77">
        <f t="shared" si="1"/>
        <v>1.7115510306824793</v>
      </c>
      <c r="K13" s="79">
        <v>2.5</v>
      </c>
      <c r="L13" s="76">
        <f t="shared" si="2"/>
        <v>0.46066343052776371</v>
      </c>
      <c r="M13" s="78">
        <f t="shared" si="3"/>
        <v>1.0608490956221186</v>
      </c>
      <c r="N13" s="6"/>
      <c r="O13" s="9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0"/>
      <c r="AE13" s="94"/>
      <c r="AF13" s="94"/>
      <c r="AG13" s="6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0"/>
      <c r="AU13" s="94"/>
    </row>
    <row r="14" spans="2:47" ht="14.65" hidden="1" thickBot="1" x14ac:dyDescent="0.5"/>
    <row r="15" spans="2:47" ht="14.65" hidden="1" thickBot="1" x14ac:dyDescent="0.5">
      <c r="B15" s="148" t="s">
        <v>101</v>
      </c>
      <c r="C15" s="149"/>
      <c r="D15" s="149"/>
      <c r="E15" s="149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149"/>
      <c r="AS15" s="149"/>
      <c r="AT15" s="150"/>
      <c r="AU15" s="95"/>
    </row>
    <row r="16" spans="2:47" ht="14.65" hidden="1" thickBot="1" x14ac:dyDescent="0.5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7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</row>
    <row r="17" spans="2:50" ht="16.149999999999999" hidden="1" thickBot="1" x14ac:dyDescent="0.55000000000000004">
      <c r="B17" s="145" t="s">
        <v>53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7"/>
      <c r="N17" s="6"/>
      <c r="O17" s="145" t="s">
        <v>54</v>
      </c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7"/>
      <c r="AE17" s="91"/>
      <c r="AF17" s="91"/>
      <c r="AG17" s="6"/>
      <c r="AH17" s="145" t="s">
        <v>55</v>
      </c>
      <c r="AI17" s="146"/>
      <c r="AJ17" s="146"/>
      <c r="AK17" s="146"/>
      <c r="AL17" s="146"/>
      <c r="AM17" s="146"/>
      <c r="AN17" s="146"/>
      <c r="AO17" s="146"/>
      <c r="AP17" s="146"/>
      <c r="AQ17" s="146"/>
      <c r="AR17" s="146"/>
      <c r="AS17" s="146"/>
      <c r="AT17" s="147"/>
      <c r="AU17" s="91"/>
    </row>
    <row r="18" spans="2:50" ht="16.149999999999999" hidden="1" thickBot="1" x14ac:dyDescent="0.55000000000000004">
      <c r="B18" s="68" t="s">
        <v>56</v>
      </c>
      <c r="C18" s="68" t="s">
        <v>57</v>
      </c>
      <c r="D18" s="68" t="s">
        <v>58</v>
      </c>
      <c r="E18" s="68" t="s">
        <v>59</v>
      </c>
      <c r="F18" s="69" t="s">
        <v>60</v>
      </c>
      <c r="G18" s="68" t="s">
        <v>61</v>
      </c>
      <c r="H18" s="69" t="s">
        <v>62</v>
      </c>
      <c r="I18" s="68" t="s">
        <v>63</v>
      </c>
      <c r="J18" s="69" t="s">
        <v>64</v>
      </c>
      <c r="K18" s="68" t="s">
        <v>65</v>
      </c>
      <c r="L18" s="69" t="s">
        <v>66</v>
      </c>
      <c r="M18" s="69" t="s">
        <v>67</v>
      </c>
      <c r="N18" s="6"/>
      <c r="O18" s="68" t="s">
        <v>29</v>
      </c>
      <c r="P18" s="68" t="s">
        <v>68</v>
      </c>
      <c r="Q18" s="68" t="s">
        <v>69</v>
      </c>
      <c r="R18" s="68" t="s">
        <v>70</v>
      </c>
      <c r="S18" s="68" t="s">
        <v>71</v>
      </c>
      <c r="T18" s="68" t="s">
        <v>72</v>
      </c>
      <c r="U18" s="68"/>
      <c r="V18" s="68"/>
      <c r="W18" s="68"/>
      <c r="X18" s="68"/>
      <c r="Y18" s="68"/>
      <c r="Z18" s="68"/>
      <c r="AA18" s="68"/>
      <c r="AB18" s="69" t="s">
        <v>73</v>
      </c>
      <c r="AC18" s="90"/>
      <c r="AD18" s="70" t="s">
        <v>6</v>
      </c>
      <c r="AE18" s="92"/>
      <c r="AF18" s="92"/>
      <c r="AG18" s="6"/>
      <c r="AH18" s="68" t="s">
        <v>74</v>
      </c>
      <c r="AI18" s="68" t="s">
        <v>75</v>
      </c>
      <c r="AJ18" s="68" t="s">
        <v>76</v>
      </c>
      <c r="AK18" s="68" t="s">
        <v>77</v>
      </c>
      <c r="AL18" s="68" t="s">
        <v>78</v>
      </c>
      <c r="AM18" s="69" t="s">
        <v>79</v>
      </c>
      <c r="AN18" s="68" t="s">
        <v>80</v>
      </c>
      <c r="AO18" s="68" t="s">
        <v>81</v>
      </c>
      <c r="AP18" s="68" t="s">
        <v>82</v>
      </c>
      <c r="AQ18" s="68" t="s">
        <v>83</v>
      </c>
      <c r="AR18" s="68" t="s">
        <v>84</v>
      </c>
      <c r="AS18" s="68"/>
      <c r="AT18" s="71" t="s">
        <v>6</v>
      </c>
      <c r="AU18" s="92"/>
    </row>
    <row r="19" spans="2:50" ht="16.149999999999999" hidden="1" thickBot="1" x14ac:dyDescent="0.55000000000000004">
      <c r="B19" s="72" t="s">
        <v>85</v>
      </c>
      <c r="C19" s="72" t="s">
        <v>86</v>
      </c>
      <c r="D19" s="72" t="s">
        <v>87</v>
      </c>
      <c r="E19" s="72" t="s">
        <v>87</v>
      </c>
      <c r="F19" s="73" t="s">
        <v>88</v>
      </c>
      <c r="G19" s="72" t="s">
        <v>89</v>
      </c>
      <c r="H19" s="74" t="s">
        <v>90</v>
      </c>
      <c r="I19" s="73" t="s">
        <v>91</v>
      </c>
      <c r="J19" s="74" t="s">
        <v>90</v>
      </c>
      <c r="K19" s="73" t="s">
        <v>85</v>
      </c>
      <c r="L19" s="73" t="s">
        <v>85</v>
      </c>
      <c r="M19" s="73" t="s">
        <v>91</v>
      </c>
      <c r="N19" s="6"/>
      <c r="O19" s="72" t="s">
        <v>85</v>
      </c>
      <c r="P19" s="72" t="s">
        <v>92</v>
      </c>
      <c r="Q19" s="72" t="s">
        <v>92</v>
      </c>
      <c r="R19" s="72" t="s">
        <v>92</v>
      </c>
      <c r="S19" s="72" t="s">
        <v>92</v>
      </c>
      <c r="T19" s="72" t="s">
        <v>92</v>
      </c>
      <c r="U19" s="72"/>
      <c r="V19" s="72"/>
      <c r="W19" s="72"/>
      <c r="X19" s="72"/>
      <c r="Y19" s="72"/>
      <c r="Z19" s="72"/>
      <c r="AA19" s="72"/>
      <c r="AB19" s="72" t="s">
        <v>92</v>
      </c>
      <c r="AC19" s="72"/>
      <c r="AD19" s="75" t="s">
        <v>17</v>
      </c>
      <c r="AE19" s="93"/>
      <c r="AF19" s="93"/>
      <c r="AG19" s="6"/>
      <c r="AH19" s="72" t="s">
        <v>93</v>
      </c>
      <c r="AI19" s="72" t="s">
        <v>93</v>
      </c>
      <c r="AJ19" s="72" t="s">
        <v>93</v>
      </c>
      <c r="AK19" s="72" t="s">
        <v>93</v>
      </c>
      <c r="AL19" s="72" t="s">
        <v>93</v>
      </c>
      <c r="AM19" s="72" t="s">
        <v>93</v>
      </c>
      <c r="AN19" s="74" t="s">
        <v>17</v>
      </c>
      <c r="AO19" s="74" t="s">
        <v>17</v>
      </c>
      <c r="AP19" s="74" t="s">
        <v>17</v>
      </c>
      <c r="AQ19" s="74" t="s">
        <v>17</v>
      </c>
      <c r="AR19" s="74" t="s">
        <v>17</v>
      </c>
      <c r="AS19" s="74"/>
      <c r="AT19" s="75" t="s">
        <v>17</v>
      </c>
      <c r="AU19" s="93"/>
    </row>
    <row r="20" spans="2:50" ht="14.65" hidden="1" thickBot="1" x14ac:dyDescent="0.5">
      <c r="B20" s="9" t="s">
        <v>94</v>
      </c>
      <c r="C20" s="9">
        <v>25</v>
      </c>
      <c r="D20" s="76">
        <v>116.6</v>
      </c>
      <c r="E20" s="76">
        <v>102.7</v>
      </c>
      <c r="F20" s="77">
        <f>(D20/10)*(PI()/4)*((E20/10)^2)</f>
        <v>965.8936679160438</v>
      </c>
      <c r="G20" s="76">
        <v>1886.25</v>
      </c>
      <c r="H20" s="77">
        <f t="shared" ref="H20:H28" si="5">G20/F20</f>
        <v>1.9528547112951509</v>
      </c>
      <c r="I20" s="78">
        <v>0.20908379013312436</v>
      </c>
      <c r="J20" s="77">
        <f t="shared" ref="J20:J28" si="6">H20/(1+I20)</f>
        <v>1.6151525040957952</v>
      </c>
      <c r="K20" s="79">
        <v>2.5</v>
      </c>
      <c r="L20" s="76">
        <f t="shared" ref="L20:L28" si="7">K20/J20-1</f>
        <v>0.5478414537700671</v>
      </c>
      <c r="M20" s="78">
        <f t="shared" ref="M20:M28" si="8">I20*(K20/L20)</f>
        <v>0.95412545315016584</v>
      </c>
      <c r="N20" s="6"/>
      <c r="O20" s="9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0"/>
      <c r="AE20" s="94"/>
      <c r="AF20" s="94"/>
      <c r="AG20" s="6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0"/>
      <c r="AU20" s="94"/>
    </row>
    <row r="21" spans="2:50" ht="14.65" hidden="1" thickBot="1" x14ac:dyDescent="0.5">
      <c r="B21" s="9" t="s">
        <v>95</v>
      </c>
      <c r="C21" s="9">
        <v>25</v>
      </c>
      <c r="D21" s="76">
        <v>117.7</v>
      </c>
      <c r="E21" s="76">
        <v>101.9</v>
      </c>
      <c r="F21" s="77">
        <f t="shared" ref="F21:F28" si="9">(D21/10)*(PI()/4)*((E21/10)^2)</f>
        <v>959.87506989834424</v>
      </c>
      <c r="G21" s="76">
        <v>1876.16</v>
      </c>
      <c r="H21" s="77">
        <f t="shared" si="5"/>
        <v>1.954587694624359</v>
      </c>
      <c r="I21" s="78">
        <v>0.17261904761904748</v>
      </c>
      <c r="J21" s="77">
        <f t="shared" si="6"/>
        <v>1.6668565111517379</v>
      </c>
      <c r="K21" s="79">
        <v>2.5</v>
      </c>
      <c r="L21" s="76">
        <f t="shared" si="7"/>
        <v>0.49982915942332062</v>
      </c>
      <c r="M21" s="78">
        <f t="shared" si="8"/>
        <v>0.86339024226901462</v>
      </c>
      <c r="N21" s="6"/>
      <c r="O21" s="9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0"/>
      <c r="AE21" s="94"/>
      <c r="AF21" s="94"/>
      <c r="AG21" s="6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0"/>
      <c r="AU21" s="94"/>
    </row>
    <row r="22" spans="2:50" ht="14.65" hidden="1" thickBot="1" x14ac:dyDescent="0.5">
      <c r="B22" s="9" t="s">
        <v>96</v>
      </c>
      <c r="C22" s="9">
        <v>25</v>
      </c>
      <c r="D22" s="76">
        <v>116.3</v>
      </c>
      <c r="E22" s="76">
        <v>101.2</v>
      </c>
      <c r="F22" s="77">
        <f t="shared" si="9"/>
        <v>935.47162976920254</v>
      </c>
      <c r="G22" s="76">
        <v>1771.46</v>
      </c>
      <c r="H22" s="77">
        <f t="shared" si="5"/>
        <v>1.8936544344343726</v>
      </c>
      <c r="I22" s="78">
        <v>0.15281757402101256</v>
      </c>
      <c r="J22" s="77">
        <f t="shared" si="6"/>
        <v>1.6426314770942734</v>
      </c>
      <c r="K22" s="79">
        <v>2.5</v>
      </c>
      <c r="L22" s="76">
        <f t="shared" si="7"/>
        <v>0.52194818792975117</v>
      </c>
      <c r="M22" s="78">
        <f t="shared" si="8"/>
        <v>0.73195758484738827</v>
      </c>
      <c r="N22" s="6"/>
      <c r="O22" s="9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0"/>
      <c r="AE22" s="94"/>
      <c r="AF22" s="94"/>
      <c r="AG22" s="6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0"/>
      <c r="AU22" s="94"/>
    </row>
    <row r="23" spans="2:50" ht="14.65" hidden="1" thickBot="1" x14ac:dyDescent="0.5">
      <c r="B23" s="9" t="s">
        <v>97</v>
      </c>
      <c r="C23" s="9">
        <v>25</v>
      </c>
      <c r="D23" s="76">
        <v>119</v>
      </c>
      <c r="E23" s="76">
        <v>102</v>
      </c>
      <c r="F23" s="77">
        <f t="shared" si="9"/>
        <v>972.38261654645908</v>
      </c>
      <c r="G23" s="76">
        <v>1591.26</v>
      </c>
      <c r="H23" s="77">
        <f t="shared" si="5"/>
        <v>1.6364545940275679</v>
      </c>
      <c r="I23" s="78">
        <v>9.8525989138867301E-2</v>
      </c>
      <c r="J23" s="77">
        <f t="shared" si="6"/>
        <v>1.4896821834050389</v>
      </c>
      <c r="K23" s="79">
        <v>2.5</v>
      </c>
      <c r="L23" s="76">
        <f t="shared" si="7"/>
        <v>0.67821031079637972</v>
      </c>
      <c r="M23" s="78">
        <f t="shared" si="8"/>
        <v>0.36318376309840539</v>
      </c>
      <c r="N23" s="6"/>
      <c r="O23" s="9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0"/>
      <c r="AE23" s="94"/>
      <c r="AF23" s="94"/>
      <c r="AG23" s="6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0"/>
      <c r="AU23" s="94"/>
    </row>
    <row r="24" spans="2:50" ht="14.65" hidden="1" thickBot="1" x14ac:dyDescent="0.5">
      <c r="B24" s="9" t="s">
        <v>94</v>
      </c>
      <c r="C24" s="9">
        <v>56</v>
      </c>
      <c r="D24" s="76">
        <v>119.6</v>
      </c>
      <c r="E24" s="76">
        <v>101.8</v>
      </c>
      <c r="F24" s="77">
        <f t="shared" si="9"/>
        <v>973.45665167649759</v>
      </c>
      <c r="G24" s="76">
        <v>1936.8</v>
      </c>
      <c r="H24" s="77">
        <f t="shared" si="5"/>
        <v>1.9896109361052925</v>
      </c>
      <c r="I24" s="78">
        <v>0.17013766325450055</v>
      </c>
      <c r="J24" s="77">
        <f t="shared" si="6"/>
        <v>1.7003221061798772</v>
      </c>
      <c r="K24" s="79">
        <v>2.5</v>
      </c>
      <c r="L24" s="76">
        <f t="shared" si="7"/>
        <v>0.47030964951503407</v>
      </c>
      <c r="M24" s="78">
        <f t="shared" si="8"/>
        <v>0.90439173122399374</v>
      </c>
      <c r="N24" s="6"/>
      <c r="O24" s="9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0"/>
      <c r="AE24" s="94"/>
      <c r="AF24" s="94"/>
      <c r="AG24" s="6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0"/>
      <c r="AU24" s="94"/>
    </row>
    <row r="25" spans="2:50" ht="14.65" hidden="1" thickBot="1" x14ac:dyDescent="0.5">
      <c r="B25" s="9" t="s">
        <v>95</v>
      </c>
      <c r="C25" s="9">
        <v>56</v>
      </c>
      <c r="D25" s="76">
        <v>118</v>
      </c>
      <c r="E25" s="76">
        <v>102.3</v>
      </c>
      <c r="F25" s="77">
        <f t="shared" si="9"/>
        <v>969.89150635975852</v>
      </c>
      <c r="G25" s="76">
        <v>1740.16</v>
      </c>
      <c r="H25" s="77">
        <f t="shared" si="5"/>
        <v>1.7941800588926164</v>
      </c>
      <c r="I25" s="78">
        <v>0.11027138440398492</v>
      </c>
      <c r="J25" s="77">
        <f t="shared" si="6"/>
        <v>1.6159833389345317</v>
      </c>
      <c r="K25" s="79">
        <v>2.5</v>
      </c>
      <c r="L25" s="76">
        <f t="shared" si="7"/>
        <v>0.54704565311194853</v>
      </c>
      <c r="M25" s="78">
        <f t="shared" si="8"/>
        <v>0.50394050193384299</v>
      </c>
      <c r="N25" s="6"/>
      <c r="O25" s="9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0"/>
      <c r="AE25" s="94"/>
      <c r="AF25" s="94"/>
      <c r="AG25" s="6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0"/>
      <c r="AU25" s="94"/>
    </row>
    <row r="26" spans="2:50" ht="14.65" hidden="1" thickBot="1" x14ac:dyDescent="0.5">
      <c r="B26" s="9" t="s">
        <v>96</v>
      </c>
      <c r="C26" s="9">
        <v>56</v>
      </c>
      <c r="D26" s="76">
        <v>116.8</v>
      </c>
      <c r="E26" s="76">
        <v>101.9</v>
      </c>
      <c r="F26" s="77">
        <f t="shared" si="9"/>
        <v>952.53532849725241</v>
      </c>
      <c r="G26" s="76">
        <v>1903.78</v>
      </c>
      <c r="H26" s="77">
        <f t="shared" si="5"/>
        <v>1.9986450297895606</v>
      </c>
      <c r="I26" s="78">
        <v>0.18211382113821126</v>
      </c>
      <c r="J26" s="77">
        <f t="shared" si="6"/>
        <v>1.6907382301521046</v>
      </c>
      <c r="K26" s="79">
        <v>2.5</v>
      </c>
      <c r="L26" s="76">
        <f t="shared" si="7"/>
        <v>0.47864403573289493</v>
      </c>
      <c r="M26" s="78">
        <f t="shared" si="8"/>
        <v>0.95119654452269742</v>
      </c>
      <c r="N26" s="6"/>
      <c r="O26" s="9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0"/>
      <c r="AE26" s="94"/>
      <c r="AF26" s="94"/>
      <c r="AG26" s="6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0"/>
      <c r="AU26" s="94"/>
    </row>
    <row r="27" spans="2:50" ht="14.65" hidden="1" thickBot="1" x14ac:dyDescent="0.5">
      <c r="B27" s="9" t="s">
        <v>97</v>
      </c>
      <c r="C27" s="9">
        <v>56</v>
      </c>
      <c r="D27" s="76">
        <v>118</v>
      </c>
      <c r="E27" s="76">
        <v>101.7</v>
      </c>
      <c r="F27" s="77">
        <f t="shared" si="9"/>
        <v>958.54784360617646</v>
      </c>
      <c r="G27" s="76">
        <v>1839.59</v>
      </c>
      <c r="H27" s="77">
        <f t="shared" si="5"/>
        <v>1.9191425991625344</v>
      </c>
      <c r="I27" s="78">
        <v>0.14310051107325358</v>
      </c>
      <c r="J27" s="77">
        <f t="shared" si="6"/>
        <v>1.6788922588798927</v>
      </c>
      <c r="K27" s="79">
        <v>2.5</v>
      </c>
      <c r="L27" s="76">
        <f t="shared" si="7"/>
        <v>0.48907709043100001</v>
      </c>
      <c r="M27" s="78">
        <f t="shared" si="8"/>
        <v>0.73148238730189763</v>
      </c>
      <c r="N27" s="6"/>
      <c r="O27" s="9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0"/>
      <c r="AE27" s="94"/>
      <c r="AF27" s="94"/>
      <c r="AG27" s="6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0"/>
      <c r="AU27" s="94"/>
    </row>
    <row r="28" spans="2:50" ht="14.65" hidden="1" thickBot="1" x14ac:dyDescent="0.5">
      <c r="B28" s="9" t="s">
        <v>98</v>
      </c>
      <c r="C28" s="9">
        <v>56</v>
      </c>
      <c r="D28" s="76">
        <v>117.8</v>
      </c>
      <c r="E28" s="76">
        <v>102</v>
      </c>
      <c r="F28" s="77">
        <f t="shared" si="9"/>
        <v>962.57707755607464</v>
      </c>
      <c r="G28" s="76">
        <v>1878.62</v>
      </c>
      <c r="H28" s="77">
        <f t="shared" si="5"/>
        <v>1.9516566972171239</v>
      </c>
      <c r="I28" s="78">
        <v>0.21071012805587891</v>
      </c>
      <c r="J28" s="77">
        <f t="shared" si="6"/>
        <v>1.6119933681822205</v>
      </c>
      <c r="K28" s="79">
        <v>2.5</v>
      </c>
      <c r="L28" s="76">
        <f t="shared" si="7"/>
        <v>0.55087486669945074</v>
      </c>
      <c r="M28" s="78">
        <f t="shared" si="8"/>
        <v>0.95625223073954146</v>
      </c>
      <c r="N28" s="6"/>
      <c r="O28" s="9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0"/>
      <c r="AE28" s="94"/>
      <c r="AF28" s="94"/>
      <c r="AG28" s="6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0"/>
      <c r="AU28" s="94"/>
    </row>
    <row r="29" spans="2:50" ht="14.65" hidden="1" thickBot="1" x14ac:dyDescent="0.5"/>
    <row r="30" spans="2:50" ht="14.65" thickBot="1" x14ac:dyDescent="0.5">
      <c r="B30" s="148" t="s">
        <v>102</v>
      </c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  <c r="AC30" s="149"/>
      <c r="AD30" s="149"/>
      <c r="AE30" s="149"/>
      <c r="AF30" s="149"/>
      <c r="AG30" s="149"/>
      <c r="AH30" s="149"/>
      <c r="AI30" s="149"/>
      <c r="AJ30" s="149"/>
      <c r="AK30" s="149"/>
      <c r="AL30" s="149"/>
      <c r="AM30" s="149"/>
      <c r="AN30" s="149"/>
      <c r="AO30" s="149"/>
      <c r="AP30" s="149"/>
      <c r="AQ30" s="149"/>
      <c r="AR30" s="149"/>
      <c r="AS30" s="149"/>
      <c r="AT30" s="150"/>
      <c r="AU30" s="95"/>
    </row>
    <row r="31" spans="2:50" ht="14.65" thickBot="1" x14ac:dyDescent="0.5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7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</row>
    <row r="32" spans="2:50" ht="16.149999999999999" thickBot="1" x14ac:dyDescent="0.55000000000000004">
      <c r="B32" s="145" t="s">
        <v>53</v>
      </c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47"/>
      <c r="N32" s="6"/>
      <c r="O32" s="145" t="s">
        <v>54</v>
      </c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  <c r="AC32" s="146"/>
      <c r="AD32" s="147"/>
      <c r="AE32" s="91"/>
      <c r="AF32" s="91"/>
      <c r="AG32" s="6"/>
      <c r="AH32" s="145" t="s">
        <v>55</v>
      </c>
      <c r="AI32" s="146"/>
      <c r="AJ32" s="146"/>
      <c r="AK32" s="146"/>
      <c r="AL32" s="146"/>
      <c r="AM32" s="146"/>
      <c r="AN32" s="146"/>
      <c r="AO32" s="146"/>
      <c r="AP32" s="146"/>
      <c r="AQ32" s="146"/>
      <c r="AR32" s="146"/>
      <c r="AS32" s="146"/>
      <c r="AT32" s="147"/>
      <c r="AU32" s="91"/>
      <c r="AW32" s="145" t="s">
        <v>103</v>
      </c>
      <c r="AX32" s="146"/>
    </row>
    <row r="33" spans="2:50" ht="15.75" x14ac:dyDescent="0.5">
      <c r="B33" s="68" t="s">
        <v>56</v>
      </c>
      <c r="C33" s="68" t="s">
        <v>57</v>
      </c>
      <c r="D33" s="68" t="s">
        <v>58</v>
      </c>
      <c r="E33" s="68" t="s">
        <v>59</v>
      </c>
      <c r="F33" s="69" t="s">
        <v>60</v>
      </c>
      <c r="G33" s="68" t="s">
        <v>61</v>
      </c>
      <c r="H33" s="69" t="s">
        <v>62</v>
      </c>
      <c r="I33" s="68" t="s">
        <v>63</v>
      </c>
      <c r="J33" s="69" t="s">
        <v>64</v>
      </c>
      <c r="K33" s="68" t="s">
        <v>65</v>
      </c>
      <c r="L33" s="69" t="s">
        <v>66</v>
      </c>
      <c r="M33" s="69" t="s">
        <v>67</v>
      </c>
      <c r="N33" s="6"/>
      <c r="O33" s="68" t="s">
        <v>29</v>
      </c>
      <c r="P33" s="68" t="s">
        <v>68</v>
      </c>
      <c r="Q33" s="68" t="s">
        <v>69</v>
      </c>
      <c r="R33" s="68" t="s">
        <v>70</v>
      </c>
      <c r="S33" s="68" t="s">
        <v>71</v>
      </c>
      <c r="T33" s="68" t="s">
        <v>72</v>
      </c>
      <c r="U33" s="68"/>
      <c r="V33" s="68" t="s">
        <v>80</v>
      </c>
      <c r="W33" s="68" t="s">
        <v>81</v>
      </c>
      <c r="X33" s="68" t="s">
        <v>82</v>
      </c>
      <c r="Y33" s="68" t="s">
        <v>83</v>
      </c>
      <c r="Z33" s="68" t="s">
        <v>84</v>
      </c>
      <c r="AA33" s="68" t="s">
        <v>152</v>
      </c>
      <c r="AB33" s="69" t="s">
        <v>73</v>
      </c>
      <c r="AC33" s="90" t="s">
        <v>127</v>
      </c>
      <c r="AD33" s="70" t="s">
        <v>6</v>
      </c>
      <c r="AE33" s="92" t="s">
        <v>129</v>
      </c>
      <c r="AF33" s="92" t="s">
        <v>128</v>
      </c>
      <c r="AG33" s="6"/>
      <c r="AH33" s="68" t="s">
        <v>74</v>
      </c>
      <c r="AI33" s="68" t="s">
        <v>75</v>
      </c>
      <c r="AJ33" s="68" t="s">
        <v>76</v>
      </c>
      <c r="AK33" s="68" t="s">
        <v>77</v>
      </c>
      <c r="AL33" s="68" t="s">
        <v>78</v>
      </c>
      <c r="AM33" s="69" t="s">
        <v>79</v>
      </c>
      <c r="AN33" s="68" t="s">
        <v>80</v>
      </c>
      <c r="AO33" s="68" t="s">
        <v>81</v>
      </c>
      <c r="AP33" s="68" t="s">
        <v>82</v>
      </c>
      <c r="AQ33" s="68" t="s">
        <v>83</v>
      </c>
      <c r="AR33" s="68" t="s">
        <v>84</v>
      </c>
      <c r="AS33" s="71" t="s">
        <v>6</v>
      </c>
      <c r="AT33" s="71" t="s">
        <v>6</v>
      </c>
      <c r="AU33" s="111" t="s">
        <v>128</v>
      </c>
      <c r="AW33" s="69" t="s">
        <v>104</v>
      </c>
      <c r="AX33" s="69" t="s">
        <v>105</v>
      </c>
    </row>
    <row r="34" spans="2:50" ht="15.75" x14ac:dyDescent="0.5">
      <c r="B34" s="72" t="s">
        <v>85</v>
      </c>
      <c r="C34" s="72" t="s">
        <v>86</v>
      </c>
      <c r="D34" s="72" t="s">
        <v>87</v>
      </c>
      <c r="E34" s="72" t="s">
        <v>87</v>
      </c>
      <c r="F34" s="73" t="s">
        <v>88</v>
      </c>
      <c r="G34" s="72" t="s">
        <v>89</v>
      </c>
      <c r="H34" s="74" t="s">
        <v>90</v>
      </c>
      <c r="I34" s="73" t="s">
        <v>91</v>
      </c>
      <c r="J34" s="74" t="s">
        <v>90</v>
      </c>
      <c r="K34" s="73" t="s">
        <v>85</v>
      </c>
      <c r="L34" s="73" t="s">
        <v>85</v>
      </c>
      <c r="M34" s="73" t="s">
        <v>91</v>
      </c>
      <c r="N34" s="6"/>
      <c r="O34" s="72" t="s">
        <v>85</v>
      </c>
      <c r="P34" s="72" t="s">
        <v>92</v>
      </c>
      <c r="Q34" s="72" t="s">
        <v>92</v>
      </c>
      <c r="R34" s="72" t="s">
        <v>92</v>
      </c>
      <c r="S34" s="72" t="s">
        <v>92</v>
      </c>
      <c r="T34" s="72" t="s">
        <v>92</v>
      </c>
      <c r="U34" s="72"/>
      <c r="V34" s="72"/>
      <c r="W34" s="72"/>
      <c r="X34" s="72"/>
      <c r="Y34" s="72"/>
      <c r="Z34" s="72"/>
      <c r="AA34" s="72"/>
      <c r="AB34" s="72" t="s">
        <v>92</v>
      </c>
      <c r="AC34" s="72"/>
      <c r="AD34" s="75" t="s">
        <v>17</v>
      </c>
      <c r="AE34" s="93"/>
      <c r="AF34" s="93"/>
      <c r="AG34" s="6"/>
      <c r="AH34" s="72" t="s">
        <v>93</v>
      </c>
      <c r="AI34" s="72" t="s">
        <v>93</v>
      </c>
      <c r="AJ34" s="72" t="s">
        <v>93</v>
      </c>
      <c r="AK34" s="72" t="s">
        <v>93</v>
      </c>
      <c r="AL34" s="72" t="s">
        <v>93</v>
      </c>
      <c r="AM34" s="72" t="s">
        <v>93</v>
      </c>
      <c r="AN34" s="74" t="s">
        <v>17</v>
      </c>
      <c r="AO34" s="74" t="s">
        <v>17</v>
      </c>
      <c r="AP34" s="74" t="s">
        <v>17</v>
      </c>
      <c r="AQ34" s="74" t="s">
        <v>17</v>
      </c>
      <c r="AR34" s="74" t="s">
        <v>17</v>
      </c>
      <c r="AS34" s="74" t="s">
        <v>137</v>
      </c>
      <c r="AT34" s="75" t="s">
        <v>17</v>
      </c>
      <c r="AU34" s="112"/>
      <c r="AW34" s="74" t="s">
        <v>17</v>
      </c>
      <c r="AX34" s="66" t="s">
        <v>91</v>
      </c>
    </row>
    <row r="35" spans="2:50" x14ac:dyDescent="0.45">
      <c r="B35" s="9" t="s">
        <v>106</v>
      </c>
      <c r="C35" s="9">
        <v>25</v>
      </c>
      <c r="D35" s="81">
        <f>AVERAGE(116.3,117.4,117.4)</f>
        <v>117.03333333333335</v>
      </c>
      <c r="E35" s="76">
        <v>101</v>
      </c>
      <c r="F35" s="77">
        <f>(D35/10)*(PI()/4)*((E35/10)^2)</f>
        <v>937.65312133912619</v>
      </c>
      <c r="G35" s="76">
        <v>1739.1999999999998</v>
      </c>
      <c r="H35" s="77">
        <f t="shared" ref="H35:H42" si="10">G35/F35</f>
        <v>1.8548437161027418</v>
      </c>
      <c r="I35" s="78">
        <v>0.11843409316154611</v>
      </c>
      <c r="J35" s="77">
        <f t="shared" ref="J35:J42" si="11">H35/(1+I35)</f>
        <v>1.6584291622044007</v>
      </c>
      <c r="K35" s="79">
        <v>2.5</v>
      </c>
      <c r="L35" s="76">
        <f t="shared" ref="L35:L42" si="12">K35/J35-1</f>
        <v>0.50745057852032383</v>
      </c>
      <c r="M35" s="78">
        <f t="shared" ref="M35:M42" si="13">I35*(K35/L35)</f>
        <v>0.5834759983272082</v>
      </c>
      <c r="N35" s="6"/>
      <c r="O35" s="9">
        <v>0.2</v>
      </c>
      <c r="P35" s="8">
        <v>246.34</v>
      </c>
      <c r="Q35" s="8">
        <v>244.08</v>
      </c>
      <c r="R35" s="8">
        <v>254.25</v>
      </c>
      <c r="S35" s="8">
        <v>223.74</v>
      </c>
      <c r="T35" s="8">
        <v>256.51</v>
      </c>
      <c r="U35" s="8"/>
      <c r="V35" s="8">
        <f t="shared" ref="V35:X42" si="14">(((($D35/10)/P35)*10000)^2)*(($H35*1000*(1+$O35)*(1-2*($O35)))/(1-$O35))/1000000</f>
        <v>376.78977417816321</v>
      </c>
      <c r="W35" s="8">
        <f t="shared" si="14"/>
        <v>383.79966623891954</v>
      </c>
      <c r="X35" s="8">
        <f t="shared" si="14"/>
        <v>353.70977240578844</v>
      </c>
      <c r="Y35" s="8"/>
      <c r="Z35" s="8">
        <f t="shared" ref="Z35:Z42" si="15">(((($D35/10)/T35)*10000)^2)*(($H35*1000*(1+$O35)*(1-2*($O35)))/(1-$O35))/1000000</f>
        <v>347.50445822824116</v>
      </c>
      <c r="AA35" s="8">
        <v>0</v>
      </c>
      <c r="AB35" s="8">
        <f>AVERAGE(T35)+AA35</f>
        <v>256.51</v>
      </c>
      <c r="AC35" s="8">
        <f t="shared" ref="AC35:AC42" si="16">_xlfn.STDEV.S(P35:T35)</f>
        <v>12.967950107862068</v>
      </c>
      <c r="AD35" s="80">
        <f t="shared" ref="AD35:AD42" si="17">((((D35/10)/AB35)*10000)^2)*((H35*1000*(1+O35)*(1-2*(O35)))/(1-O35))/1000000</f>
        <v>347.50445822824116</v>
      </c>
      <c r="AE35" s="94">
        <f>AD35</f>
        <v>347.50445822824116</v>
      </c>
      <c r="AF35" s="94">
        <f>_xlfn.STDEV.S(V35:Z35)</f>
        <v>17.561094684635073</v>
      </c>
      <c r="AG35" s="6"/>
      <c r="AH35" s="8">
        <v>1.35001350014363E-3</v>
      </c>
      <c r="AI35" s="8">
        <v>1.32001320014297E-3</v>
      </c>
      <c r="AJ35" s="8">
        <v>1.37001370012513E-3</v>
      </c>
      <c r="AK35" s="8">
        <v>1.35001350014363E-3</v>
      </c>
      <c r="AL35" s="8">
        <v>1.37001370012513E-3</v>
      </c>
      <c r="AM35" s="8">
        <f>AVERAGE(AH35:AL35)</f>
        <v>1.3520135201360978E-3</v>
      </c>
      <c r="AN35" s="8">
        <v>224.27854357524899</v>
      </c>
      <c r="AO35" s="8">
        <v>245.020188233406</v>
      </c>
      <c r="AP35" s="8">
        <v>210.450780482911</v>
      </c>
      <c r="AQ35" s="8">
        <v>224.27854357524899</v>
      </c>
      <c r="AR35" s="8">
        <v>210.450780482911</v>
      </c>
      <c r="AS35" s="8">
        <f>AVERAGE(AN35:AR35)</f>
        <v>222.8957672699452</v>
      </c>
      <c r="AT35" s="80">
        <v>222.895551338432</v>
      </c>
      <c r="AU35" s="113">
        <f>_xlfn.STDEV.S(AN35:AR35)</f>
        <v>14.169240768724649</v>
      </c>
      <c r="AW35" s="82">
        <f>AD35-AT35</f>
        <v>124.60890688980916</v>
      </c>
      <c r="AX35" s="83">
        <f>ABS(AW35)/AD35</f>
        <v>0.35858218201035552</v>
      </c>
    </row>
    <row r="36" spans="2:50" x14ac:dyDescent="0.45">
      <c r="B36" s="9" t="s">
        <v>106</v>
      </c>
      <c r="C36" s="9">
        <v>56</v>
      </c>
      <c r="D36" s="76">
        <f>AVERAGE(116.5,116.2,116.4,116.3)</f>
        <v>116.35000000000001</v>
      </c>
      <c r="E36" s="76">
        <v>101</v>
      </c>
      <c r="F36" s="77">
        <f t="shared" ref="F36:F42" si="18">(D36/10)*(PI()/4)*((E36/10)^2)</f>
        <v>932.17835945150102</v>
      </c>
      <c r="G36" s="76">
        <v>1838.2000000000003</v>
      </c>
      <c r="H36" s="77">
        <f t="shared" si="10"/>
        <v>1.9719402208410066</v>
      </c>
      <c r="I36" s="78">
        <v>0.11805225653206648</v>
      </c>
      <c r="J36" s="77">
        <f t="shared" si="11"/>
        <v>1.763728134637909</v>
      </c>
      <c r="K36" s="79">
        <v>2.5</v>
      </c>
      <c r="L36" s="76">
        <f t="shared" si="12"/>
        <v>0.41745201593285608</v>
      </c>
      <c r="M36" s="78">
        <f t="shared" si="13"/>
        <v>0.70698099438004791</v>
      </c>
      <c r="N36" s="6"/>
      <c r="O36" s="9">
        <v>0.34</v>
      </c>
      <c r="P36" s="8">
        <v>308.49</v>
      </c>
      <c r="Q36" s="8">
        <v>341.26</v>
      </c>
      <c r="R36" s="8">
        <v>341.26</v>
      </c>
      <c r="S36" s="8">
        <v>359.34</v>
      </c>
      <c r="T36" s="8">
        <v>368.38</v>
      </c>
      <c r="U36" s="8"/>
      <c r="V36" s="8">
        <f t="shared" si="14"/>
        <v>182.24481474296391</v>
      </c>
      <c r="W36" s="8">
        <f t="shared" si="14"/>
        <v>148.9246502124727</v>
      </c>
      <c r="X36" s="8">
        <f t="shared" si="14"/>
        <v>148.9246502124727</v>
      </c>
      <c r="Y36" s="8">
        <f>(((($D36/10)/S36)*10000)^2)*(($H36*1000*(1+$O36)*(1-2*($O36)))/(1-$O36))/1000000</f>
        <v>134.3155314067715</v>
      </c>
      <c r="Z36" s="8">
        <f t="shared" si="15"/>
        <v>127.8042436484094</v>
      </c>
      <c r="AA36" s="8">
        <v>0</v>
      </c>
      <c r="AB36" s="8">
        <f>P36</f>
        <v>308.49</v>
      </c>
      <c r="AC36" s="8">
        <f t="shared" si="16"/>
        <v>22.942061372073773</v>
      </c>
      <c r="AD36" s="80">
        <f t="shared" si="17"/>
        <v>182.24481474296391</v>
      </c>
      <c r="AE36" s="94">
        <f t="shared" ref="AE36:AE42" si="19">AD36</f>
        <v>182.24481474296391</v>
      </c>
      <c r="AF36" s="94">
        <f>_xlfn.STDEV.S(V36:Z36)</f>
        <v>21.027186486300735</v>
      </c>
      <c r="AG36" s="6"/>
      <c r="AH36" s="8">
        <v>1.3900139001421499E-3</v>
      </c>
      <c r="AI36" s="8">
        <v>1.26001260012742E-3</v>
      </c>
      <c r="AJ36" s="8">
        <v>1.3400134001315699E-3</v>
      </c>
      <c r="AK36" s="8">
        <v>1.3100131001308999E-3</v>
      </c>
      <c r="AL36" s="8">
        <v>1.29001290012809E-3</v>
      </c>
      <c r="AM36" s="8">
        <f>AVERAGE(AH36:AL36)</f>
        <v>1.3180131801320259E-3</v>
      </c>
      <c r="AN36" s="8">
        <v>180.60106688835799</v>
      </c>
      <c r="AO36" s="8">
        <v>222.13457960436401</v>
      </c>
      <c r="AP36" s="8">
        <v>242.90133595990801</v>
      </c>
      <c r="AQ36" s="8">
        <v>256.74584019857701</v>
      </c>
      <c r="AR36" s="8">
        <v>187.52331900523299</v>
      </c>
      <c r="AS36" s="8">
        <f t="shared" ref="AS36:AS42" si="20">AVERAGE(AN36:AR36)</f>
        <v>217.98122833128801</v>
      </c>
      <c r="AT36" s="80">
        <v>221.83874573585601</v>
      </c>
      <c r="AU36" s="113">
        <f>_xlfn.STDEV.S(AN36:AP36)</f>
        <v>31.721744315344878</v>
      </c>
      <c r="AW36" s="82">
        <f>AD36-AT36</f>
        <v>-39.593930992892098</v>
      </c>
      <c r="AX36" s="83">
        <f t="shared" ref="AX36:AX42" si="21">ABS(AW36)/AD36</f>
        <v>0.21725683141512117</v>
      </c>
    </row>
    <row r="37" spans="2:50" x14ac:dyDescent="0.45">
      <c r="B37" s="9" t="s">
        <v>107</v>
      </c>
      <c r="C37" s="9">
        <v>56</v>
      </c>
      <c r="D37" s="76">
        <f>AVERAGE(116.3,116.7,116.5)</f>
        <v>116.5</v>
      </c>
      <c r="E37" s="76">
        <v>101</v>
      </c>
      <c r="F37" s="77">
        <f t="shared" si="18"/>
        <v>933.38013645122351</v>
      </c>
      <c r="G37" s="76">
        <v>1722.0000000000005</v>
      </c>
      <c r="H37" s="77">
        <f t="shared" si="10"/>
        <v>1.8449074849044513</v>
      </c>
      <c r="I37" s="78">
        <v>9.6678107984795758E-2</v>
      </c>
      <c r="J37" s="77">
        <f t="shared" si="11"/>
        <v>1.6822689096024417</v>
      </c>
      <c r="K37" s="79">
        <v>2.5</v>
      </c>
      <c r="L37" s="76">
        <f t="shared" si="12"/>
        <v>0.48608821439302874</v>
      </c>
      <c r="M37" s="78">
        <f t="shared" si="13"/>
        <v>0.49722511841557554</v>
      </c>
      <c r="N37" s="6"/>
      <c r="O37" s="9">
        <v>0.12</v>
      </c>
      <c r="P37" s="8">
        <v>243.97906606702199</v>
      </c>
      <c r="Q37" s="8">
        <v>227.13</v>
      </c>
      <c r="R37" s="8">
        <v>195.49</v>
      </c>
      <c r="S37" s="8">
        <v>202.27</v>
      </c>
      <c r="T37" s="8">
        <v>235.04</v>
      </c>
      <c r="U37" s="8"/>
      <c r="V37" s="8">
        <f t="shared" si="14"/>
        <v>406.88366737909126</v>
      </c>
      <c r="W37" s="8">
        <f t="shared" si="14"/>
        <v>469.49004128094128</v>
      </c>
      <c r="X37" s="8"/>
      <c r="Y37" s="8">
        <f t="shared" ref="Y37:Y42" si="22">(((($D37/10)/S37)*10000)^2)*(($H37*1000*(1+$O37)*(1-2*($O37)))/(1-$O37))/1000000</f>
        <v>591.98736486973883</v>
      </c>
      <c r="Z37" s="8">
        <f t="shared" si="15"/>
        <v>438.42148571078275</v>
      </c>
      <c r="AA37" s="8">
        <v>0</v>
      </c>
      <c r="AB37" s="8">
        <f>P37+AA37</f>
        <v>243.97906606702199</v>
      </c>
      <c r="AC37" s="8">
        <f t="shared" si="16"/>
        <v>21.000422316844823</v>
      </c>
      <c r="AD37" s="80">
        <f t="shared" si="17"/>
        <v>406.88366737909126</v>
      </c>
      <c r="AE37" s="94">
        <f t="shared" si="19"/>
        <v>406.88366737909126</v>
      </c>
      <c r="AF37" s="94">
        <f>_xlfn.STDEV.S(V37:W37,Z37)</f>
        <v>31.303480060735129</v>
      </c>
      <c r="AG37" s="6"/>
      <c r="AH37" s="8">
        <v>1.33001330013016E-3</v>
      </c>
      <c r="AI37" s="8">
        <v>1.2800128001231299E-3</v>
      </c>
      <c r="AJ37" s="8">
        <v>1.2700127001323801E-3</v>
      </c>
      <c r="AK37" s="8">
        <v>1.2500125001295699E-3</v>
      </c>
      <c r="AL37" s="8">
        <v>1.26001260012742E-3</v>
      </c>
      <c r="AM37" s="8">
        <f>AVERAGE(AH37:AL37)</f>
        <v>1.2780127801285319E-3</v>
      </c>
      <c r="AN37" s="8">
        <v>241.097283756666</v>
      </c>
      <c r="AO37" s="8">
        <v>275.69654528227801</v>
      </c>
      <c r="AP37" s="8">
        <v>282.61639758002502</v>
      </c>
      <c r="AQ37" s="8">
        <v>296.45610219026901</v>
      </c>
      <c r="AR37" s="8">
        <v>289.53624988760498</v>
      </c>
      <c r="AS37" s="8">
        <f t="shared" si="20"/>
        <v>277.08051573936859</v>
      </c>
      <c r="AT37" s="80">
        <v>277.08026106407374</v>
      </c>
      <c r="AU37" s="113">
        <f>_xlfn.STDEV.S(AP37:AR37)</f>
        <v>6.9198523051219922</v>
      </c>
      <c r="AW37" s="82">
        <f t="shared" ref="AW37:AW42" si="23">AD37-AT37</f>
        <v>129.80340631501753</v>
      </c>
      <c r="AX37" s="83">
        <f t="shared" si="21"/>
        <v>0.31901847314525017</v>
      </c>
    </row>
    <row r="38" spans="2:50" x14ac:dyDescent="0.45">
      <c r="B38" s="9" t="s">
        <v>108</v>
      </c>
      <c r="C38" s="9">
        <v>56</v>
      </c>
      <c r="D38" s="76">
        <f>AVERAGE(116.5,116.2,116.4,116.3)</f>
        <v>116.35000000000001</v>
      </c>
      <c r="E38" s="76">
        <v>101</v>
      </c>
      <c r="F38" s="77">
        <f t="shared" si="18"/>
        <v>932.17835945150102</v>
      </c>
      <c r="G38" s="76">
        <v>1660.6</v>
      </c>
      <c r="H38" s="77">
        <f t="shared" si="10"/>
        <v>1.7814187415561826</v>
      </c>
      <c r="I38" s="78">
        <v>8.0713111267325499E-2</v>
      </c>
      <c r="J38" s="77">
        <f t="shared" si="11"/>
        <v>1.6483733962172045</v>
      </c>
      <c r="K38" s="79">
        <v>2.5</v>
      </c>
      <c r="L38" s="76">
        <f t="shared" si="12"/>
        <v>0.51664665647793417</v>
      </c>
      <c r="M38" s="78">
        <f t="shared" si="13"/>
        <v>0.39056243883179337</v>
      </c>
      <c r="N38" s="6"/>
      <c r="O38" s="9">
        <v>0.1</v>
      </c>
      <c r="P38" s="8">
        <v>200.01</v>
      </c>
      <c r="Q38" s="8">
        <v>242.95</v>
      </c>
      <c r="R38" s="8">
        <v>201.14</v>
      </c>
      <c r="S38" s="8">
        <v>218.09</v>
      </c>
      <c r="T38" s="8">
        <v>215.83</v>
      </c>
      <c r="U38" s="8"/>
      <c r="V38" s="8">
        <f t="shared" si="14"/>
        <v>589.43447759397066</v>
      </c>
      <c r="W38" s="8"/>
      <c r="X38" s="8">
        <f t="shared" ref="X38:X42" si="24">(((($D38/10)/R38)*10000)^2)*(($H38*1000*(1+$O38)*(1-2*($O38)))/(1-$O38))/1000000</f>
        <v>582.83022183251808</v>
      </c>
      <c r="Y38" s="8">
        <f t="shared" si="22"/>
        <v>495.75539607886117</v>
      </c>
      <c r="Z38" s="8">
        <f t="shared" si="15"/>
        <v>506.19206569286752</v>
      </c>
      <c r="AA38" s="8">
        <v>0</v>
      </c>
      <c r="AB38" s="8">
        <f>Q38+AA38</f>
        <v>242.95</v>
      </c>
      <c r="AC38" s="8">
        <f t="shared" si="16"/>
        <v>17.366743505908069</v>
      </c>
      <c r="AD38" s="80">
        <f t="shared" si="17"/>
        <v>399.48929688570041</v>
      </c>
      <c r="AE38" s="94">
        <f t="shared" si="19"/>
        <v>399.48929688570041</v>
      </c>
      <c r="AF38" s="94">
        <f>_xlfn.STDEV.S(V38,X38:Z38)</f>
        <v>49.424219750996258</v>
      </c>
      <c r="AG38" s="6"/>
      <c r="AH38" s="8">
        <v>1.25001250012602E-3</v>
      </c>
      <c r="AI38" s="8">
        <v>1.2200122001217999E-3</v>
      </c>
      <c r="AJ38" s="8">
        <v>1.2400124001246101E-3</v>
      </c>
      <c r="AK38" s="8">
        <v>1.2400124001246101E-3</v>
      </c>
      <c r="AL38" s="8">
        <v>1.2400124001246101E-3</v>
      </c>
      <c r="AM38" s="8">
        <f t="shared" ref="AM38:AM42" si="25">AVERAGE(AH38:AL38)</f>
        <v>1.2380123801243302E-3</v>
      </c>
      <c r="AN38" s="8">
        <v>297.21660821000597</v>
      </c>
      <c r="AO38" s="8">
        <v>344.91377277248898</v>
      </c>
      <c r="AP38" s="8">
        <v>310.33617709669898</v>
      </c>
      <c r="AQ38" s="8">
        <v>310.33617709669898</v>
      </c>
      <c r="AR38" s="8">
        <v>310.33617709669898</v>
      </c>
      <c r="AS38" s="8">
        <f t="shared" si="20"/>
        <v>314.62778245451835</v>
      </c>
      <c r="AT38" s="80">
        <v>305.52195060121596</v>
      </c>
      <c r="AU38" s="113">
        <f t="shared" ref="AU38:AU42" si="26">_xlfn.STDEV.S(AN38:AR38)</f>
        <v>17.85807819835868</v>
      </c>
      <c r="AW38" s="82">
        <f t="shared" si="23"/>
        <v>93.967346284484449</v>
      </c>
      <c r="AX38" s="83">
        <f t="shared" si="21"/>
        <v>0.23521868299607998</v>
      </c>
    </row>
    <row r="39" spans="2:50" x14ac:dyDescent="0.45">
      <c r="B39" s="9" t="s">
        <v>109</v>
      </c>
      <c r="C39" s="9">
        <v>25</v>
      </c>
      <c r="D39" s="76">
        <f>AVERAGE(116.3,116.7,116.5)</f>
        <v>116.5</v>
      </c>
      <c r="E39" s="76">
        <v>101</v>
      </c>
      <c r="F39" s="77">
        <f t="shared" si="18"/>
        <v>933.38013645122351</v>
      </c>
      <c r="G39" s="76">
        <v>1542.2000000000003</v>
      </c>
      <c r="H39" s="77">
        <f t="shared" si="10"/>
        <v>1.6522742875839982</v>
      </c>
      <c r="I39" s="78">
        <v>0.11589041095890402</v>
      </c>
      <c r="J39" s="77">
        <f t="shared" si="11"/>
        <v>1.480677915463195</v>
      </c>
      <c r="K39" s="79">
        <v>2.5</v>
      </c>
      <c r="L39" s="76">
        <f t="shared" si="12"/>
        <v>0.6884158086587886</v>
      </c>
      <c r="M39" s="78">
        <f t="shared" si="13"/>
        <v>0.42085905604306362</v>
      </c>
      <c r="N39" s="6"/>
      <c r="O39" s="9">
        <v>0.11</v>
      </c>
      <c r="P39" s="8">
        <v>527.71</v>
      </c>
      <c r="Q39" s="8">
        <v>461.04</v>
      </c>
      <c r="R39" s="8">
        <v>482.51</v>
      </c>
      <c r="S39" s="8">
        <v>500.59</v>
      </c>
      <c r="T39" s="8">
        <v>498.33</v>
      </c>
      <c r="U39" s="8"/>
      <c r="V39" s="8">
        <f t="shared" si="14"/>
        <v>78.337719024237515</v>
      </c>
      <c r="W39" s="8">
        <f t="shared" si="14"/>
        <v>102.632369787323</v>
      </c>
      <c r="X39" s="8">
        <f t="shared" si="24"/>
        <v>93.702015610665029</v>
      </c>
      <c r="Y39" s="8">
        <f t="shared" si="22"/>
        <v>87.055703745124532</v>
      </c>
      <c r="Z39" s="8">
        <f t="shared" si="15"/>
        <v>87.847115164344785</v>
      </c>
      <c r="AA39" s="8">
        <v>0</v>
      </c>
      <c r="AB39" s="8">
        <f>AVERAGE(P39:T39)</f>
        <v>494.03599999999994</v>
      </c>
      <c r="AC39" s="8">
        <f t="shared" si="16"/>
        <v>24.581071579571145</v>
      </c>
      <c r="AD39" s="80">
        <f t="shared" si="17"/>
        <v>89.380828617218</v>
      </c>
      <c r="AE39" s="94">
        <f t="shared" si="19"/>
        <v>89.380828617218</v>
      </c>
      <c r="AF39" s="94">
        <f>_xlfn.STDEV.S(V39:Z39)</f>
        <v>8.97995182476207</v>
      </c>
      <c r="AH39" s="8">
        <v>1.9200192001918E-3</v>
      </c>
      <c r="AI39" s="8">
        <v>1.87001870018833E-3</v>
      </c>
      <c r="AJ39" s="8">
        <v>1.86001860018337E-3</v>
      </c>
      <c r="AK39" s="8">
        <v>1.9000190001889901E-3</v>
      </c>
      <c r="AL39" s="8">
        <v>1.9300193001896601E-3</v>
      </c>
      <c r="AM39" s="8">
        <f t="shared" si="25"/>
        <v>1.8960189601884298E-3</v>
      </c>
      <c r="AN39" s="8">
        <v>46.693928889435</v>
      </c>
      <c r="AO39" s="8">
        <v>53.606397937724999</v>
      </c>
      <c r="AP39" s="8">
        <v>54.988891747972403</v>
      </c>
      <c r="AQ39" s="8">
        <v>49.458916508947503</v>
      </c>
      <c r="AR39" s="8">
        <v>45.31143508017</v>
      </c>
      <c r="AS39" s="8">
        <f t="shared" si="20"/>
        <v>50.011914032849987</v>
      </c>
      <c r="AT39" s="80">
        <v>50.01189739449967</v>
      </c>
      <c r="AU39" s="113">
        <f t="shared" si="26"/>
        <v>4.2160394856186727</v>
      </c>
      <c r="AW39" s="82">
        <f t="shared" si="23"/>
        <v>39.368931222718331</v>
      </c>
      <c r="AX39" s="83">
        <f t="shared" si="21"/>
        <v>0.44046281324286629</v>
      </c>
    </row>
    <row r="40" spans="2:50" x14ac:dyDescent="0.45">
      <c r="B40" s="9" t="s">
        <v>110</v>
      </c>
      <c r="C40" s="9">
        <v>25</v>
      </c>
      <c r="D40" s="76">
        <f>AVERAGE(116.5,116.2,116.4,116.3)</f>
        <v>116.35000000000001</v>
      </c>
      <c r="E40" s="76">
        <v>101</v>
      </c>
      <c r="F40" s="77">
        <f t="shared" si="18"/>
        <v>932.17835945150102</v>
      </c>
      <c r="G40" s="76">
        <v>1576.4</v>
      </c>
      <c r="H40" s="77">
        <f t="shared" si="10"/>
        <v>1.6910926798682204</v>
      </c>
      <c r="I40" s="78">
        <v>0.13460442691211932</v>
      </c>
      <c r="J40" s="77">
        <f t="shared" si="11"/>
        <v>1.4904689597154233</v>
      </c>
      <c r="K40" s="79">
        <v>2.5</v>
      </c>
      <c r="L40" s="76">
        <f t="shared" si="12"/>
        <v>0.6773244311490576</v>
      </c>
      <c r="M40" s="78">
        <f t="shared" si="13"/>
        <v>0.49682405034381949</v>
      </c>
      <c r="N40" s="6"/>
      <c r="O40" s="9">
        <v>0.13</v>
      </c>
      <c r="P40" s="8">
        <v>597.77</v>
      </c>
      <c r="Q40" s="8">
        <v>474.6</v>
      </c>
      <c r="R40" s="8">
        <v>523.19000000000005</v>
      </c>
      <c r="S40" s="8">
        <v>461.04</v>
      </c>
      <c r="T40" s="8">
        <v>493.81</v>
      </c>
      <c r="U40" s="8"/>
      <c r="V40" s="8">
        <f t="shared" si="14"/>
        <v>61.577615067180332</v>
      </c>
      <c r="W40" s="8">
        <f t="shared" si="14"/>
        <v>97.686742505752903</v>
      </c>
      <c r="X40" s="8">
        <f t="shared" si="24"/>
        <v>80.384483661419381</v>
      </c>
      <c r="Y40" s="8">
        <f t="shared" si="22"/>
        <v>103.51752557919318</v>
      </c>
      <c r="Z40" s="8">
        <f t="shared" si="15"/>
        <v>90.234233713402787</v>
      </c>
      <c r="AA40" s="8">
        <v>0</v>
      </c>
      <c r="AB40" s="8">
        <f>AVERAGE(P40:T40)</f>
        <v>510.08199999999999</v>
      </c>
      <c r="AC40" s="8">
        <f t="shared" si="16"/>
        <v>54.29059098959965</v>
      </c>
      <c r="AD40" s="80">
        <f t="shared" si="17"/>
        <v>84.568981266252109</v>
      </c>
      <c r="AE40" s="94">
        <f t="shared" si="19"/>
        <v>84.568981266252109</v>
      </c>
      <c r="AF40" s="94">
        <f>_xlfn.STDEV.S(V40:Z40)</f>
        <v>16.485193968528939</v>
      </c>
      <c r="AG40" s="6"/>
      <c r="AH40" s="8">
        <v>1.8500185001855099E-3</v>
      </c>
      <c r="AI40" s="8">
        <v>1.8500185001855099E-3</v>
      </c>
      <c r="AJ40" s="8">
        <v>1.7400174001735999E-3</v>
      </c>
      <c r="AK40" s="8">
        <v>1.87001870020254E-3</v>
      </c>
      <c r="AL40" s="8">
        <v>1.87001870020254E-3</v>
      </c>
      <c r="AM40" s="8">
        <f t="shared" si="25"/>
        <v>1.83601836018994E-3</v>
      </c>
      <c r="AN40" s="8">
        <v>56.115377422564997</v>
      </c>
      <c r="AO40" s="8">
        <v>56.115377422564997</v>
      </c>
      <c r="AP40" s="8">
        <v>71.361920805588596</v>
      </c>
      <c r="AQ40" s="8">
        <v>53.343278623592397</v>
      </c>
      <c r="AR40" s="8">
        <v>53.343278623592397</v>
      </c>
      <c r="AS40" s="8">
        <f t="shared" si="20"/>
        <v>58.055846579580681</v>
      </c>
      <c r="AT40" s="80">
        <v>58.055829107995521</v>
      </c>
      <c r="AU40" s="113">
        <f t="shared" si="26"/>
        <v>7.566357212792413</v>
      </c>
      <c r="AW40" s="82">
        <f t="shared" si="23"/>
        <v>26.513152158256588</v>
      </c>
      <c r="AX40" s="83">
        <f t="shared" si="21"/>
        <v>0.31350918222349289</v>
      </c>
    </row>
    <row r="41" spans="2:50" x14ac:dyDescent="0.45">
      <c r="B41" s="9" t="s">
        <v>111</v>
      </c>
      <c r="C41" s="9">
        <v>25</v>
      </c>
      <c r="D41" s="76">
        <f>AVERAGE(116.3,116.7,116.5)</f>
        <v>116.5</v>
      </c>
      <c r="E41" s="76">
        <v>101</v>
      </c>
      <c r="F41" s="77">
        <f t="shared" si="18"/>
        <v>933.38013645122351</v>
      </c>
      <c r="G41" s="76">
        <v>1627.7999999999997</v>
      </c>
      <c r="H41" s="77">
        <f t="shared" si="10"/>
        <v>1.7439839744061931</v>
      </c>
      <c r="I41" s="78">
        <v>0.14028029887536533</v>
      </c>
      <c r="J41" s="77">
        <f t="shared" si="11"/>
        <v>1.5294344523239138</v>
      </c>
      <c r="K41" s="79">
        <v>2.5</v>
      </c>
      <c r="L41" s="76">
        <f t="shared" si="12"/>
        <v>0.63459113674427248</v>
      </c>
      <c r="M41" s="78">
        <f t="shared" si="13"/>
        <v>0.55264047491690493</v>
      </c>
      <c r="N41" s="6"/>
      <c r="O41" s="9">
        <v>0.16</v>
      </c>
      <c r="P41" s="8">
        <v>491.55</v>
      </c>
      <c r="Q41" s="8">
        <v>491.55</v>
      </c>
      <c r="R41" s="8">
        <v>517.54</v>
      </c>
      <c r="S41" s="8">
        <v>553.70000000000005</v>
      </c>
      <c r="T41" s="8">
        <v>586.47</v>
      </c>
      <c r="U41" s="8"/>
      <c r="V41" s="8">
        <f t="shared" si="14"/>
        <v>91.991257492307923</v>
      </c>
      <c r="W41" s="8">
        <f t="shared" si="14"/>
        <v>91.991257492307923</v>
      </c>
      <c r="X41" s="8">
        <f t="shared" si="24"/>
        <v>82.983951960212295</v>
      </c>
      <c r="Y41" s="8">
        <f t="shared" si="22"/>
        <v>72.499149100299704</v>
      </c>
      <c r="Z41" s="8">
        <f t="shared" si="15"/>
        <v>64.623481866275966</v>
      </c>
      <c r="AA41" s="8">
        <v>0</v>
      </c>
      <c r="AB41" s="8">
        <f>Q41+AA41</f>
        <v>491.55</v>
      </c>
      <c r="AC41" s="8">
        <f t="shared" si="16"/>
        <v>41.369421920060731</v>
      </c>
      <c r="AD41" s="80">
        <f t="shared" si="17"/>
        <v>91.991257492307923</v>
      </c>
      <c r="AE41" s="94">
        <f t="shared" si="19"/>
        <v>91.991257492307923</v>
      </c>
      <c r="AF41" s="94">
        <f>_xlfn.STDEV.S(V41:Z41)</f>
        <v>12.102070190518972</v>
      </c>
      <c r="AG41" s="6"/>
      <c r="AH41" s="8">
        <v>1.41001410014496E-3</v>
      </c>
      <c r="AI41" s="8">
        <v>1.40001400012579E-3</v>
      </c>
      <c r="AJ41" s="8">
        <v>1.3700137001535499E-3</v>
      </c>
      <c r="AK41" s="8">
        <v>1.4200142001357099E-3</v>
      </c>
      <c r="AL41" s="8">
        <v>1.52001520015688E-3</v>
      </c>
      <c r="AM41" s="8">
        <f t="shared" si="25"/>
        <v>1.4240142401433782E-3</v>
      </c>
      <c r="AN41" s="8">
        <v>184.266224629216</v>
      </c>
      <c r="AO41" s="8">
        <v>191.18309028232099</v>
      </c>
      <c r="AP41" s="8">
        <v>211.93368718265799</v>
      </c>
      <c r="AQ41" s="8">
        <v>177.34935899576999</v>
      </c>
      <c r="AR41" s="8">
        <v>108.180702582679</v>
      </c>
      <c r="AS41" s="8">
        <f>AVERAGE(AN41:AR41)</f>
        <v>174.58261273452882</v>
      </c>
      <c r="AT41" s="80">
        <v>174.58243839235092</v>
      </c>
      <c r="AU41" s="113">
        <f>_xlfn.STDEV.S(AN41:AQ41)</f>
        <v>14.942137547797271</v>
      </c>
      <c r="AW41" s="82">
        <f>AD41-AT41</f>
        <v>-82.591180900043</v>
      </c>
      <c r="AX41" s="83">
        <f>ABS(AW41)/AD41</f>
        <v>0.89781554412329956</v>
      </c>
    </row>
    <row r="42" spans="2:50" x14ac:dyDescent="0.45">
      <c r="B42" s="9" t="s">
        <v>112</v>
      </c>
      <c r="C42" s="9">
        <v>25</v>
      </c>
      <c r="D42" s="76">
        <f>AVERAGE(116.5,116.2,116.4,116.3)</f>
        <v>116.35000000000001</v>
      </c>
      <c r="E42" s="76">
        <v>101</v>
      </c>
      <c r="F42" s="77">
        <f t="shared" si="18"/>
        <v>932.17835945150102</v>
      </c>
      <c r="G42" s="76">
        <v>1661.2000000000003</v>
      </c>
      <c r="H42" s="77">
        <f t="shared" si="10"/>
        <v>1.7820623952024157</v>
      </c>
      <c r="I42" s="78">
        <v>0.15156950672645753</v>
      </c>
      <c r="J42" s="77">
        <f t="shared" si="11"/>
        <v>1.5475074537777984</v>
      </c>
      <c r="K42" s="79">
        <v>2.5</v>
      </c>
      <c r="L42" s="76">
        <f t="shared" si="12"/>
        <v>0.61550110398302937</v>
      </c>
      <c r="M42" s="78">
        <f t="shared" si="13"/>
        <v>0.61563458516004788</v>
      </c>
      <c r="N42" s="6"/>
      <c r="O42" s="9">
        <v>0.22</v>
      </c>
      <c r="P42" s="8">
        <v>476.86</v>
      </c>
      <c r="Q42" s="8">
        <v>438.44</v>
      </c>
      <c r="R42" s="8">
        <v>414.71</v>
      </c>
      <c r="S42" s="8">
        <v>323.18</v>
      </c>
      <c r="T42" s="8">
        <v>392.11</v>
      </c>
      <c r="U42" s="8"/>
      <c r="V42" s="8">
        <f t="shared" si="14"/>
        <v>92.923839759077339</v>
      </c>
      <c r="W42" s="8">
        <f t="shared" si="14"/>
        <v>109.92300642772564</v>
      </c>
      <c r="X42" s="8">
        <f t="shared" si="24"/>
        <v>122.86266198171734</v>
      </c>
      <c r="Y42" s="8">
        <f t="shared" si="22"/>
        <v>202.31122646163053</v>
      </c>
      <c r="Z42" s="8">
        <f t="shared" si="15"/>
        <v>137.43365595308924</v>
      </c>
      <c r="AA42" s="8">
        <v>0</v>
      </c>
      <c r="AB42" s="8">
        <f>AVERAGE(P42:T42)</f>
        <v>409.06000000000006</v>
      </c>
      <c r="AC42" s="8">
        <f t="shared" si="16"/>
        <v>57.3468041829707</v>
      </c>
      <c r="AD42" s="80">
        <f t="shared" si="17"/>
        <v>126.28009736924638</v>
      </c>
      <c r="AE42" s="94">
        <f t="shared" si="19"/>
        <v>126.28009736924638</v>
      </c>
      <c r="AF42" s="94">
        <f>_xlfn.STDEV.S(V42:X42,Z42)</f>
        <v>18.936325034197282</v>
      </c>
      <c r="AG42" s="6"/>
      <c r="AH42" s="8">
        <v>1.7400174001735999E-3</v>
      </c>
      <c r="AI42" s="8">
        <v>1.64001640017375E-3</v>
      </c>
      <c r="AJ42" s="8">
        <v>1.6200162001638299E-3</v>
      </c>
      <c r="AK42" s="8">
        <v>1.6200162001496199E-3</v>
      </c>
      <c r="AL42" s="8">
        <v>1.6400164001595401E-3</v>
      </c>
      <c r="AM42" s="8">
        <f t="shared" si="25"/>
        <v>1.6520165201640679E-3</v>
      </c>
      <c r="AN42" s="8">
        <v>70.371917915138198</v>
      </c>
      <c r="AO42" s="8">
        <v>84.394703155192602</v>
      </c>
      <c r="AP42" s="8">
        <v>87.199260204598403</v>
      </c>
      <c r="AQ42" s="8">
        <v>87.199260206591106</v>
      </c>
      <c r="AR42" s="8">
        <v>84.394703157185305</v>
      </c>
      <c r="AS42" s="8">
        <f t="shared" si="20"/>
        <v>82.711968927741125</v>
      </c>
      <c r="AT42" s="80">
        <v>82.71194987437471</v>
      </c>
      <c r="AU42" s="113">
        <f t="shared" si="26"/>
        <v>7.0393823234965875</v>
      </c>
      <c r="AW42" s="82">
        <f t="shared" si="23"/>
        <v>43.568147494871667</v>
      </c>
      <c r="AX42" s="83">
        <f t="shared" si="21"/>
        <v>0.34501198844879916</v>
      </c>
    </row>
    <row r="43" spans="2:50" ht="14.65" thickBot="1" x14ac:dyDescent="0.5">
      <c r="AU43" s="65"/>
    </row>
    <row r="44" spans="2:50" ht="14.65" thickBot="1" x14ac:dyDescent="0.5">
      <c r="B44" s="148" t="s">
        <v>113</v>
      </c>
      <c r="C44" s="149"/>
      <c r="D44" s="149"/>
      <c r="E44" s="149"/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  <c r="AA44" s="149"/>
      <c r="AB44" s="149"/>
      <c r="AC44" s="149"/>
      <c r="AD44" s="149"/>
      <c r="AE44" s="149"/>
      <c r="AF44" s="149"/>
      <c r="AG44" s="149"/>
      <c r="AH44" s="149"/>
      <c r="AI44" s="149"/>
      <c r="AJ44" s="149"/>
      <c r="AK44" s="149"/>
      <c r="AL44" s="149"/>
      <c r="AM44" s="149"/>
      <c r="AN44" s="149"/>
      <c r="AO44" s="149"/>
      <c r="AP44" s="149"/>
      <c r="AQ44" s="149"/>
      <c r="AR44" s="149"/>
      <c r="AS44" s="149"/>
      <c r="AT44" s="150"/>
      <c r="AU44" s="114"/>
    </row>
    <row r="45" spans="2:50" ht="14.65" thickBot="1" x14ac:dyDescent="0.5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7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U45" s="65"/>
    </row>
    <row r="46" spans="2:50" ht="16.149999999999999" thickBot="1" x14ac:dyDescent="0.55000000000000004">
      <c r="B46" s="145" t="s">
        <v>53</v>
      </c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7"/>
      <c r="N46" s="6"/>
      <c r="O46" s="145" t="s">
        <v>54</v>
      </c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7"/>
      <c r="AE46" s="91"/>
      <c r="AF46" s="91"/>
      <c r="AG46" s="6"/>
      <c r="AH46" s="145" t="s">
        <v>55</v>
      </c>
      <c r="AI46" s="146"/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7"/>
      <c r="AU46" s="115"/>
      <c r="AW46" s="145" t="s">
        <v>103</v>
      </c>
      <c r="AX46" s="146"/>
    </row>
    <row r="47" spans="2:50" ht="15.75" x14ac:dyDescent="0.5">
      <c r="B47" s="68" t="s">
        <v>56</v>
      </c>
      <c r="C47" s="68" t="s">
        <v>57</v>
      </c>
      <c r="D47" s="68" t="s">
        <v>58</v>
      </c>
      <c r="E47" s="68" t="s">
        <v>59</v>
      </c>
      <c r="F47" s="69" t="s">
        <v>60</v>
      </c>
      <c r="G47" s="68" t="s">
        <v>61</v>
      </c>
      <c r="H47" s="69" t="s">
        <v>62</v>
      </c>
      <c r="I47" s="68" t="s">
        <v>63</v>
      </c>
      <c r="J47" s="69" t="s">
        <v>64</v>
      </c>
      <c r="K47" s="68" t="s">
        <v>65</v>
      </c>
      <c r="L47" s="69" t="s">
        <v>66</v>
      </c>
      <c r="M47" s="69" t="s">
        <v>67</v>
      </c>
      <c r="N47" s="6"/>
      <c r="O47" s="68" t="s">
        <v>29</v>
      </c>
      <c r="P47" s="68" t="s">
        <v>68</v>
      </c>
      <c r="Q47" s="68" t="s">
        <v>69</v>
      </c>
      <c r="R47" s="68" t="s">
        <v>70</v>
      </c>
      <c r="S47" s="68" t="s">
        <v>71</v>
      </c>
      <c r="T47" s="68" t="s">
        <v>72</v>
      </c>
      <c r="U47" s="68"/>
      <c r="V47" s="68"/>
      <c r="W47" s="68"/>
      <c r="X47" s="68"/>
      <c r="Y47" s="68"/>
      <c r="Z47" s="68"/>
      <c r="AA47" s="68"/>
      <c r="AB47" s="69" t="s">
        <v>73</v>
      </c>
      <c r="AC47" s="90"/>
      <c r="AD47" s="70" t="s">
        <v>6</v>
      </c>
      <c r="AE47" s="92"/>
      <c r="AF47" s="92"/>
      <c r="AG47" s="6"/>
      <c r="AH47" s="68" t="s">
        <v>74</v>
      </c>
      <c r="AI47" s="68" t="s">
        <v>75</v>
      </c>
      <c r="AJ47" s="68" t="s">
        <v>76</v>
      </c>
      <c r="AK47" s="68" t="s">
        <v>77</v>
      </c>
      <c r="AL47" s="68" t="s">
        <v>78</v>
      </c>
      <c r="AM47" s="69" t="s">
        <v>79</v>
      </c>
      <c r="AN47" s="68" t="s">
        <v>80</v>
      </c>
      <c r="AO47" s="68" t="s">
        <v>81</v>
      </c>
      <c r="AP47" s="68" t="s">
        <v>82</v>
      </c>
      <c r="AQ47" s="68" t="s">
        <v>83</v>
      </c>
      <c r="AR47" s="68" t="s">
        <v>84</v>
      </c>
      <c r="AS47" s="71" t="s">
        <v>6</v>
      </c>
      <c r="AT47" s="71" t="s">
        <v>6</v>
      </c>
      <c r="AU47" s="111"/>
      <c r="AW47" s="69" t="s">
        <v>104</v>
      </c>
      <c r="AX47" s="69" t="s">
        <v>105</v>
      </c>
    </row>
    <row r="48" spans="2:50" ht="15.75" x14ac:dyDescent="0.5">
      <c r="B48" s="72" t="s">
        <v>85</v>
      </c>
      <c r="C48" s="72" t="s">
        <v>86</v>
      </c>
      <c r="D48" s="72" t="s">
        <v>87</v>
      </c>
      <c r="E48" s="72" t="s">
        <v>87</v>
      </c>
      <c r="F48" s="73" t="s">
        <v>88</v>
      </c>
      <c r="G48" s="72" t="s">
        <v>89</v>
      </c>
      <c r="H48" s="74" t="s">
        <v>90</v>
      </c>
      <c r="I48" s="73" t="s">
        <v>91</v>
      </c>
      <c r="J48" s="74" t="s">
        <v>90</v>
      </c>
      <c r="K48" s="73" t="s">
        <v>85</v>
      </c>
      <c r="L48" s="73" t="s">
        <v>85</v>
      </c>
      <c r="M48" s="73" t="s">
        <v>91</v>
      </c>
      <c r="N48" s="6"/>
      <c r="O48" s="72" t="s">
        <v>85</v>
      </c>
      <c r="P48" s="72" t="s">
        <v>92</v>
      </c>
      <c r="Q48" s="72" t="s">
        <v>92</v>
      </c>
      <c r="R48" s="72" t="s">
        <v>92</v>
      </c>
      <c r="S48" s="72" t="s">
        <v>92</v>
      </c>
      <c r="T48" s="72" t="s">
        <v>92</v>
      </c>
      <c r="U48" s="72"/>
      <c r="V48" s="72"/>
      <c r="W48" s="72"/>
      <c r="X48" s="72"/>
      <c r="Y48" s="72"/>
      <c r="Z48" s="72"/>
      <c r="AA48" s="72"/>
      <c r="AB48" s="72" t="s">
        <v>92</v>
      </c>
      <c r="AC48" s="72"/>
      <c r="AD48" s="75" t="s">
        <v>17</v>
      </c>
      <c r="AE48" s="93"/>
      <c r="AF48" s="93"/>
      <c r="AG48" s="6"/>
      <c r="AH48" s="72" t="s">
        <v>93</v>
      </c>
      <c r="AI48" s="72" t="s">
        <v>93</v>
      </c>
      <c r="AJ48" s="72" t="s">
        <v>93</v>
      </c>
      <c r="AK48" s="72" t="s">
        <v>93</v>
      </c>
      <c r="AL48" s="72" t="s">
        <v>93</v>
      </c>
      <c r="AM48" s="72" t="s">
        <v>93</v>
      </c>
      <c r="AN48" s="74" t="s">
        <v>17</v>
      </c>
      <c r="AO48" s="74" t="s">
        <v>17</v>
      </c>
      <c r="AP48" s="74" t="s">
        <v>17</v>
      </c>
      <c r="AQ48" s="74" t="s">
        <v>17</v>
      </c>
      <c r="AR48" s="74" t="s">
        <v>17</v>
      </c>
      <c r="AS48" s="74" t="s">
        <v>137</v>
      </c>
      <c r="AT48" s="75" t="s">
        <v>17</v>
      </c>
      <c r="AU48" s="112"/>
      <c r="AW48" s="74" t="s">
        <v>17</v>
      </c>
      <c r="AX48" s="66" t="s">
        <v>91</v>
      </c>
    </row>
    <row r="49" spans="2:50" x14ac:dyDescent="0.45">
      <c r="B49" s="9" t="s">
        <v>114</v>
      </c>
      <c r="C49" s="9">
        <v>56</v>
      </c>
      <c r="D49" s="76">
        <f>AVERAGE(116.3,116.7,116.5)</f>
        <v>116.5</v>
      </c>
      <c r="E49" s="76">
        <v>101</v>
      </c>
      <c r="F49" s="77">
        <f>(D49/10)*(PI()/4)*((E49/10)^2)</f>
        <v>933.38013645122351</v>
      </c>
      <c r="G49" s="76">
        <v>1896.2</v>
      </c>
      <c r="H49" s="77">
        <f t="shared" ref="H49:H56" si="27">G49/F49</f>
        <v>2.0315409830870035</v>
      </c>
      <c r="I49" s="78">
        <v>0.1430861723446894</v>
      </c>
      <c r="J49" s="77">
        <f t="shared" ref="J49:J56" si="28">H49/(1+I49)</f>
        <v>1.7772421994397172</v>
      </c>
      <c r="K49" s="79">
        <v>2.5</v>
      </c>
      <c r="L49" s="76">
        <f t="shared" ref="L49:L56" si="29">K49/J49-1</f>
        <v>0.40667377850252207</v>
      </c>
      <c r="M49" s="78">
        <f t="shared" ref="M49:M56" si="30">I49*(K49/L49)</f>
        <v>0.87961272590262429</v>
      </c>
      <c r="N49" s="6"/>
      <c r="O49" s="9">
        <v>0.46</v>
      </c>
      <c r="P49" s="8">
        <v>342.39</v>
      </c>
      <c r="Q49" s="8">
        <v>291.54000000000002</v>
      </c>
      <c r="R49" s="8">
        <v>249.73</v>
      </c>
      <c r="S49" s="8">
        <v>368.38</v>
      </c>
      <c r="T49" s="8">
        <v>240.69</v>
      </c>
      <c r="U49" s="8"/>
      <c r="V49" s="8">
        <f>(((($D49/10)/P49)*10000)^2)*(($H49*1000*(1+$O49)*(1-2*($O49)))/(1-$O49))/1000000</f>
        <v>50.872651951511962</v>
      </c>
      <c r="W49" s="8">
        <f>(((($D49/10)/Q49)*10000)^2)*(($H49*1000*(1+$O49)*(1-2*($O49)))/(1-$O49))/1000000</f>
        <v>70.166566056973153</v>
      </c>
      <c r="X49" s="8">
        <f>(((($D49/10)/R49)*10000)^2)*(($H49*1000*(1+$O49)*(1-2*($O49)))/(1-$O49))/1000000</f>
        <v>95.628003173898207</v>
      </c>
      <c r="Y49" s="8">
        <f>(((($D49/10)/S49)*10000)^2)*(($H49*1000*(1+$O49)*(1-2*($O49)))/(1-$O49))/1000000</f>
        <v>43.947526280781759</v>
      </c>
      <c r="Z49" s="8">
        <f>(((($D49/10)/T49)*10000)^2)*(($H49*1000*(1+$O49)*(1-2*($O49)))/(1-$O49))/1000000</f>
        <v>102.94622546268073</v>
      </c>
      <c r="AA49" s="8">
        <v>0</v>
      </c>
      <c r="AB49" s="8">
        <f>T49+AA49</f>
        <v>240.69</v>
      </c>
      <c r="AC49" s="8">
        <f t="shared" ref="AC49:AC56" si="31">_xlfn.STDEV.S(P49:T49)</f>
        <v>56.076926003481987</v>
      </c>
      <c r="AD49" s="80">
        <f t="shared" ref="AD49:AD56" si="32">((((D49/10)/AB49)*10000)^2)*((H49*1000*(1+O49)*(1-2*(O49)))/(1-O49))/1000000</f>
        <v>102.94622546268073</v>
      </c>
      <c r="AE49" s="94">
        <f t="shared" ref="AE49:AE56" si="33">AVERAGE(V49:Z49)</f>
        <v>72.712194585169158</v>
      </c>
      <c r="AF49" s="94">
        <f>_xlfn.STDEV.S(V49:Z49)</f>
        <v>26.220616392878334</v>
      </c>
      <c r="AG49" s="6"/>
      <c r="AH49" s="8">
        <v>1.3700137001375599E-3</v>
      </c>
      <c r="AI49" s="8">
        <v>1.3300133001337101E-3</v>
      </c>
      <c r="AJ49" s="8">
        <v>1.32001320013586E-3</v>
      </c>
      <c r="AK49" s="8">
        <v>1.3000130001330501E-3</v>
      </c>
      <c r="AL49" s="8">
        <v>1.3000130001330501E-3</v>
      </c>
      <c r="AM49" s="8">
        <f t="shared" ref="AM49:AM56" si="34">AVERAGE(AH49:AL49)</f>
        <v>1.3240132401346459E-3</v>
      </c>
      <c r="AN49" s="8">
        <v>185.07503977296901</v>
      </c>
      <c r="AO49" s="8">
        <v>212.955633960933</v>
      </c>
      <c r="AP49" s="8">
        <v>219.92578250575701</v>
      </c>
      <c r="AQ49" s="8">
        <v>233.86607960035701</v>
      </c>
      <c r="AR49" s="8">
        <v>233.86607960035701</v>
      </c>
      <c r="AS49" s="8">
        <f>AVERAGE(AN49:AR49)</f>
        <v>217.13772308807461</v>
      </c>
      <c r="AT49" s="80">
        <v>217.13760864298627</v>
      </c>
      <c r="AU49" s="113">
        <f>_xlfn.STDEV.S(AN49:AR49)</f>
        <v>20.080803204507763</v>
      </c>
      <c r="AW49" s="82">
        <f t="shared" ref="AW49:AW56" si="35">AD49-AT49</f>
        <v>-114.19138318030554</v>
      </c>
      <c r="AX49" s="83">
        <f t="shared" ref="AX49:AX56" si="36">ABS(AW49)/AD49</f>
        <v>1.1092333173662721</v>
      </c>
    </row>
    <row r="50" spans="2:50" x14ac:dyDescent="0.45">
      <c r="B50" s="9" t="s">
        <v>115</v>
      </c>
      <c r="C50" s="9">
        <v>56</v>
      </c>
      <c r="D50" s="84">
        <f t="shared" ref="D50:D56" si="37">AVERAGE(116.5,116.2,116.4,116.3)</f>
        <v>116.35000000000001</v>
      </c>
      <c r="E50" s="76">
        <v>101</v>
      </c>
      <c r="F50" s="77">
        <f t="shared" ref="F50:F56" si="38">(D50/10)*(PI()/4)*((E50/10)^2)</f>
        <v>932.17835945150102</v>
      </c>
      <c r="G50" s="76">
        <v>1853.2</v>
      </c>
      <c r="H50" s="77">
        <f t="shared" si="27"/>
        <v>1.9880315619968192</v>
      </c>
      <c r="I50" s="78">
        <v>0.17279256442754556</v>
      </c>
      <c r="J50" s="77">
        <f t="shared" si="28"/>
        <v>1.6951263354634258</v>
      </c>
      <c r="K50" s="79">
        <v>2.5</v>
      </c>
      <c r="L50" s="76">
        <f t="shared" si="29"/>
        <v>0.47481632943690411</v>
      </c>
      <c r="M50" s="78">
        <f t="shared" si="30"/>
        <v>0.90978634113355128</v>
      </c>
      <c r="N50" s="6"/>
      <c r="O50" s="9">
        <v>0.47</v>
      </c>
      <c r="P50" s="8">
        <v>415.84</v>
      </c>
      <c r="Q50" s="8">
        <v>463.3</v>
      </c>
      <c r="R50" s="8">
        <v>423.75</v>
      </c>
      <c r="S50" s="8">
        <v>420.36</v>
      </c>
      <c r="T50" s="8">
        <v>413.58</v>
      </c>
      <c r="U50" s="8"/>
      <c r="V50" s="8">
        <f t="shared" ref="V50:Y56" si="39">(((($D50/10)/P50)*10000)^2)*(($H50*1000*(1+$O50)*(1-2*($O50)))/(1-$O50))/1000000</f>
        <v>25.899789921232152</v>
      </c>
      <c r="W50" s="8">
        <f t="shared" si="39"/>
        <v>20.865277515127559</v>
      </c>
      <c r="X50" s="8">
        <f t="shared" si="39"/>
        <v>24.941889068749813</v>
      </c>
      <c r="Y50" s="8">
        <f t="shared" si="39"/>
        <v>25.345799733299671</v>
      </c>
      <c r="Z50" s="8">
        <f>(((($D50/10)/T50)*10000)^2)*(($H50*1000*(1+$O50)*(1-2*($O50)))/(1-$O50))/1000000</f>
        <v>26.183621116582628</v>
      </c>
      <c r="AA50" s="8">
        <v>0</v>
      </c>
      <c r="AB50" s="8">
        <f>AVERAGE(P50:T50)+AA50</f>
        <v>427.36599999999999</v>
      </c>
      <c r="AC50" s="8">
        <f t="shared" si="31"/>
        <v>20.47140884257848</v>
      </c>
      <c r="AD50" s="80">
        <f t="shared" si="32"/>
        <v>24.521601461940019</v>
      </c>
      <c r="AE50" s="94">
        <f t="shared" si="33"/>
        <v>24.647275470998366</v>
      </c>
      <c r="AF50" s="94">
        <f>_xlfn.STDEV.S(V50:Z50)</f>
        <v>2.1683745205778431</v>
      </c>
      <c r="AG50" s="6"/>
      <c r="AH50" s="8">
        <v>1.59001590015961E-3</v>
      </c>
      <c r="AI50" s="8">
        <v>1.49001490014911E-3</v>
      </c>
      <c r="AJ50" s="8">
        <v>1.46001460014844E-3</v>
      </c>
      <c r="AK50" s="8">
        <v>1.46001460014134E-3</v>
      </c>
      <c r="AL50" s="8">
        <v>1.4200142001428199E-3</v>
      </c>
      <c r="AM50" s="8">
        <f t="shared" si="34"/>
        <v>1.484014840148264E-3</v>
      </c>
      <c r="AN50" s="8">
        <v>86.390918651402302</v>
      </c>
      <c r="AO50" s="8">
        <v>100.017086441282</v>
      </c>
      <c r="AP50" s="8">
        <v>120.939595994955</v>
      </c>
      <c r="AQ50" s="8">
        <v>120.93959599991101</v>
      </c>
      <c r="AR50" s="8">
        <v>148.836275403157</v>
      </c>
      <c r="AS50" s="8">
        <f t="shared" ref="AS50:AS55" si="40">AVERAGE(AN50:AR50)</f>
        <v>115.42469449814148</v>
      </c>
      <c r="AT50" s="80">
        <v>104.20158240318801</v>
      </c>
      <c r="AU50" s="113">
        <f>_xlfn.STDEV.S(AO50:AR50)</f>
        <v>20.031777810271894</v>
      </c>
      <c r="AW50" s="82">
        <f t="shared" si="35"/>
        <v>-79.67998094124799</v>
      </c>
      <c r="AX50" s="83">
        <f t="shared" si="36"/>
        <v>3.2493791673810253</v>
      </c>
    </row>
    <row r="51" spans="2:50" x14ac:dyDescent="0.45">
      <c r="B51" s="9" t="s">
        <v>116</v>
      </c>
      <c r="C51" s="9">
        <v>56</v>
      </c>
      <c r="D51" s="84">
        <f t="shared" si="37"/>
        <v>116.35000000000001</v>
      </c>
      <c r="E51" s="76">
        <v>101</v>
      </c>
      <c r="F51" s="77">
        <f t="shared" si="38"/>
        <v>932.17835945150102</v>
      </c>
      <c r="G51" s="76">
        <v>1805</v>
      </c>
      <c r="H51" s="77">
        <f t="shared" si="27"/>
        <v>1.9363247190828075</v>
      </c>
      <c r="I51" s="78">
        <v>0.1863437537080784</v>
      </c>
      <c r="J51" s="77">
        <f t="shared" si="28"/>
        <v>1.6321784584194605</v>
      </c>
      <c r="K51" s="79">
        <v>2.5</v>
      </c>
      <c r="L51" s="76">
        <f t="shared" si="29"/>
        <v>0.53169525495447645</v>
      </c>
      <c r="M51" s="78">
        <f t="shared" si="30"/>
        <v>0.87617743421479799</v>
      </c>
      <c r="N51" s="6"/>
      <c r="O51" s="9">
        <v>0.46</v>
      </c>
      <c r="P51" s="8">
        <v>574.04</v>
      </c>
      <c r="Q51" s="8">
        <v>996.66</v>
      </c>
      <c r="R51" s="8">
        <v>1033.95</v>
      </c>
      <c r="S51" s="8">
        <v>923.21</v>
      </c>
      <c r="T51" s="8">
        <v>1048.6400000000001</v>
      </c>
      <c r="U51" s="8"/>
      <c r="V51" s="8">
        <f t="shared" si="39"/>
        <v>17.205834308716298</v>
      </c>
      <c r="W51" s="8">
        <f t="shared" si="39"/>
        <v>5.7077637726108996</v>
      </c>
      <c r="X51" s="8">
        <f t="shared" si="39"/>
        <v>5.3034804563224478</v>
      </c>
      <c r="Y51" s="8">
        <f t="shared" si="39"/>
        <v>6.6521042669535557</v>
      </c>
      <c r="Z51" s="8">
        <f>(((($D51/10)/T51)*10000)^2)*(($H51*1000*(1+$O51)*(1-2*($O51)))/(1-$O51))/1000000</f>
        <v>5.1559323269412358</v>
      </c>
      <c r="AA51" s="8">
        <v>0</v>
      </c>
      <c r="AB51" s="8">
        <f>P51+AA51</f>
        <v>574.04</v>
      </c>
      <c r="AC51" s="8">
        <f t="shared" si="31"/>
        <v>196.84878930285555</v>
      </c>
      <c r="AD51" s="80">
        <f t="shared" si="32"/>
        <v>17.205834308716298</v>
      </c>
      <c r="AE51" s="94">
        <f t="shared" si="33"/>
        <v>8.0050230263088871</v>
      </c>
      <c r="AF51" s="94">
        <f>_xlfn.STDEV.S(V51:Z51)</f>
        <v>5.1763492823916071</v>
      </c>
      <c r="AG51" s="6"/>
      <c r="AH51" s="8">
        <v>1.60001600015391E-3</v>
      </c>
      <c r="AI51" s="8">
        <v>1.60001600015391E-3</v>
      </c>
      <c r="AJ51" s="8">
        <v>1.5300153001476201E-3</v>
      </c>
      <c r="AK51" s="8">
        <v>1.5300153001476201E-3</v>
      </c>
      <c r="AL51" s="8">
        <v>1.6200162001496199E-3</v>
      </c>
      <c r="AM51" s="8">
        <f t="shared" si="34"/>
        <v>1.5760157601505359E-3</v>
      </c>
      <c r="AN51" s="8">
        <v>85.272145278396806</v>
      </c>
      <c r="AO51" s="8">
        <v>85.272145278396806</v>
      </c>
      <c r="AP51" s="8">
        <v>94.822954012427104</v>
      </c>
      <c r="AQ51" s="8">
        <v>94.822954012427104</v>
      </c>
      <c r="AR51" s="8">
        <v>82.543342783790493</v>
      </c>
      <c r="AS51" s="8">
        <f t="shared" si="40"/>
        <v>88.54670827308766</v>
      </c>
      <c r="AT51" s="80">
        <v>88.546707922032653</v>
      </c>
      <c r="AU51" s="113">
        <f t="shared" ref="AU51:AU55" si="41">_xlfn.STDEV.S(AN51:AR51)</f>
        <v>5.8367037780676077</v>
      </c>
      <c r="AW51" s="82">
        <f t="shared" si="35"/>
        <v>-71.340873613316347</v>
      </c>
      <c r="AX51" s="83">
        <f t="shared" si="36"/>
        <v>4.1463187621873008</v>
      </c>
    </row>
    <row r="52" spans="2:50" x14ac:dyDescent="0.45">
      <c r="B52" s="9" t="s">
        <v>117</v>
      </c>
      <c r="C52" s="9">
        <v>25</v>
      </c>
      <c r="D52" s="76">
        <f t="shared" si="37"/>
        <v>116.35000000000001</v>
      </c>
      <c r="E52" s="76">
        <v>101</v>
      </c>
      <c r="F52" s="77">
        <f t="shared" si="38"/>
        <v>932.17835945150102</v>
      </c>
      <c r="G52" s="76">
        <v>1748.1999999999998</v>
      </c>
      <c r="H52" s="77">
        <f t="shared" si="27"/>
        <v>1.8753921739061294</v>
      </c>
      <c r="I52" s="78">
        <v>0.16556028504471754</v>
      </c>
      <c r="J52" s="77">
        <f t="shared" si="28"/>
        <v>1.6090048691339709</v>
      </c>
      <c r="K52" s="79">
        <v>2.5</v>
      </c>
      <c r="L52" s="76">
        <f t="shared" si="29"/>
        <v>0.55375539748714209</v>
      </c>
      <c r="M52" s="78">
        <f t="shared" si="30"/>
        <v>0.74744321137096337</v>
      </c>
      <c r="N52" s="6"/>
      <c r="O52" s="9">
        <v>0.4</v>
      </c>
      <c r="P52" s="8">
        <v>397.76</v>
      </c>
      <c r="Q52" s="8">
        <v>418.1</v>
      </c>
      <c r="R52" s="8">
        <v>400.02</v>
      </c>
      <c r="S52" s="8">
        <v>389.85</v>
      </c>
      <c r="T52" s="8">
        <v>402.28</v>
      </c>
      <c r="U52" s="8"/>
      <c r="V52" s="8">
        <f t="shared" si="39"/>
        <v>74.884070182015805</v>
      </c>
      <c r="W52" s="8">
        <f t="shared" si="39"/>
        <v>67.775279998776355</v>
      </c>
      <c r="X52" s="8">
        <f t="shared" si="39"/>
        <v>74.040312744042964</v>
      </c>
      <c r="Y52" s="8">
        <f t="shared" si="39"/>
        <v>77.953672185108019</v>
      </c>
      <c r="Z52" s="8">
        <f>(((($D52/10)/T52)*10000)^2)*(($H52*1000*(1+$O52)*(1-2*($O52)))/(1-$O52))/1000000</f>
        <v>73.210735953734428</v>
      </c>
      <c r="AA52" s="8">
        <v>0</v>
      </c>
      <c r="AB52" s="8">
        <f>AVERAGE(P52:T52)</f>
        <v>401.60199999999998</v>
      </c>
      <c r="AC52" s="8">
        <f t="shared" si="31"/>
        <v>10.344284412176615</v>
      </c>
      <c r="AD52" s="80">
        <f t="shared" si="32"/>
        <v>73.45813899666885</v>
      </c>
      <c r="AE52" s="94">
        <f t="shared" si="33"/>
        <v>73.572814212735508</v>
      </c>
      <c r="AF52" s="94">
        <f>_xlfn.STDEV.S(V52:Z52)</f>
        <v>3.703794246968771</v>
      </c>
      <c r="AG52" s="6"/>
      <c r="AH52" s="8">
        <v>1.68001680016694E-3</v>
      </c>
      <c r="AI52" s="8">
        <v>1.7000170001679701E-3</v>
      </c>
      <c r="AJ52" s="8">
        <v>1.6800168001722699E-3</v>
      </c>
      <c r="AK52" s="8">
        <v>1.66001660016946E-3</v>
      </c>
      <c r="AL52" s="8">
        <v>1.7100171001658299E-3</v>
      </c>
      <c r="AM52" s="8">
        <f t="shared" si="34"/>
        <v>1.686016860168494E-3</v>
      </c>
      <c r="AN52" s="8">
        <v>75.681555822854193</v>
      </c>
      <c r="AO52" s="8">
        <v>72.9142132137478</v>
      </c>
      <c r="AP52" s="8">
        <v>75.681555822116806</v>
      </c>
      <c r="AQ52" s="8">
        <v>78.448898431468905</v>
      </c>
      <c r="AR52" s="8">
        <v>71.530541909563397</v>
      </c>
      <c r="AS52" s="8">
        <f t="shared" si="40"/>
        <v>74.851353039950226</v>
      </c>
      <c r="AT52" s="80">
        <v>74.851347637731493</v>
      </c>
      <c r="AU52" s="113">
        <f t="shared" si="41"/>
        <v>2.6972719289245068</v>
      </c>
      <c r="AW52" s="82">
        <f t="shared" si="35"/>
        <v>-1.3932086410626425</v>
      </c>
      <c r="AX52" s="83">
        <f t="shared" si="36"/>
        <v>1.896602146599196E-2</v>
      </c>
    </row>
    <row r="53" spans="2:50" x14ac:dyDescent="0.45">
      <c r="B53" s="9" t="s">
        <v>118</v>
      </c>
      <c r="C53" s="9">
        <v>25</v>
      </c>
      <c r="D53" s="76">
        <f t="shared" si="37"/>
        <v>116.35000000000001</v>
      </c>
      <c r="E53" s="76">
        <v>101</v>
      </c>
      <c r="F53" s="77">
        <f t="shared" si="38"/>
        <v>932.17835945150102</v>
      </c>
      <c r="G53" s="76">
        <v>1788.6</v>
      </c>
      <c r="H53" s="77">
        <f t="shared" si="27"/>
        <v>1.9187315194191186</v>
      </c>
      <c r="I53" s="78">
        <v>0.19470446643487566</v>
      </c>
      <c r="J53" s="77">
        <f t="shared" si="28"/>
        <v>1.6060302554528956</v>
      </c>
      <c r="K53" s="79">
        <v>2.5</v>
      </c>
      <c r="L53" s="76">
        <f t="shared" si="29"/>
        <v>0.55663319013564139</v>
      </c>
      <c r="M53" s="78">
        <f t="shared" si="30"/>
        <v>0.87447384509819537</v>
      </c>
      <c r="N53" s="6"/>
      <c r="O53" s="9">
        <v>0.46</v>
      </c>
      <c r="P53" s="8">
        <v>870.1</v>
      </c>
      <c r="Q53" s="8">
        <v>706.25</v>
      </c>
      <c r="R53" s="8">
        <v>197.75</v>
      </c>
      <c r="S53" s="8">
        <v>72.320000000000107</v>
      </c>
      <c r="T53" s="8"/>
      <c r="U53" s="8"/>
      <c r="V53" s="8">
        <f t="shared" si="39"/>
        <v>7.4209196749109161</v>
      </c>
      <c r="W53" s="8">
        <f t="shared" si="39"/>
        <v>11.263649984651982</v>
      </c>
      <c r="X53" s="8"/>
      <c r="Y53" s="8"/>
      <c r="Z53" s="8"/>
      <c r="AA53" s="8">
        <v>0</v>
      </c>
      <c r="AB53" s="8">
        <f>AVERAGE(P53:T53)</f>
        <v>461.60500000000002</v>
      </c>
      <c r="AC53" s="8">
        <f t="shared" si="31"/>
        <v>386.38565074288147</v>
      </c>
      <c r="AD53" s="80">
        <f t="shared" si="32"/>
        <v>26.366656380882276</v>
      </c>
      <c r="AE53" s="94">
        <f t="shared" si="33"/>
        <v>9.3422848297814483</v>
      </c>
      <c r="AF53" s="94">
        <f>_xlfn.STDEV.S(V53:W53)</f>
        <v>2.7172206602889983</v>
      </c>
      <c r="AG53" s="6"/>
      <c r="AH53" s="8">
        <v>2.2200222002215502E-3</v>
      </c>
      <c r="AI53" s="8">
        <v>1.72001720017079E-3</v>
      </c>
      <c r="AJ53" s="8">
        <v>1.7000170001679701E-3</v>
      </c>
      <c r="AK53" s="8">
        <v>1.7900179001770801E-3</v>
      </c>
      <c r="AL53" s="8">
        <v>2.4200242002336801E-3</v>
      </c>
      <c r="AM53" s="8">
        <f t="shared" si="34"/>
        <v>1.9700197001942142E-3</v>
      </c>
      <c r="AN53" s="8"/>
      <c r="AO53" s="8">
        <v>68.899330304942396</v>
      </c>
      <c r="AP53" s="8">
        <v>71.628132800518202</v>
      </c>
      <c r="AQ53" s="8">
        <v>59.348521570912098</v>
      </c>
      <c r="AR53" s="8"/>
      <c r="AS53" s="8">
        <f t="shared" si="40"/>
        <v>66.625328225457565</v>
      </c>
      <c r="AT53" s="80">
        <v>34.789304082209583</v>
      </c>
      <c r="AU53" s="113">
        <f>_xlfn.STDEV.S(AO53:AQ53)</f>
        <v>6.447908737000942</v>
      </c>
      <c r="AW53" s="82">
        <f>AD53-AT53</f>
        <v>-8.4226477013273069</v>
      </c>
      <c r="AX53" s="83">
        <f t="shared" si="36"/>
        <v>0.31944314742290697</v>
      </c>
    </row>
    <row r="54" spans="2:50" x14ac:dyDescent="0.45">
      <c r="B54" s="9" t="s">
        <v>107</v>
      </c>
      <c r="C54" s="9">
        <v>25</v>
      </c>
      <c r="D54" s="76">
        <f t="shared" si="37"/>
        <v>116.35000000000001</v>
      </c>
      <c r="E54" s="76">
        <v>101</v>
      </c>
      <c r="F54" s="77">
        <f t="shared" si="38"/>
        <v>932.17835945150102</v>
      </c>
      <c r="G54" s="76">
        <v>1781.4</v>
      </c>
      <c r="H54" s="77">
        <f t="shared" si="27"/>
        <v>1.9110076756643286</v>
      </c>
      <c r="I54" s="78">
        <v>0.13297332509443671</v>
      </c>
      <c r="J54" s="77">
        <f t="shared" si="28"/>
        <v>1.6867190368361413</v>
      </c>
      <c r="K54" s="79">
        <v>2.5</v>
      </c>
      <c r="L54" s="76">
        <f t="shared" si="29"/>
        <v>0.48216741816667241</v>
      </c>
      <c r="M54" s="78">
        <f t="shared" si="30"/>
        <v>0.68945619345266185</v>
      </c>
      <c r="N54" s="6"/>
      <c r="O54" s="9">
        <v>0.32</v>
      </c>
      <c r="P54" s="8">
        <v>364.99</v>
      </c>
      <c r="Q54" s="8">
        <v>287.02</v>
      </c>
      <c r="R54" s="8">
        <v>303.97000000000003</v>
      </c>
      <c r="S54" s="8">
        <v>238.43</v>
      </c>
      <c r="T54" s="8">
        <v>250.86</v>
      </c>
      <c r="U54" s="8"/>
      <c r="V54" s="8">
        <f t="shared" si="39"/>
        <v>135.70654516451461</v>
      </c>
      <c r="W54" s="8">
        <f t="shared" si="39"/>
        <v>219.45142523511441</v>
      </c>
      <c r="X54" s="8">
        <f t="shared" si="39"/>
        <v>195.65965299634658</v>
      </c>
      <c r="Y54" s="8"/>
      <c r="Z54" s="8">
        <f>(((($D54/10)/T54)*10000)^2)*(($H54*1000*(1+$O54)*(1-2*($O54)))/(1-$O54))/1000000</f>
        <v>287.27636049161271</v>
      </c>
      <c r="AA54" s="8">
        <v>0</v>
      </c>
      <c r="AB54" s="8">
        <f>AVERAGE(P54:T54)</f>
        <v>289.05399999999997</v>
      </c>
      <c r="AC54" s="8">
        <f t="shared" si="31"/>
        <v>50.03616522076824</v>
      </c>
      <c r="AD54" s="80">
        <f t="shared" si="32"/>
        <v>216.37384303347091</v>
      </c>
      <c r="AE54" s="94">
        <f t="shared" si="33"/>
        <v>209.52349597189709</v>
      </c>
      <c r="AF54" s="94">
        <f>_xlfn.STDEV.S(W54:X54)</f>
        <v>16.823323486478582</v>
      </c>
      <c r="AG54" s="6"/>
      <c r="AH54" s="8">
        <v>1.4200142001410401E-3</v>
      </c>
      <c r="AI54" s="8">
        <v>1.42001420013926E-3</v>
      </c>
      <c r="AJ54" s="8">
        <v>1.40001400014E-3</v>
      </c>
      <c r="AK54" s="8">
        <v>1.3900139001350501E-3</v>
      </c>
      <c r="AL54" s="8">
        <v>1.40001400014E-3</v>
      </c>
      <c r="AM54" s="8">
        <f t="shared" si="34"/>
        <v>1.4060140601390699E-3</v>
      </c>
      <c r="AN54" s="8">
        <v>169.48987586403899</v>
      </c>
      <c r="AO54" s="8">
        <v>169.489875865268</v>
      </c>
      <c r="AP54" s="8">
        <v>183.31854247311199</v>
      </c>
      <c r="AQ54" s="8">
        <v>190.23287578071901</v>
      </c>
      <c r="AR54" s="8">
        <v>183.31854247311199</v>
      </c>
      <c r="AS54" s="8">
        <f t="shared" si="40"/>
        <v>179.16994249125</v>
      </c>
      <c r="AT54" s="80">
        <v>179.16977933051805</v>
      </c>
      <c r="AU54" s="113">
        <f t="shared" si="41"/>
        <v>9.2765515734154551</v>
      </c>
      <c r="AW54" s="82">
        <f t="shared" si="35"/>
        <v>37.204063702952851</v>
      </c>
      <c r="AX54" s="83">
        <f t="shared" si="36"/>
        <v>0.17194344372391512</v>
      </c>
    </row>
    <row r="55" spans="2:50" x14ac:dyDescent="0.45">
      <c r="B55" s="9" t="s">
        <v>108</v>
      </c>
      <c r="C55" s="9">
        <v>25</v>
      </c>
      <c r="D55" s="76">
        <f t="shared" si="37"/>
        <v>116.35000000000001</v>
      </c>
      <c r="E55" s="76">
        <v>101</v>
      </c>
      <c r="F55" s="77">
        <f t="shared" si="38"/>
        <v>932.17835945150102</v>
      </c>
      <c r="G55" s="76">
        <v>1808.4</v>
      </c>
      <c r="H55" s="77">
        <f t="shared" si="27"/>
        <v>1.9399720897447918</v>
      </c>
      <c r="I55" s="78">
        <v>0.15578764142732804</v>
      </c>
      <c r="J55" s="77">
        <f t="shared" si="28"/>
        <v>1.678484887889131</v>
      </c>
      <c r="K55" s="79">
        <v>2.5</v>
      </c>
      <c r="L55" s="76">
        <f t="shared" si="29"/>
        <v>0.48943849184368271</v>
      </c>
      <c r="M55" s="78">
        <f t="shared" si="30"/>
        <v>0.79574677933730853</v>
      </c>
      <c r="N55" s="6"/>
      <c r="O55" s="9">
        <v>0.44</v>
      </c>
      <c r="P55" s="8">
        <v>283.63</v>
      </c>
      <c r="Q55" s="8">
        <v>277.98</v>
      </c>
      <c r="R55" s="8">
        <v>296.06</v>
      </c>
      <c r="S55" s="8">
        <v>363.86</v>
      </c>
      <c r="T55" s="8">
        <v>279.11</v>
      </c>
      <c r="U55" s="8"/>
      <c r="V55" s="8">
        <f t="shared" si="39"/>
        <v>100.73482545478518</v>
      </c>
      <c r="W55" s="8">
        <f t="shared" si="39"/>
        <v>104.87135201396195</v>
      </c>
      <c r="X55" s="8">
        <f t="shared" si="39"/>
        <v>92.453743058052012</v>
      </c>
      <c r="Y55" s="8">
        <f t="shared" si="39"/>
        <v>61.209007546747038</v>
      </c>
      <c r="Z55" s="8">
        <f>(((($D55/10)/T55)*10000)^2)*(($H55*1000*(1+$O55)*(1-2*($O55)))/(1-$O55))/1000000</f>
        <v>104.02391021778621</v>
      </c>
      <c r="AA55" s="8">
        <v>0</v>
      </c>
      <c r="AB55" s="8">
        <f>AVERAGE(P55:T55)</f>
        <v>300.12800000000004</v>
      </c>
      <c r="AC55" s="8">
        <f t="shared" si="31"/>
        <v>36.341404348208187</v>
      </c>
      <c r="AD55" s="80">
        <f t="shared" si="32"/>
        <v>89.964452196165865</v>
      </c>
      <c r="AE55" s="94">
        <f t="shared" si="33"/>
        <v>92.658567658266477</v>
      </c>
      <c r="AF55" s="94">
        <f>_xlfn.STDEV.S(V55:Z55)</f>
        <v>18.252847980073621</v>
      </c>
      <c r="AG55" s="6"/>
      <c r="AH55" s="8">
        <v>1.4800148001477E-3</v>
      </c>
      <c r="AI55" s="8">
        <v>1.52001520014977E-3</v>
      </c>
      <c r="AJ55" s="8">
        <v>1.5000150001611701E-3</v>
      </c>
      <c r="AK55" s="8">
        <v>1.5100151001519199E-3</v>
      </c>
      <c r="AL55" s="8">
        <v>1.57001570015325E-3</v>
      </c>
      <c r="AM55" s="8">
        <f t="shared" si="34"/>
        <v>1.516015160152762E-3</v>
      </c>
      <c r="AN55" s="8">
        <v>111.222824839551</v>
      </c>
      <c r="AO55" s="8">
        <v>89.872768396403501</v>
      </c>
      <c r="AP55" s="8">
        <v>96.726591817348705</v>
      </c>
      <c r="AQ55" s="8">
        <v>99.468121183973494</v>
      </c>
      <c r="AR55" s="8">
        <v>98.097356501148099</v>
      </c>
      <c r="AS55" s="8">
        <f t="shared" si="40"/>
        <v>99.077532547684967</v>
      </c>
      <c r="AT55" s="80">
        <v>97.274894332241047</v>
      </c>
      <c r="AU55" s="113">
        <f t="shared" si="41"/>
        <v>7.7278074966016908</v>
      </c>
      <c r="AW55" s="82">
        <f t="shared" si="35"/>
        <v>-7.3104421360751815</v>
      </c>
      <c r="AX55" s="83">
        <f t="shared" si="36"/>
        <v>8.1259230258356865E-2</v>
      </c>
    </row>
    <row r="56" spans="2:50" x14ac:dyDescent="0.45">
      <c r="B56" s="9" t="s">
        <v>114</v>
      </c>
      <c r="C56" s="9">
        <v>25</v>
      </c>
      <c r="D56" s="84">
        <f t="shared" si="37"/>
        <v>116.35000000000001</v>
      </c>
      <c r="E56" s="76">
        <v>101</v>
      </c>
      <c r="F56" s="77">
        <f t="shared" si="38"/>
        <v>932.17835945150102</v>
      </c>
      <c r="G56" s="76">
        <v>1746.2</v>
      </c>
      <c r="H56" s="77">
        <f t="shared" si="27"/>
        <v>1.8732466617520214</v>
      </c>
      <c r="I56" s="78">
        <v>0.16935064935064942</v>
      </c>
      <c r="J56" s="77">
        <f t="shared" si="28"/>
        <v>1.601954608561813</v>
      </c>
      <c r="K56" s="79">
        <v>2.5</v>
      </c>
      <c r="L56" s="76">
        <f t="shared" si="29"/>
        <v>0.56059353157604463</v>
      </c>
      <c r="M56" s="78">
        <f t="shared" si="30"/>
        <v>0.75522923389135188</v>
      </c>
      <c r="N56" s="6"/>
      <c r="O56" s="9">
        <v>0.4</v>
      </c>
      <c r="P56" s="8">
        <v>448.61</v>
      </c>
      <c r="Q56" s="8">
        <v>480.25</v>
      </c>
      <c r="R56" s="8">
        <v>359.34</v>
      </c>
      <c r="S56" s="8">
        <v>479.12</v>
      </c>
      <c r="T56" s="8">
        <v>418.1</v>
      </c>
      <c r="U56" s="8"/>
      <c r="V56" s="8">
        <f t="shared" si="39"/>
        <v>58.802612712735076</v>
      </c>
      <c r="W56" s="8">
        <f t="shared" si="39"/>
        <v>51.309735568395659</v>
      </c>
      <c r="X56" s="8">
        <f t="shared" si="39"/>
        <v>91.648085390624047</v>
      </c>
      <c r="Y56" s="8">
        <f t="shared" si="39"/>
        <v>51.552048032226011</v>
      </c>
      <c r="Z56" s="8">
        <f>(((($D56/10)/T56)*10000)^2)*(($H56*1000*(1+$O56)*(1-2*($O56)))/(1-$O56))/1000000</f>
        <v>67.69774278335619</v>
      </c>
      <c r="AA56" s="8">
        <v>0</v>
      </c>
      <c r="AB56" s="8">
        <f>R56+AA56</f>
        <v>359.34</v>
      </c>
      <c r="AC56" s="8">
        <f t="shared" si="31"/>
        <v>50.417505194128502</v>
      </c>
      <c r="AD56" s="80">
        <f t="shared" si="32"/>
        <v>91.648085390624047</v>
      </c>
      <c r="AE56" s="94">
        <f t="shared" si="33"/>
        <v>64.202044897467403</v>
      </c>
      <c r="AF56" s="94">
        <f>_xlfn.STDEV.S(V56:Z56)</f>
        <v>16.739869853929648</v>
      </c>
      <c r="AG56" s="6"/>
      <c r="AH56" s="8">
        <v>1.4800148001477E-3</v>
      </c>
      <c r="AI56" s="8">
        <v>1.4200142001428199E-3</v>
      </c>
      <c r="AJ56" s="8">
        <v>1.46001460014844E-3</v>
      </c>
      <c r="AK56" s="8">
        <v>1.46001460014134E-3</v>
      </c>
      <c r="AL56" s="8"/>
      <c r="AM56" s="8">
        <f t="shared" si="34"/>
        <v>1.455014550145075E-3</v>
      </c>
      <c r="AN56" s="8">
        <v>116.842222146642</v>
      </c>
      <c r="AO56" s="8">
        <v>158.51892875069001</v>
      </c>
      <c r="AP56" s="8">
        <v>130.734457679679</v>
      </c>
      <c r="AQ56" s="8">
        <v>130.73445768461499</v>
      </c>
      <c r="AR56" s="8"/>
      <c r="AS56" s="8">
        <f>AVERAGE(AN56:AR56)</f>
        <v>134.20751656540648</v>
      </c>
      <c r="AT56" s="80">
        <v>134.20744380989277</v>
      </c>
      <c r="AU56" s="113">
        <f>_xlfn.STDEV.S(AN56:AR56)</f>
        <v>17.480679703664464</v>
      </c>
      <c r="AW56" s="82">
        <f t="shared" si="35"/>
        <v>-42.559358419268719</v>
      </c>
      <c r="AX56" s="83">
        <f t="shared" si="36"/>
        <v>0.46437804170017832</v>
      </c>
    </row>
    <row r="59" spans="2:50" x14ac:dyDescent="0.45">
      <c r="C59" s="66"/>
      <c r="O59" s="65"/>
      <c r="P59" s="67"/>
      <c r="Q59" s="67"/>
      <c r="R59" s="67"/>
      <c r="AD59" s="65"/>
      <c r="AE59" s="65"/>
      <c r="AF59" s="65"/>
      <c r="AG59" s="67"/>
      <c r="AH59" s="67"/>
      <c r="AT59" s="65"/>
      <c r="AU59" s="65"/>
    </row>
    <row r="60" spans="2:50" x14ac:dyDescent="0.45">
      <c r="C60" s="66"/>
      <c r="O60" s="65"/>
      <c r="P60" s="67"/>
      <c r="Q60" s="67"/>
      <c r="R60" s="67"/>
      <c r="AD60" s="65"/>
      <c r="AE60" s="65"/>
      <c r="AF60" s="65"/>
      <c r="AG60" s="67"/>
      <c r="AH60" s="67"/>
      <c r="AT60" s="65"/>
      <c r="AU60" s="65"/>
    </row>
    <row r="61" spans="2:50" x14ac:dyDescent="0.45">
      <c r="C61" s="66"/>
      <c r="O61" s="65"/>
      <c r="P61" s="67"/>
      <c r="Q61" s="67"/>
      <c r="R61" s="67"/>
      <c r="AD61" s="65"/>
      <c r="AE61" s="65"/>
      <c r="AF61" s="65"/>
      <c r="AG61" s="67"/>
      <c r="AH61" s="67"/>
      <c r="AT61" s="65"/>
      <c r="AU61" s="65"/>
    </row>
    <row r="62" spans="2:50" x14ac:dyDescent="0.45">
      <c r="C62" s="66"/>
      <c r="O62" s="65"/>
      <c r="P62" s="67"/>
      <c r="Q62" s="67"/>
      <c r="R62" s="67"/>
      <c r="AD62" s="65"/>
      <c r="AE62" s="65"/>
      <c r="AF62" s="65"/>
      <c r="AG62" s="67"/>
      <c r="AH62" s="67"/>
      <c r="AT62" s="65"/>
      <c r="AU62" s="65"/>
    </row>
    <row r="63" spans="2:50" x14ac:dyDescent="0.45">
      <c r="C63" s="66"/>
      <c r="O63" s="65"/>
      <c r="P63" s="67"/>
      <c r="Q63" s="67"/>
      <c r="R63" s="67"/>
      <c r="Z63" s="65" t="s">
        <v>121</v>
      </c>
      <c r="AB63" s="65" t="s">
        <v>122</v>
      </c>
      <c r="AD63" s="65"/>
      <c r="AE63" s="65"/>
      <c r="AF63" s="65"/>
      <c r="AG63" s="67"/>
      <c r="AH63" s="67"/>
      <c r="AT63" s="65"/>
      <c r="AU63" s="65"/>
    </row>
    <row r="64" spans="2:50" x14ac:dyDescent="0.45">
      <c r="C64" s="66"/>
      <c r="O64" s="65"/>
      <c r="P64" s="67"/>
      <c r="Q64" s="67"/>
      <c r="R64" s="67"/>
      <c r="Z64" s="65">
        <v>0</v>
      </c>
      <c r="AB64" s="65">
        <v>0</v>
      </c>
      <c r="AD64" s="65"/>
      <c r="AE64" s="65"/>
      <c r="AF64" s="65"/>
      <c r="AG64" s="67"/>
      <c r="AH64" s="67"/>
      <c r="AT64" s="65"/>
      <c r="AU64" s="65"/>
    </row>
    <row r="65" spans="3:47" x14ac:dyDescent="0.45">
      <c r="C65" s="66"/>
      <c r="O65" s="65"/>
      <c r="P65" s="67"/>
      <c r="Q65" s="67"/>
      <c r="R65" s="67"/>
      <c r="Z65" s="65">
        <v>1000</v>
      </c>
      <c r="AB65" s="65">
        <v>1000</v>
      </c>
      <c r="AD65" s="65"/>
      <c r="AE65" s="65"/>
      <c r="AF65" s="65"/>
      <c r="AG65" s="67"/>
      <c r="AH65" s="67"/>
      <c r="AT65" s="65"/>
      <c r="AU65" s="65"/>
    </row>
    <row r="66" spans="3:47" x14ac:dyDescent="0.45">
      <c r="C66" s="66"/>
      <c r="O66" s="65"/>
      <c r="P66" s="67"/>
      <c r="Q66" s="67"/>
      <c r="R66" s="67"/>
      <c r="AD66" s="65"/>
      <c r="AE66" s="65"/>
      <c r="AF66" s="65"/>
      <c r="AG66" s="67"/>
      <c r="AH66" s="67"/>
      <c r="AT66" s="65"/>
      <c r="AU66" s="65"/>
    </row>
    <row r="67" spans="3:47" x14ac:dyDescent="0.45">
      <c r="C67" s="66"/>
      <c r="O67" s="65"/>
      <c r="P67" s="67"/>
      <c r="Q67" s="67"/>
      <c r="R67" s="67"/>
      <c r="AD67" s="65"/>
      <c r="AE67" s="65"/>
      <c r="AF67" s="65"/>
      <c r="AG67" s="67"/>
      <c r="AH67" s="67"/>
      <c r="AT67" s="65"/>
      <c r="AU67" s="65"/>
    </row>
    <row r="68" spans="3:47" x14ac:dyDescent="0.45">
      <c r="C68" s="66"/>
      <c r="O68" s="65"/>
      <c r="P68" s="67"/>
      <c r="Q68" s="67"/>
      <c r="R68" s="67"/>
      <c r="AD68" s="65"/>
      <c r="AE68" s="65"/>
      <c r="AF68" s="65"/>
      <c r="AG68" s="67"/>
      <c r="AH68" s="67"/>
      <c r="AT68" s="65"/>
      <c r="AU68" s="65"/>
    </row>
    <row r="69" spans="3:47" x14ac:dyDescent="0.45">
      <c r="C69" s="66"/>
      <c r="O69" s="65"/>
      <c r="P69" s="67"/>
      <c r="Q69" s="67"/>
      <c r="R69" s="67"/>
      <c r="AD69" s="65"/>
      <c r="AE69" s="65"/>
      <c r="AF69" s="65"/>
      <c r="AG69" s="67"/>
      <c r="AH69" s="67"/>
      <c r="AT69" s="65"/>
      <c r="AU69" s="65"/>
    </row>
    <row r="70" spans="3:47" x14ac:dyDescent="0.45">
      <c r="C70" s="66"/>
      <c r="O70" s="65"/>
      <c r="P70" s="67"/>
      <c r="Q70" s="67"/>
      <c r="R70" s="67"/>
      <c r="AD70" s="65"/>
      <c r="AE70" s="65"/>
      <c r="AF70" s="65"/>
      <c r="AG70" s="67"/>
      <c r="AH70" s="67"/>
      <c r="AT70" s="65"/>
      <c r="AU70" s="65"/>
    </row>
    <row r="71" spans="3:47" x14ac:dyDescent="0.45">
      <c r="C71" s="66"/>
      <c r="O71" s="65"/>
      <c r="P71" s="67"/>
      <c r="Q71" s="67"/>
      <c r="R71" s="67"/>
      <c r="AD71" s="65"/>
      <c r="AE71" s="65"/>
      <c r="AF71" s="65"/>
      <c r="AG71" s="67"/>
      <c r="AH71" s="67"/>
      <c r="AT71" s="65"/>
      <c r="AU71" s="65"/>
    </row>
    <row r="72" spans="3:47" x14ac:dyDescent="0.45">
      <c r="C72" s="66"/>
      <c r="O72" s="65"/>
      <c r="P72" s="67"/>
      <c r="Q72" s="67"/>
      <c r="R72" s="67"/>
      <c r="AD72" s="65"/>
      <c r="AE72" s="65"/>
      <c r="AF72" s="65"/>
      <c r="AG72" s="67"/>
      <c r="AH72" s="67"/>
      <c r="AT72" s="65"/>
      <c r="AU72" s="65"/>
    </row>
    <row r="73" spans="3:47" x14ac:dyDescent="0.45">
      <c r="C73" s="66"/>
      <c r="O73" s="65"/>
      <c r="P73" s="67"/>
      <c r="Q73" s="67"/>
      <c r="R73" s="67"/>
      <c r="AD73" s="65"/>
      <c r="AE73" s="65"/>
      <c r="AF73" s="65"/>
      <c r="AG73" s="67"/>
      <c r="AH73" s="67"/>
      <c r="AT73" s="65"/>
      <c r="AU73" s="65"/>
    </row>
    <row r="74" spans="3:47" x14ac:dyDescent="0.45">
      <c r="C74" s="66"/>
      <c r="O74" s="65"/>
      <c r="P74" s="67"/>
      <c r="Q74" s="67"/>
      <c r="R74" s="67"/>
      <c r="V74" s="65" t="s">
        <v>123</v>
      </c>
      <c r="Y74" s="65" t="s">
        <v>124</v>
      </c>
      <c r="AD74" s="65"/>
      <c r="AE74" s="65"/>
      <c r="AF74" s="65"/>
      <c r="AG74" s="67"/>
      <c r="AH74" s="67"/>
      <c r="AT74" s="65"/>
      <c r="AU74" s="65"/>
    </row>
    <row r="75" spans="3:47" x14ac:dyDescent="0.45">
      <c r="C75" s="66"/>
      <c r="O75" s="65"/>
      <c r="P75" s="67"/>
      <c r="Q75" s="67"/>
      <c r="R75" s="67"/>
      <c r="V75" s="65">
        <f>AD35</f>
        <v>347.50445822824116</v>
      </c>
      <c r="W75" s="65">
        <f>AF35</f>
        <v>17.561094684635073</v>
      </c>
      <c r="Y75" s="65">
        <f>AT35</f>
        <v>222.895551338432</v>
      </c>
      <c r="Z75" s="65">
        <f>AU35</f>
        <v>14.169240768724649</v>
      </c>
      <c r="AD75" s="65"/>
      <c r="AE75" s="65"/>
      <c r="AF75" s="65"/>
      <c r="AG75" s="67"/>
      <c r="AH75" s="67"/>
      <c r="AT75" s="65"/>
      <c r="AU75" s="65"/>
    </row>
    <row r="76" spans="3:47" x14ac:dyDescent="0.45">
      <c r="C76" s="66"/>
      <c r="O76" s="65"/>
      <c r="P76" s="67"/>
      <c r="Q76" s="67"/>
      <c r="R76" s="67"/>
      <c r="V76" s="65">
        <f t="shared" ref="V76:V82" si="42">AD36</f>
        <v>182.24481474296391</v>
      </c>
      <c r="W76" s="65">
        <f t="shared" ref="W76:W82" si="43">AF36</f>
        <v>21.027186486300735</v>
      </c>
      <c r="Y76" s="65">
        <f t="shared" ref="Y76:Y82" si="44">AT36</f>
        <v>221.83874573585601</v>
      </c>
      <c r="Z76" s="65">
        <f t="shared" ref="Z76:Z82" si="45">AU36</f>
        <v>31.721744315344878</v>
      </c>
      <c r="AD76" s="65"/>
      <c r="AE76" s="65"/>
      <c r="AF76" s="65"/>
      <c r="AG76" s="67"/>
      <c r="AH76" s="67"/>
      <c r="AT76" s="65"/>
      <c r="AU76" s="65"/>
    </row>
    <row r="77" spans="3:47" x14ac:dyDescent="0.45">
      <c r="C77" s="66"/>
      <c r="O77" s="65"/>
      <c r="P77" s="67"/>
      <c r="Q77" s="67"/>
      <c r="R77" s="67"/>
      <c r="V77" s="65">
        <f t="shared" si="42"/>
        <v>406.88366737909126</v>
      </c>
      <c r="W77" s="65">
        <f t="shared" si="43"/>
        <v>31.303480060735129</v>
      </c>
      <c r="Y77" s="65">
        <f t="shared" si="44"/>
        <v>277.08026106407374</v>
      </c>
      <c r="Z77" s="65">
        <f t="shared" si="45"/>
        <v>6.9198523051219922</v>
      </c>
      <c r="AD77" s="65"/>
      <c r="AE77" s="65"/>
      <c r="AF77" s="65"/>
      <c r="AG77" s="67"/>
      <c r="AH77" s="67"/>
      <c r="AT77" s="65"/>
      <c r="AU77" s="65"/>
    </row>
    <row r="78" spans="3:47" x14ac:dyDescent="0.45">
      <c r="C78" s="66"/>
      <c r="O78" s="65"/>
      <c r="P78" s="67"/>
      <c r="Q78" s="67"/>
      <c r="R78" s="67"/>
      <c r="V78" s="65">
        <f t="shared" si="42"/>
        <v>399.48929688570041</v>
      </c>
      <c r="W78" s="65">
        <f t="shared" si="43"/>
        <v>49.424219750996258</v>
      </c>
      <c r="Y78" s="65">
        <f t="shared" si="44"/>
        <v>305.52195060121596</v>
      </c>
      <c r="Z78" s="65">
        <f t="shared" si="45"/>
        <v>17.85807819835868</v>
      </c>
      <c r="AD78" s="65"/>
      <c r="AE78" s="65"/>
      <c r="AF78" s="65"/>
      <c r="AG78" s="65" t="s">
        <v>125</v>
      </c>
      <c r="AH78" s="67"/>
      <c r="AT78" s="65"/>
      <c r="AU78" s="65"/>
    </row>
    <row r="79" spans="3:47" x14ac:dyDescent="0.45">
      <c r="C79" s="66"/>
      <c r="O79" s="65"/>
      <c r="P79" s="67"/>
      <c r="Q79" s="67"/>
      <c r="R79" s="67"/>
      <c r="V79" s="65">
        <f t="shared" si="42"/>
        <v>89.380828617218</v>
      </c>
      <c r="W79" s="65">
        <f t="shared" si="43"/>
        <v>8.97995182476207</v>
      </c>
      <c r="Y79" s="65">
        <f t="shared" si="44"/>
        <v>50.01189739449967</v>
      </c>
      <c r="Z79" s="65">
        <f t="shared" si="45"/>
        <v>4.2160394856186727</v>
      </c>
      <c r="AD79" s="65"/>
      <c r="AE79" s="65"/>
      <c r="AF79" s="65"/>
      <c r="AG79" s="65" t="s">
        <v>126</v>
      </c>
      <c r="AH79" s="67"/>
      <c r="AT79" s="65"/>
      <c r="AU79" s="65"/>
    </row>
    <row r="80" spans="3:47" x14ac:dyDescent="0.45">
      <c r="C80" s="66"/>
      <c r="O80" s="65"/>
      <c r="P80" s="67"/>
      <c r="Q80" s="67"/>
      <c r="R80" s="67"/>
      <c r="V80" s="65">
        <f t="shared" si="42"/>
        <v>84.568981266252109</v>
      </c>
      <c r="W80" s="65">
        <f t="shared" si="43"/>
        <v>16.485193968528939</v>
      </c>
      <c r="Y80" s="65">
        <f t="shared" si="44"/>
        <v>58.055829107995521</v>
      </c>
      <c r="Z80" s="65">
        <f t="shared" si="45"/>
        <v>7.566357212792413</v>
      </c>
      <c r="AD80" s="65"/>
      <c r="AE80" s="65"/>
      <c r="AF80" s="65"/>
      <c r="AG80" s="67"/>
      <c r="AH80" s="67"/>
      <c r="AT80" s="65"/>
      <c r="AU80" s="65"/>
    </row>
    <row r="81" spans="3:47" x14ac:dyDescent="0.45">
      <c r="C81" s="66"/>
      <c r="O81" s="65"/>
      <c r="P81" s="67"/>
      <c r="Q81" s="67"/>
      <c r="R81" s="67"/>
      <c r="V81" s="65">
        <f t="shared" si="42"/>
        <v>91.991257492307923</v>
      </c>
      <c r="W81" s="65">
        <f t="shared" si="43"/>
        <v>12.102070190518972</v>
      </c>
      <c r="Y81" s="65">
        <f t="shared" si="44"/>
        <v>174.58243839235092</v>
      </c>
      <c r="Z81" s="65">
        <f t="shared" si="45"/>
        <v>14.942137547797271</v>
      </c>
      <c r="AD81" s="65"/>
      <c r="AE81" s="65"/>
      <c r="AF81" s="65"/>
      <c r="AG81" s="67"/>
      <c r="AH81" s="67"/>
      <c r="AT81" s="65"/>
      <c r="AU81" s="65"/>
    </row>
    <row r="82" spans="3:47" x14ac:dyDescent="0.45">
      <c r="C82" s="66"/>
      <c r="O82" s="65"/>
      <c r="P82" s="67"/>
      <c r="Q82" s="67"/>
      <c r="R82" s="67"/>
      <c r="V82" s="65">
        <f t="shared" si="42"/>
        <v>126.28009736924638</v>
      </c>
      <c r="W82" s="65">
        <f t="shared" si="43"/>
        <v>18.936325034197282</v>
      </c>
      <c r="Y82" s="65">
        <f t="shared" si="44"/>
        <v>82.71194987437471</v>
      </c>
      <c r="Z82" s="65">
        <f t="shared" si="45"/>
        <v>7.0393823234965875</v>
      </c>
      <c r="AD82" s="65"/>
      <c r="AE82" s="65"/>
      <c r="AF82" s="65"/>
      <c r="AG82" s="67"/>
      <c r="AH82" s="67"/>
      <c r="AT82" s="65"/>
      <c r="AU82" s="65"/>
    </row>
    <row r="83" spans="3:47" x14ac:dyDescent="0.45">
      <c r="C83" s="66"/>
      <c r="O83" s="65"/>
      <c r="P83" s="67"/>
      <c r="Q83" s="67"/>
      <c r="R83" s="67"/>
      <c r="V83" s="65">
        <f>AD49</f>
        <v>102.94622546268073</v>
      </c>
      <c r="W83" s="65">
        <f>AF49</f>
        <v>26.220616392878334</v>
      </c>
      <c r="Y83" s="65">
        <f>AT49</f>
        <v>217.13760864298627</v>
      </c>
      <c r="Z83" s="65">
        <f>AU49</f>
        <v>20.080803204507763</v>
      </c>
      <c r="AD83" s="65"/>
      <c r="AE83" s="65"/>
      <c r="AF83" s="65"/>
      <c r="AG83" s="67"/>
      <c r="AH83" s="67"/>
      <c r="AT83" s="65"/>
      <c r="AU83" s="65"/>
    </row>
    <row r="84" spans="3:47" x14ac:dyDescent="0.45">
      <c r="C84" s="66"/>
      <c r="O84" s="65"/>
      <c r="P84" s="67"/>
      <c r="Q84" s="67"/>
      <c r="R84" s="67"/>
      <c r="AD84" s="65"/>
      <c r="AE84" s="65"/>
      <c r="AF84" s="65"/>
      <c r="AG84" s="67"/>
      <c r="AH84" s="67"/>
      <c r="AT84" s="65"/>
      <c r="AU84" s="65"/>
    </row>
    <row r="85" spans="3:47" x14ac:dyDescent="0.45">
      <c r="C85" s="66"/>
      <c r="O85" s="65"/>
      <c r="P85" s="67"/>
      <c r="Q85" s="67"/>
      <c r="R85" s="67"/>
      <c r="AD85" s="65"/>
      <c r="AE85" s="65"/>
      <c r="AF85" s="65"/>
      <c r="AG85" s="67"/>
      <c r="AH85" s="67"/>
      <c r="AT85" s="65"/>
      <c r="AU85" s="65"/>
    </row>
    <row r="86" spans="3:47" x14ac:dyDescent="0.45">
      <c r="C86" s="66"/>
      <c r="O86" s="65"/>
      <c r="P86" s="67"/>
      <c r="Q86" s="67"/>
      <c r="R86" s="67"/>
      <c r="V86" s="65">
        <f t="shared" ref="V86:V90" si="46">AD52</f>
        <v>73.45813899666885</v>
      </c>
      <c r="W86" s="65">
        <f t="shared" ref="W86:W89" si="47">AF52</f>
        <v>3.703794246968771</v>
      </c>
      <c r="Y86" s="65">
        <f t="shared" ref="Y86:Y90" si="48">AT52</f>
        <v>74.851347637731493</v>
      </c>
      <c r="Z86" s="65">
        <f t="shared" ref="Z86:Z90" si="49">AU52</f>
        <v>2.6972719289245068</v>
      </c>
      <c r="AD86" s="65"/>
      <c r="AE86" s="65"/>
      <c r="AF86" s="65"/>
      <c r="AG86" s="67"/>
      <c r="AH86" s="67"/>
      <c r="AT86" s="65"/>
      <c r="AU86" s="65"/>
    </row>
    <row r="87" spans="3:47" x14ac:dyDescent="0.45">
      <c r="C87" s="66"/>
      <c r="O87" s="65"/>
      <c r="P87" s="67"/>
      <c r="Q87" s="67"/>
      <c r="R87" s="67"/>
      <c r="V87" s="65">
        <f t="shared" si="46"/>
        <v>26.366656380882276</v>
      </c>
      <c r="W87" s="65">
        <f t="shared" si="47"/>
        <v>2.7172206602889983</v>
      </c>
      <c r="Y87" s="65">
        <f t="shared" si="48"/>
        <v>34.789304082209583</v>
      </c>
      <c r="Z87" s="65">
        <f t="shared" si="49"/>
        <v>6.447908737000942</v>
      </c>
      <c r="AD87" s="65"/>
      <c r="AE87" s="65"/>
      <c r="AF87" s="65"/>
      <c r="AG87" s="67"/>
      <c r="AH87" s="67"/>
      <c r="AT87" s="65"/>
      <c r="AU87" s="65"/>
    </row>
    <row r="88" spans="3:47" x14ac:dyDescent="0.45">
      <c r="C88" s="66"/>
      <c r="O88" s="65"/>
      <c r="P88" s="67"/>
      <c r="Q88" s="67"/>
      <c r="R88" s="67"/>
      <c r="V88" s="65">
        <f t="shared" si="46"/>
        <v>216.37384303347091</v>
      </c>
      <c r="W88" s="65">
        <f t="shared" si="47"/>
        <v>16.823323486478582</v>
      </c>
      <c r="Y88" s="65">
        <f t="shared" si="48"/>
        <v>179.16977933051805</v>
      </c>
      <c r="Z88" s="65">
        <f t="shared" si="49"/>
        <v>9.2765515734154551</v>
      </c>
      <c r="AD88" s="65"/>
      <c r="AE88" s="65"/>
      <c r="AF88" s="65"/>
      <c r="AG88" s="67"/>
      <c r="AH88" s="67"/>
      <c r="AT88" s="65"/>
      <c r="AU88" s="65"/>
    </row>
    <row r="89" spans="3:47" x14ac:dyDescent="0.45">
      <c r="C89" s="66"/>
      <c r="O89" s="65"/>
      <c r="P89" s="67"/>
      <c r="Q89" s="67"/>
      <c r="R89" s="67"/>
      <c r="V89" s="65">
        <f t="shared" si="46"/>
        <v>89.964452196165865</v>
      </c>
      <c r="W89" s="65">
        <f t="shared" si="47"/>
        <v>18.252847980073621</v>
      </c>
      <c r="Y89" s="65">
        <f t="shared" si="48"/>
        <v>97.274894332241047</v>
      </c>
      <c r="Z89" s="65">
        <f t="shared" si="49"/>
        <v>7.7278074966016908</v>
      </c>
      <c r="AD89" s="65"/>
      <c r="AE89" s="65"/>
      <c r="AF89" s="65"/>
      <c r="AG89" s="67"/>
      <c r="AH89" s="67"/>
      <c r="AT89" s="65"/>
      <c r="AU89" s="65"/>
    </row>
    <row r="90" spans="3:47" x14ac:dyDescent="0.45">
      <c r="C90" s="66"/>
      <c r="O90" s="65"/>
      <c r="P90" s="67"/>
      <c r="Q90" s="67"/>
      <c r="R90" s="67"/>
      <c r="V90" s="65">
        <f t="shared" si="46"/>
        <v>91.648085390624047</v>
      </c>
      <c r="W90" s="65">
        <f>AF56</f>
        <v>16.739869853929648</v>
      </c>
      <c r="Y90" s="65">
        <f t="shared" si="48"/>
        <v>134.20744380989277</v>
      </c>
      <c r="Z90" s="65">
        <f t="shared" si="49"/>
        <v>17.480679703664464</v>
      </c>
      <c r="AD90" s="65"/>
      <c r="AE90" s="65"/>
      <c r="AF90" s="65"/>
      <c r="AG90" s="67"/>
      <c r="AH90" s="67"/>
      <c r="AT90" s="65"/>
      <c r="AU90" s="65"/>
    </row>
    <row r="91" spans="3:47" x14ac:dyDescent="0.45">
      <c r="C91" s="66"/>
      <c r="O91" s="65"/>
      <c r="P91" s="67"/>
      <c r="Q91" s="67"/>
      <c r="R91" s="67"/>
      <c r="AD91" s="65"/>
      <c r="AE91" s="65"/>
      <c r="AF91" s="65"/>
      <c r="AG91" s="67"/>
      <c r="AH91" s="67"/>
      <c r="AT91" s="65"/>
      <c r="AU91" s="65"/>
    </row>
    <row r="92" spans="3:47" x14ac:dyDescent="0.45">
      <c r="C92" s="66"/>
      <c r="O92" s="65"/>
      <c r="P92" s="67"/>
      <c r="Q92" s="67"/>
      <c r="R92" s="67"/>
      <c r="AD92" s="65"/>
      <c r="AE92" s="65"/>
      <c r="AF92" s="65"/>
      <c r="AG92" s="67"/>
      <c r="AH92" s="67"/>
      <c r="AT92" s="65"/>
      <c r="AU92" s="65"/>
    </row>
    <row r="93" spans="3:47" x14ac:dyDescent="0.45">
      <c r="C93" s="66"/>
      <c r="O93" s="65"/>
      <c r="P93" s="67"/>
      <c r="Q93" s="67"/>
      <c r="R93" s="67"/>
      <c r="AD93" s="65"/>
      <c r="AE93" s="65"/>
      <c r="AF93" s="65"/>
      <c r="AG93" s="67"/>
      <c r="AH93" s="67"/>
      <c r="AT93" s="65"/>
      <c r="AU93" s="65"/>
    </row>
    <row r="94" spans="3:47" x14ac:dyDescent="0.45">
      <c r="C94" s="66"/>
      <c r="O94" s="65"/>
      <c r="P94" s="67"/>
      <c r="Q94" s="67"/>
      <c r="R94" s="67"/>
      <c r="AD94" s="65"/>
      <c r="AE94" s="65"/>
      <c r="AF94" s="65"/>
      <c r="AG94" s="67"/>
      <c r="AH94" s="67"/>
      <c r="AT94" s="65"/>
      <c r="AU94" s="65"/>
    </row>
    <row r="95" spans="3:47" x14ac:dyDescent="0.45">
      <c r="C95" s="66"/>
      <c r="O95" s="65"/>
      <c r="P95" s="67"/>
      <c r="Q95" s="67"/>
      <c r="R95" s="67"/>
      <c r="AD95" s="65"/>
      <c r="AE95" s="65"/>
      <c r="AF95" s="65"/>
      <c r="AG95" s="67"/>
      <c r="AH95" s="67"/>
      <c r="AT95" s="65"/>
      <c r="AU95" s="65"/>
    </row>
    <row r="96" spans="3:47" x14ac:dyDescent="0.45">
      <c r="C96" s="66"/>
      <c r="O96" s="65"/>
      <c r="P96" s="67"/>
      <c r="Q96" s="67"/>
      <c r="R96" s="67"/>
      <c r="AD96" s="65"/>
      <c r="AE96" s="65"/>
      <c r="AF96" s="65"/>
      <c r="AG96" s="67"/>
      <c r="AH96" s="67"/>
      <c r="AT96" s="65"/>
      <c r="AU96" s="65"/>
    </row>
    <row r="97" spans="3:47" x14ac:dyDescent="0.45">
      <c r="C97" s="66"/>
      <c r="O97" s="65"/>
      <c r="P97" s="67"/>
      <c r="Q97" s="67"/>
      <c r="R97" s="67"/>
      <c r="AD97" s="65"/>
      <c r="AE97" s="65"/>
      <c r="AF97" s="65"/>
      <c r="AG97" s="67"/>
      <c r="AH97" s="67"/>
      <c r="AT97" s="65"/>
      <c r="AU97" s="65"/>
    </row>
    <row r="98" spans="3:47" x14ac:dyDescent="0.45">
      <c r="C98" s="66"/>
      <c r="O98" s="65"/>
      <c r="P98" s="67"/>
      <c r="Q98" s="67"/>
      <c r="R98" s="67"/>
      <c r="AD98" s="65"/>
      <c r="AE98" s="65"/>
      <c r="AF98" s="65"/>
      <c r="AG98" s="67"/>
      <c r="AH98" s="67"/>
      <c r="AT98" s="65"/>
      <c r="AU98" s="65"/>
    </row>
  </sheetData>
  <mergeCells count="18">
    <mergeCell ref="B17:M17"/>
    <mergeCell ref="O17:AD17"/>
    <mergeCell ref="AH17:AT17"/>
    <mergeCell ref="B2:AT2"/>
    <mergeCell ref="B4:M4"/>
    <mergeCell ref="O4:AD4"/>
    <mergeCell ref="AH4:AT4"/>
    <mergeCell ref="B15:AT15"/>
    <mergeCell ref="B46:M46"/>
    <mergeCell ref="O46:AD46"/>
    <mergeCell ref="AH46:AT46"/>
    <mergeCell ref="AW46:AX46"/>
    <mergeCell ref="B30:AT30"/>
    <mergeCell ref="B32:M32"/>
    <mergeCell ref="O32:AD32"/>
    <mergeCell ref="AH32:AT32"/>
    <mergeCell ref="AW32:AX32"/>
    <mergeCell ref="B44:AT4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801D7-621C-4816-BAF0-AC9FF4F41734}">
  <dimension ref="B1:AA33"/>
  <sheetViews>
    <sheetView topLeftCell="J1" zoomScale="73" zoomScaleNormal="85" workbookViewId="0">
      <selection activeCell="U24" sqref="U24"/>
    </sheetView>
  </sheetViews>
  <sheetFormatPr defaultColWidth="9" defaultRowHeight="14.25" x14ac:dyDescent="0.45"/>
  <cols>
    <col min="1" max="1" width="9" style="6"/>
    <col min="2" max="2" width="14.796875" style="6" customWidth="1"/>
    <col min="3" max="5" width="9.1328125" style="6" bestFit="1" customWidth="1"/>
    <col min="6" max="6" width="10.33203125" style="6" customWidth="1"/>
    <col min="7" max="7" width="10.46484375" style="6" bestFit="1" customWidth="1"/>
    <col min="8" max="8" width="10.46484375" style="6" customWidth="1"/>
    <col min="9" max="9" width="11" style="6" customWidth="1"/>
    <col min="10" max="10" width="9" style="6"/>
    <col min="11" max="11" width="12.46484375" style="6" bestFit="1" customWidth="1"/>
    <col min="12" max="15" width="9.1328125" style="6" bestFit="1" customWidth="1"/>
    <col min="16" max="16" width="10" style="6" bestFit="1" customWidth="1"/>
    <col min="17" max="17" width="9.46484375" style="6" customWidth="1"/>
    <col min="18" max="19" width="9" style="6"/>
    <col min="20" max="20" width="9" style="6" customWidth="1"/>
    <col min="21" max="16384" width="9" style="6"/>
  </cols>
  <sheetData>
    <row r="1" spans="2:27" ht="14.65" thickBot="1" x14ac:dyDescent="0.5"/>
    <row r="2" spans="2:27" x14ac:dyDescent="0.45">
      <c r="B2" s="151" t="s">
        <v>39</v>
      </c>
      <c r="C2" s="152"/>
      <c r="D2" s="152"/>
      <c r="E2" s="152"/>
      <c r="F2" s="152"/>
      <c r="G2" s="152"/>
      <c r="H2" s="152"/>
      <c r="I2" s="153"/>
      <c r="K2" s="151" t="s">
        <v>43</v>
      </c>
      <c r="L2" s="152"/>
      <c r="M2" s="152"/>
      <c r="N2" s="152"/>
      <c r="O2" s="152"/>
      <c r="P2" s="152"/>
      <c r="Q2" s="152"/>
      <c r="R2" s="153"/>
    </row>
    <row r="3" spans="2:27" ht="14.65" thickBot="1" x14ac:dyDescent="0.5">
      <c r="B3" s="154"/>
      <c r="C3" s="155"/>
      <c r="D3" s="155"/>
      <c r="E3" s="155"/>
      <c r="F3" s="155"/>
      <c r="G3" s="155"/>
      <c r="H3" s="155"/>
      <c r="I3" s="156"/>
      <c r="K3" s="154"/>
      <c r="L3" s="155"/>
      <c r="M3" s="155"/>
      <c r="N3" s="155"/>
      <c r="O3" s="155"/>
      <c r="P3" s="155"/>
      <c r="Q3" s="155"/>
      <c r="R3" s="156"/>
      <c r="T3" s="144" t="s">
        <v>40</v>
      </c>
      <c r="U3" s="144"/>
      <c r="V3" s="144"/>
      <c r="W3" s="144"/>
      <c r="X3" s="144"/>
      <c r="Y3" s="144"/>
      <c r="Z3" s="144"/>
    </row>
    <row r="4" spans="2:27" ht="14.65" thickBot="1" x14ac:dyDescent="0.5">
      <c r="B4" s="42" t="s">
        <v>26</v>
      </c>
      <c r="C4" s="42" t="s">
        <v>28</v>
      </c>
      <c r="D4" s="42" t="s">
        <v>29</v>
      </c>
      <c r="E4" s="42" t="s">
        <v>31</v>
      </c>
      <c r="F4" s="42" t="s">
        <v>30</v>
      </c>
      <c r="G4" s="42" t="s">
        <v>38</v>
      </c>
      <c r="H4" s="42" t="s">
        <v>41</v>
      </c>
      <c r="I4" s="42" t="s">
        <v>38</v>
      </c>
      <c r="K4" s="42" t="s">
        <v>26</v>
      </c>
      <c r="L4" s="42" t="s">
        <v>28</v>
      </c>
      <c r="M4" s="42" t="s">
        <v>29</v>
      </c>
      <c r="N4" s="42" t="s">
        <v>31</v>
      </c>
      <c r="O4" s="42" t="s">
        <v>30</v>
      </c>
      <c r="P4" s="42" t="s">
        <v>38</v>
      </c>
      <c r="Q4" s="42" t="s">
        <v>41</v>
      </c>
      <c r="R4" s="42" t="s">
        <v>38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15</v>
      </c>
    </row>
    <row r="5" spans="2:27" ht="14.65" thickBot="1" x14ac:dyDescent="0.5">
      <c r="B5" s="48"/>
      <c r="C5" s="49" t="s">
        <v>7</v>
      </c>
      <c r="D5" s="49"/>
      <c r="E5" s="49"/>
      <c r="F5" s="49"/>
      <c r="G5" s="50"/>
      <c r="H5" s="50"/>
      <c r="I5" s="51"/>
      <c r="K5" s="41"/>
      <c r="L5" s="43" t="s">
        <v>7</v>
      </c>
      <c r="M5" s="43"/>
      <c r="N5" s="43"/>
      <c r="O5" s="43"/>
      <c r="P5" s="44"/>
      <c r="Q5" s="44"/>
      <c r="R5" s="45"/>
      <c r="T5" s="8">
        <v>1.93363151624482E-3</v>
      </c>
      <c r="U5" s="8">
        <v>1.77737846442305E-3</v>
      </c>
      <c r="V5" s="8">
        <v>1.73831520146805E-3</v>
      </c>
      <c r="W5" s="62">
        <v>1.5820621496516201E-3</v>
      </c>
      <c r="X5" s="8">
        <v>1.46487236078663E-3</v>
      </c>
      <c r="Y5" s="8">
        <v>1.30861930897197E-3</v>
      </c>
      <c r="Z5" s="8">
        <v>1.15236625715376E-3</v>
      </c>
      <c r="AA5" s="61">
        <v>1</v>
      </c>
    </row>
    <row r="6" spans="2:27" x14ac:dyDescent="0.45">
      <c r="B6" s="29" t="s">
        <v>27</v>
      </c>
      <c r="C6" s="30">
        <v>16</v>
      </c>
      <c r="D6" s="30">
        <v>0.495</v>
      </c>
      <c r="E6" s="30">
        <v>1.2222858806000001</v>
      </c>
      <c r="F6" s="30">
        <v>1.9588925E-3</v>
      </c>
      <c r="G6" s="39" cm="1">
        <f t="array" ref="G6">INDEX($T$5:$T$17,MATCH(MIN(ABS($T$5:$T$17-F6)),ABS($T$5:$T$17-F6),0))</f>
        <v>1.9726947791944799E-3</v>
      </c>
      <c r="H6" s="55">
        <f t="shared" ref="H6:H12" si="0">(F6-G6)/F6</f>
        <v>-7.0459605080318904E-3</v>
      </c>
      <c r="I6" s="31">
        <f>MATCH(G6,$T$5:$T$20,0)</f>
        <v>10</v>
      </c>
      <c r="K6" s="29" t="s">
        <v>27</v>
      </c>
      <c r="L6" s="30">
        <v>16</v>
      </c>
      <c r="M6" s="30">
        <v>0.495</v>
      </c>
      <c r="N6" s="30">
        <v>1.2222858806000001</v>
      </c>
      <c r="O6" s="30">
        <v>2.0050159000000001E-3</v>
      </c>
      <c r="P6" s="39" cm="1">
        <f t="array" ref="P6">INDEX($T$5:$T$17,MATCH(MIN(ABS($T$5:$T$17-O6)),ABS($T$5:$T$17-O6),0))</f>
        <v>1.97269477919804E-3</v>
      </c>
      <c r="Q6" s="46">
        <f t="shared" ref="Q6:Q12" si="1">(O6-P6)/O6</f>
        <v>1.6120131916140965E-2</v>
      </c>
      <c r="R6" s="31">
        <f>MATCH(P6,$T$5:$T$20,0)</f>
        <v>2</v>
      </c>
      <c r="T6" s="8">
        <v>1.97269477919804E-3</v>
      </c>
      <c r="U6" s="8">
        <v>1.7578468329482199E-3</v>
      </c>
      <c r="V6" s="62">
        <v>1.6601886755616101E-3</v>
      </c>
      <c r="W6" s="8">
        <v>1.5429988866912899E-3</v>
      </c>
      <c r="X6" s="8">
        <v>1.44534072931179E-3</v>
      </c>
      <c r="Y6" s="8">
        <v>1.30861930897197E-3</v>
      </c>
      <c r="Z6" s="8">
        <v>1.15236625715198E-3</v>
      </c>
      <c r="AA6" s="61">
        <v>2</v>
      </c>
    </row>
    <row r="7" spans="2:27" x14ac:dyDescent="0.45">
      <c r="B7" s="24" t="s">
        <v>32</v>
      </c>
      <c r="C7" s="9">
        <v>38</v>
      </c>
      <c r="D7" s="9">
        <v>0.495</v>
      </c>
      <c r="E7" s="9">
        <v>1.1075852895</v>
      </c>
      <c r="F7" s="9">
        <v>1.7471548E-3</v>
      </c>
      <c r="G7" s="33" cm="1">
        <f t="array" ref="G7">INDEX($U$5:$U$17,MATCH(MIN(ABS($U$5:$U$17-F7)),ABS($U$5:$U$17-F7),0))</f>
        <v>1.7383152014645001E-3</v>
      </c>
      <c r="H7" s="56">
        <f t="shared" si="0"/>
        <v>5.0594249207339143E-3</v>
      </c>
      <c r="I7" s="25">
        <f>MATCH(G7,$U$5:$U$20,0)</f>
        <v>5</v>
      </c>
      <c r="K7" s="24" t="s">
        <v>32</v>
      </c>
      <c r="L7" s="9">
        <v>38</v>
      </c>
      <c r="M7" s="9">
        <v>0.495</v>
      </c>
      <c r="N7" s="9">
        <v>1.1075852895</v>
      </c>
      <c r="O7" s="9">
        <v>1.7683665999999999E-3</v>
      </c>
      <c r="P7" s="33" cm="1">
        <f t="array" ref="P7">INDEX($U$5:$U$17,MATCH(MIN(ABS($U$5:$U$17-O7)),ABS($U$5:$U$17-O7),0))</f>
        <v>1.7773784644212799E-3</v>
      </c>
      <c r="Q7" s="47">
        <f>(O7-P7)/O7</f>
        <v>-5.0961516810371539E-3</v>
      </c>
      <c r="R7" s="25">
        <f>MATCH(P7,$U$5:$U$20,0)</f>
        <v>13</v>
      </c>
      <c r="T7" s="8">
        <v>1.91409988475755E-3</v>
      </c>
      <c r="U7" s="8">
        <v>1.6992519385183901E-3</v>
      </c>
      <c r="V7" s="8">
        <v>1.67972030703467E-3</v>
      </c>
      <c r="W7" s="8">
        <v>1.5429988866912899E-3</v>
      </c>
      <c r="X7" s="8">
        <v>1.44534072930469E-3</v>
      </c>
      <c r="Y7" s="8">
        <v>1.28908767749181E-3</v>
      </c>
      <c r="Z7" s="8">
        <v>1.1328346256753699E-3</v>
      </c>
      <c r="AA7" s="61">
        <v>3</v>
      </c>
    </row>
    <row r="8" spans="2:27" x14ac:dyDescent="0.45">
      <c r="B8" s="24" t="s">
        <v>33</v>
      </c>
      <c r="C8" s="9">
        <v>58</v>
      </c>
      <c r="D8" s="9">
        <v>0.495</v>
      </c>
      <c r="E8" s="9">
        <v>1.0800306837</v>
      </c>
      <c r="F8" s="9">
        <v>1.6311323000000001E-3</v>
      </c>
      <c r="G8" s="33" cm="1">
        <f t="array" ref="G8">INDEX($V$5:$V$17,MATCH(MIN(ABS($V$5:$V$17-F8)),ABS($V$5:$V$17-F8),0))</f>
        <v>1.62112541261195E-3</v>
      </c>
      <c r="H8" s="56">
        <f t="shared" si="0"/>
        <v>6.134933008223856E-3</v>
      </c>
      <c r="I8" s="25">
        <f>MATCH(G8,$V$5:$V$20,0)</f>
        <v>13</v>
      </c>
      <c r="K8" s="24" t="s">
        <v>33</v>
      </c>
      <c r="L8" s="9">
        <v>58</v>
      </c>
      <c r="M8" s="9">
        <v>0.495</v>
      </c>
      <c r="N8" s="9">
        <v>1.0800306837</v>
      </c>
      <c r="O8" s="9">
        <v>1.6394027999999999E-3</v>
      </c>
      <c r="P8" s="33" cm="1">
        <f t="array" ref="P8">INDEX($V$5:$V$17,MATCH(MIN(ABS($V$5:$V$17-O8)),ABS($V$5:$V$17-O8),0))</f>
        <v>1.62112541261195E-3</v>
      </c>
      <c r="Q8" s="47">
        <f t="shared" si="1"/>
        <v>1.1148808205067079E-2</v>
      </c>
      <c r="R8" s="25">
        <f>MATCH(P8,$V$5:$V$20,0)</f>
        <v>13</v>
      </c>
      <c r="T8" s="8">
        <v>1.93363151623771E-3</v>
      </c>
      <c r="U8" s="8">
        <v>1.7187835699843401E-3</v>
      </c>
      <c r="V8" s="8">
        <v>1.6797203070311199E-3</v>
      </c>
      <c r="W8" s="8">
        <v>1.5234672552111299E-3</v>
      </c>
      <c r="X8" s="8">
        <v>1.44534072931179E-3</v>
      </c>
      <c r="Y8" s="8">
        <v>1.30861930897197E-3</v>
      </c>
      <c r="Z8" s="62">
        <v>1.1718978886321499E-3</v>
      </c>
      <c r="AA8" s="61">
        <v>4</v>
      </c>
    </row>
    <row r="9" spans="2:27" x14ac:dyDescent="0.45">
      <c r="B9" s="24" t="s">
        <v>34</v>
      </c>
      <c r="C9" s="9">
        <v>81</v>
      </c>
      <c r="D9" s="9">
        <v>0.495</v>
      </c>
      <c r="E9" s="9">
        <v>1.0581458267999999</v>
      </c>
      <c r="F9" s="9">
        <v>1.5408514999999999E-3</v>
      </c>
      <c r="G9" s="33" cm="1">
        <f t="array" ref="G9">INDEX($W$5:$W$17,MATCH(MIN(ABS($W$5:$W$17-F9)),ABS($W$5:$W$17-F9),0))</f>
        <v>1.5429988866912899E-3</v>
      </c>
      <c r="H9" s="56">
        <f t="shared" si="0"/>
        <v>-1.3936363700784724E-3</v>
      </c>
      <c r="I9" s="25">
        <f>MATCH(G9,$W$5:$W$20,0)</f>
        <v>2</v>
      </c>
      <c r="K9" s="24" t="s">
        <v>34</v>
      </c>
      <c r="L9" s="9">
        <v>81</v>
      </c>
      <c r="M9" s="9">
        <v>0.495</v>
      </c>
      <c r="N9" s="9">
        <v>1.0581458267999999</v>
      </c>
      <c r="O9" s="9">
        <v>1.5429528000000001E-3</v>
      </c>
      <c r="P9" s="33" cm="1">
        <f t="array" ref="P9">INDEX($W$5:$W$17,MATCH(MIN(ABS($W$5:$W$17-O9)),ABS($W$5:$W$17-O9),0))</f>
        <v>1.5429988866912899E-3</v>
      </c>
      <c r="Q9" s="47">
        <f t="shared" si="1"/>
        <v>-2.9869151726387366E-5</v>
      </c>
      <c r="R9" s="25">
        <f>MATCH(P9,$W$5:$W$20,0)</f>
        <v>2</v>
      </c>
      <c r="T9" s="8">
        <v>1.91409988477176E-3</v>
      </c>
      <c r="U9" s="8">
        <v>1.7383152014645001E-3</v>
      </c>
      <c r="V9" s="8">
        <v>1.66018867555806E-3</v>
      </c>
      <c r="W9" s="8">
        <v>1.5429988867054999E-3</v>
      </c>
      <c r="X9" s="8">
        <v>1.4453407293082399E-3</v>
      </c>
      <c r="Y9" s="8">
        <v>1.28908767749181E-3</v>
      </c>
      <c r="Z9" s="8">
        <v>1.13283462567892E-3</v>
      </c>
      <c r="AA9" s="61">
        <v>5</v>
      </c>
    </row>
    <row r="10" spans="2:27" x14ac:dyDescent="0.45">
      <c r="B10" s="24" t="s">
        <v>35</v>
      </c>
      <c r="C10" s="9">
        <v>123</v>
      </c>
      <c r="D10" s="9">
        <v>0.495</v>
      </c>
      <c r="E10" s="9">
        <v>1.0347568159</v>
      </c>
      <c r="F10" s="9">
        <v>1.4332802E-3</v>
      </c>
      <c r="G10" s="33" cm="1">
        <f t="array" ref="G10">INDEX($X$5:$X$17,MATCH(MIN(ABS($X$5:$X$17-F10)),ABS($X$5:$X$17-F10),0))</f>
        <v>1.42580909783874E-3</v>
      </c>
      <c r="H10" s="56">
        <f t="shared" si="0"/>
        <v>5.2125900861952302E-3</v>
      </c>
      <c r="I10" s="25">
        <f>MATCH(G10,$X$5:$X$20,0)</f>
        <v>12</v>
      </c>
      <c r="K10" s="24" t="s">
        <v>35</v>
      </c>
      <c r="L10" s="9">
        <v>123</v>
      </c>
      <c r="M10" s="9">
        <v>0.495</v>
      </c>
      <c r="N10" s="9">
        <v>1.0347568159</v>
      </c>
      <c r="O10" s="9">
        <v>1.4271023000000001E-3</v>
      </c>
      <c r="P10" s="33" cm="1">
        <f t="array" ref="P10">INDEX($X$5:$X$17,MATCH(MIN(ABS($X$5:$X$17-O10)),ABS($X$5:$X$17-O10),0))</f>
        <v>1.42580909783874E-3</v>
      </c>
      <c r="Q10" s="47">
        <f t="shared" si="1"/>
        <v>9.0617341255776727E-4</v>
      </c>
      <c r="R10" s="25">
        <f>MATCH(P10,$X$5:$X$20,0)</f>
        <v>12</v>
      </c>
      <c r="T10" s="8">
        <v>1.9140998847646501E-3</v>
      </c>
      <c r="U10" s="8">
        <v>1.81644172737805E-3</v>
      </c>
      <c r="V10" s="8">
        <v>1.77737846442305E-3</v>
      </c>
      <c r="W10" s="8">
        <v>1.6015937811282299E-3</v>
      </c>
      <c r="X10" s="62">
        <v>1.46487236079196E-3</v>
      </c>
      <c r="Y10" s="8">
        <v>1.4062774663568E-3</v>
      </c>
      <c r="Z10" s="8">
        <v>1.13283462567626E-3</v>
      </c>
      <c r="AA10" s="61">
        <v>6</v>
      </c>
    </row>
    <row r="11" spans="2:27" x14ac:dyDescent="0.45">
      <c r="B11" s="24" t="s">
        <v>36</v>
      </c>
      <c r="C11" s="9">
        <v>210</v>
      </c>
      <c r="D11" s="9">
        <v>0.495</v>
      </c>
      <c r="E11" s="9">
        <v>1.0162234047000001</v>
      </c>
      <c r="F11" s="9">
        <v>1.3017835000000001E-3</v>
      </c>
      <c r="G11" s="33" cm="1">
        <f t="array" ref="G11">INDEX($Y$5:$Y$17,MATCH(MIN(ABS($Y$5:$Y$17-F11)),ABS($Y$5:$Y$17-F11),0))</f>
        <v>1.30861930897197E-3</v>
      </c>
      <c r="H11" s="56">
        <f t="shared" si="0"/>
        <v>-5.2511104741839801E-3</v>
      </c>
      <c r="I11" s="25">
        <f>MATCH(G11,$Y$5:$Y$20,0)</f>
        <v>1</v>
      </c>
      <c r="K11" s="24" t="s">
        <v>36</v>
      </c>
      <c r="L11" s="9">
        <v>210</v>
      </c>
      <c r="M11" s="9">
        <v>0.495</v>
      </c>
      <c r="N11" s="9">
        <v>1.0162234047000001</v>
      </c>
      <c r="O11" s="9">
        <v>1.2856774E-3</v>
      </c>
      <c r="P11" s="33" cm="1">
        <f t="array" ref="P11">INDEX($Y$5:$Y$17,MATCH(MIN(ABS($Y$5:$Y$17-O11)),ABS($Y$5:$Y$17-O11),0))</f>
        <v>1.28908767749181E-3</v>
      </c>
      <c r="Q11" s="47">
        <f t="shared" si="1"/>
        <v>-2.6525141468692255E-3</v>
      </c>
      <c r="R11" s="25">
        <f>MATCH(P11,$Y$5:$Y$20,0)</f>
        <v>3</v>
      </c>
      <c r="T11" s="8">
        <v>1.8555049903312699E-3</v>
      </c>
      <c r="U11" s="8">
        <v>1.75784683294467E-3</v>
      </c>
      <c r="V11" s="8">
        <v>1.7187835699914401E-3</v>
      </c>
      <c r="W11" s="8">
        <v>1.5820621496516201E-3</v>
      </c>
      <c r="X11" s="8">
        <v>1.44534072931179E-3</v>
      </c>
      <c r="Y11" s="8">
        <v>1.3476825719251899E-3</v>
      </c>
      <c r="Z11" s="8">
        <v>1.1133029942005401E-3</v>
      </c>
      <c r="AA11" s="61">
        <v>7</v>
      </c>
    </row>
    <row r="12" spans="2:27" ht="14.65" thickBot="1" x14ac:dyDescent="0.5">
      <c r="B12" s="26" t="s">
        <v>37</v>
      </c>
      <c r="C12" s="27">
        <v>445</v>
      </c>
      <c r="D12" s="27">
        <v>0.495</v>
      </c>
      <c r="E12" s="27">
        <v>1.0009672223999999</v>
      </c>
      <c r="F12" s="27">
        <v>1.1344167000000001E-3</v>
      </c>
      <c r="G12" s="40" cm="1">
        <f t="array" ref="G12">INDEX($Z$5:$Z$17,MATCH(MIN(ABS($Z$5:$Z$17-F12)),ABS($Z$5:$Z$17-F12),0))</f>
        <v>1.13283462567892E-3</v>
      </c>
      <c r="H12" s="56">
        <f t="shared" si="0"/>
        <v>1.3946148016686271E-3</v>
      </c>
      <c r="I12" s="32">
        <f>MATCH(G12,$Z$5:$Z$20,0)</f>
        <v>5</v>
      </c>
      <c r="K12" s="26" t="s">
        <v>37</v>
      </c>
      <c r="L12" s="27">
        <v>445</v>
      </c>
      <c r="M12" s="27">
        <v>0.495</v>
      </c>
      <c r="N12" s="27">
        <v>1.0009672223999999</v>
      </c>
      <c r="O12" s="27">
        <v>1.1138666E-3</v>
      </c>
      <c r="P12" s="40" cm="1">
        <f t="array" ref="P12">INDEX($Z$5:$Z$17,MATCH(MIN(ABS($Z$5:$Z$17-O12)),ABS($Z$5:$Z$17-O12),0))</f>
        <v>1.1133029942005401E-3</v>
      </c>
      <c r="Q12" s="47">
        <f t="shared" si="1"/>
        <v>5.0599039369700186E-4</v>
      </c>
      <c r="R12" s="32">
        <f>MATCH(P12,$Z$5:$Z$20,0)</f>
        <v>7</v>
      </c>
      <c r="T12" s="18">
        <v>1.8750366218114301E-3</v>
      </c>
      <c r="U12" s="8">
        <v>1.75784683294467E-3</v>
      </c>
      <c r="V12" s="8">
        <v>1.69925193851483E-3</v>
      </c>
      <c r="W12" s="8">
        <v>1.5820621496516201E-3</v>
      </c>
      <c r="X12" s="8">
        <v>1.44534072931179E-3</v>
      </c>
      <c r="Y12" s="8">
        <v>1.32815094045213E-3</v>
      </c>
      <c r="Z12" s="8">
        <v>1.13283462567182E-3</v>
      </c>
      <c r="AA12" s="61">
        <v>8</v>
      </c>
    </row>
    <row r="13" spans="2:27" ht="14.65" thickBot="1" x14ac:dyDescent="0.5">
      <c r="B13" s="22"/>
      <c r="G13" s="52" t="s">
        <v>42</v>
      </c>
      <c r="H13" s="54" cm="1">
        <f t="array" ref="H13">AVERAGE(ABS(H6:H12))</f>
        <v>4.4988957384451385E-3</v>
      </c>
      <c r="I13" s="23"/>
      <c r="K13" s="22"/>
      <c r="P13" s="52" t="s">
        <v>42</v>
      </c>
      <c r="Q13" s="53" cm="1">
        <f t="array" ref="Q13">AVERAGE(ABS(Q6:Q12))</f>
        <v>5.2085198438707988E-3</v>
      </c>
      <c r="R13" s="23"/>
      <c r="T13" s="8">
        <v>1.8945682532916001E-3</v>
      </c>
      <c r="U13" s="8">
        <v>1.7187835699843401E-3</v>
      </c>
      <c r="V13" s="8">
        <v>1.6992519385112799E-3</v>
      </c>
      <c r="W13" s="8">
        <v>1.5820621496516201E-3</v>
      </c>
      <c r="X13" s="8">
        <v>1.46487236078485E-3</v>
      </c>
      <c r="Y13" s="62">
        <v>1.3476825719180899E-3</v>
      </c>
      <c r="Z13" s="8">
        <v>1.13283462567892E-3</v>
      </c>
      <c r="AA13" s="61">
        <v>9</v>
      </c>
    </row>
    <row r="14" spans="2:27" x14ac:dyDescent="0.45">
      <c r="B14" s="29" t="s">
        <v>27</v>
      </c>
      <c r="C14" s="30">
        <v>16</v>
      </c>
      <c r="D14" s="30">
        <v>0.3</v>
      </c>
      <c r="E14" s="30">
        <v>1.2913992999999999</v>
      </c>
      <c r="F14" s="30">
        <v>1.9689363999999998E-3</v>
      </c>
      <c r="G14" s="39" cm="1">
        <f t="array" ref="G14">INDEX($T$5:$T$17,MATCH(MIN(ABS($T$5:$T$17-F14)),ABS($T$5:$T$17-F14),0))</f>
        <v>1.9726947791944799E-3</v>
      </c>
      <c r="H14" s="57">
        <f t="shared" ref="H14:H20" si="2">(F14-G14)/F14</f>
        <v>-1.9088372760440828E-3</v>
      </c>
      <c r="I14" s="31">
        <f>MATCH(G14,$T$5:$T$20,0)</f>
        <v>10</v>
      </c>
      <c r="K14" s="29" t="s">
        <v>27</v>
      </c>
      <c r="L14" s="30">
        <v>16</v>
      </c>
      <c r="M14" s="30">
        <v>0.3</v>
      </c>
      <c r="N14" s="30">
        <v>1.2913992999999999</v>
      </c>
      <c r="O14" s="30">
        <v>2.0296153437074E-3</v>
      </c>
      <c r="P14" s="39" cm="1">
        <f t="array" ref="P14">INDEX($T$5:$T$17,MATCH(MIN(ABS($T$5:$T$17-O14)),ABS($T$5:$T$17-O14),0))</f>
        <v>1.97269477919804E-3</v>
      </c>
      <c r="Q14" s="46">
        <f t="shared" ref="Q14:Q20" si="3">(O14-P14)/O14</f>
        <v>2.8045001081528104E-2</v>
      </c>
      <c r="R14" s="31">
        <f>MATCH(P14,$T$5:$T$20,0)</f>
        <v>2</v>
      </c>
      <c r="T14" s="62">
        <v>1.9726947791944799E-3</v>
      </c>
      <c r="U14" s="8">
        <v>1.75784683294467E-3</v>
      </c>
      <c r="V14" s="8">
        <v>1.62112541260484E-3</v>
      </c>
      <c r="W14" s="8">
        <v>1.5820621496516201E-3</v>
      </c>
      <c r="X14" s="8">
        <v>1.4648723607884101E-3</v>
      </c>
      <c r="Y14" s="8">
        <v>1.4062774663568E-3</v>
      </c>
      <c r="Z14" s="8">
        <v>1.11330299419876E-3</v>
      </c>
      <c r="AA14" s="61">
        <v>10</v>
      </c>
    </row>
    <row r="15" spans="2:27" x14ac:dyDescent="0.45">
      <c r="B15" s="24" t="s">
        <v>32</v>
      </c>
      <c r="C15" s="9">
        <v>38</v>
      </c>
      <c r="D15" s="9">
        <v>0.3</v>
      </c>
      <c r="E15" s="9">
        <v>1.1646265733000001</v>
      </c>
      <c r="F15" s="9">
        <v>1.7766308E-3</v>
      </c>
      <c r="G15" s="33" cm="1">
        <f t="array" ref="G15">INDEX($U$5:$U$17,MATCH(MIN(ABS($U$5:$U$17-F15)),ABS($U$5:$U$17-F15),0))</f>
        <v>1.7773784644212799E-3</v>
      </c>
      <c r="H15" s="58">
        <f t="shared" si="2"/>
        <v>-4.2083274773795104E-4</v>
      </c>
      <c r="I15" s="25">
        <f>MATCH(G15,$U$5:$U$20,0)</f>
        <v>13</v>
      </c>
      <c r="K15" s="24" t="s">
        <v>32</v>
      </c>
      <c r="L15" s="9">
        <v>38</v>
      </c>
      <c r="M15" s="9">
        <v>0.3</v>
      </c>
      <c r="N15" s="9">
        <v>1.1646265733333301</v>
      </c>
      <c r="O15" s="9">
        <v>1.8016352113886401E-3</v>
      </c>
      <c r="P15" s="33" cm="1">
        <f t="array" ref="P15">INDEX($U$5:$U$17,MATCH(MIN(ABS($U$5:$U$17-O15)),ABS($U$5:$U$17-O15),0))</f>
        <v>1.7969100959014401E-3</v>
      </c>
      <c r="Q15" s="47">
        <f t="shared" si="3"/>
        <v>2.6226815824486739E-3</v>
      </c>
      <c r="R15" s="25">
        <f>MATCH(P15,$U$5:$U$20,0)</f>
        <v>12</v>
      </c>
      <c r="T15" s="8">
        <v>1.93363151623771E-3</v>
      </c>
      <c r="U15" s="8">
        <v>1.8945682532862699E-3</v>
      </c>
      <c r="V15" s="8">
        <v>1.7187835699914401E-3</v>
      </c>
      <c r="W15" s="8">
        <v>1.5820621496516201E-3</v>
      </c>
      <c r="X15" s="8">
        <v>1.44534072931179E-3</v>
      </c>
      <c r="Y15" s="8">
        <v>1.3476825719251899E-3</v>
      </c>
      <c r="Z15" s="8">
        <v>1.11330299419876E-3</v>
      </c>
      <c r="AA15" s="61">
        <v>11</v>
      </c>
    </row>
    <row r="16" spans="2:27" x14ac:dyDescent="0.45">
      <c r="B16" s="24" t="s">
        <v>33</v>
      </c>
      <c r="C16" s="9">
        <v>58</v>
      </c>
      <c r="D16" s="9">
        <v>0.3</v>
      </c>
      <c r="E16" s="9">
        <v>1.1318256419999999</v>
      </c>
      <c r="F16" s="9">
        <v>1.6617587E-3</v>
      </c>
      <c r="G16" s="33" cm="1">
        <f t="array" ref="G16">INDEX($V$5:$V$17,MATCH(MIN(ABS($V$5:$V$17-F16)),ABS($V$5:$V$17-F16),0))</f>
        <v>1.6601886755616101E-3</v>
      </c>
      <c r="H16" s="58">
        <f t="shared" si="2"/>
        <v>9.447968819961027E-4</v>
      </c>
      <c r="I16" s="25">
        <f>MATCH(G16,$V$5:$V$20,0)</f>
        <v>2</v>
      </c>
      <c r="K16" s="24" t="s">
        <v>33</v>
      </c>
      <c r="L16" s="9">
        <v>58</v>
      </c>
      <c r="M16" s="9">
        <v>0.3</v>
      </c>
      <c r="N16" s="9">
        <v>1.1318256419999999</v>
      </c>
      <c r="O16" s="9">
        <v>1.67527074454843E-3</v>
      </c>
      <c r="P16" s="33" cm="1">
        <f t="array" ref="P16">INDEX($V$5:$V$17,MATCH(MIN(ABS($V$5:$V$17-O16)),ABS($V$5:$V$17-O16),0))</f>
        <v>1.6797203070311199E-3</v>
      </c>
      <c r="Q16" s="47">
        <f t="shared" si="3"/>
        <v>-2.656025897407566E-3</v>
      </c>
      <c r="R16" s="25">
        <f>MATCH(P16,$V$5:$V$20,0)</f>
        <v>4</v>
      </c>
      <c r="T16" s="8">
        <v>1.93363151623771E-3</v>
      </c>
      <c r="U16" s="8">
        <v>1.7969100959014401E-3</v>
      </c>
      <c r="V16" s="8">
        <v>1.62112541260484E-3</v>
      </c>
      <c r="W16" s="8">
        <v>1.5429988866912899E-3</v>
      </c>
      <c r="X16" s="8">
        <v>1.42580909783874E-3</v>
      </c>
      <c r="Y16" s="8">
        <v>1.32815094045213E-3</v>
      </c>
      <c r="Z16" s="8">
        <v>1.11330299419876E-3</v>
      </c>
      <c r="AA16" s="61">
        <v>12</v>
      </c>
    </row>
    <row r="17" spans="2:27" x14ac:dyDescent="0.45">
      <c r="B17" s="24" t="s">
        <v>34</v>
      </c>
      <c r="C17" s="9">
        <v>81</v>
      </c>
      <c r="D17" s="9">
        <v>0.3</v>
      </c>
      <c r="E17" s="9">
        <v>1.1046394657</v>
      </c>
      <c r="F17" s="9">
        <v>1.5749237E-3</v>
      </c>
      <c r="G17" s="33" cm="1">
        <f t="array" ref="G17">INDEX($W$5:$W$17,MATCH(MIN(ABS($W$5:$W$17-F17)),ABS($W$5:$W$17-F17),0))</f>
        <v>1.5820621496516201E-3</v>
      </c>
      <c r="H17" s="56">
        <f t="shared" si="2"/>
        <v>-4.5325685629215183E-3</v>
      </c>
      <c r="I17" s="25">
        <f>MATCH(G17,$W$5:$W$20,0)</f>
        <v>1</v>
      </c>
      <c r="K17" s="24" t="s">
        <v>34</v>
      </c>
      <c r="L17" s="9">
        <v>81</v>
      </c>
      <c r="M17" s="9">
        <v>0.3</v>
      </c>
      <c r="N17" s="9">
        <v>1.10463946566667</v>
      </c>
      <c r="O17" s="9">
        <v>1.5804963856821501E-3</v>
      </c>
      <c r="P17" s="33" cm="1">
        <f t="array" ref="P17">INDEX($W$5:$W$17,MATCH(MIN(ABS($W$5:$W$17-O17)),ABS($W$5:$W$17-O17),0))</f>
        <v>1.5820621496516201E-3</v>
      </c>
      <c r="Q17" s="47">
        <f t="shared" si="3"/>
        <v>-9.9067861442414659E-4</v>
      </c>
      <c r="R17" s="25">
        <f>MATCH(P17,$W$5:$W$20,0)</f>
        <v>1</v>
      </c>
      <c r="T17" s="8">
        <v>1.93363151623771E-3</v>
      </c>
      <c r="U17" s="62">
        <v>1.7773784644212799E-3</v>
      </c>
      <c r="V17" s="8">
        <v>1.62112541261195E-3</v>
      </c>
      <c r="W17" s="8">
        <v>1.5625305181714601E-3</v>
      </c>
      <c r="X17" s="8">
        <v>1.42580909783874E-3</v>
      </c>
      <c r="Y17" s="8">
        <v>1.3476825719180899E-3</v>
      </c>
      <c r="Z17" s="8">
        <v>1.09377136273281E-3</v>
      </c>
      <c r="AA17" s="61">
        <v>13</v>
      </c>
    </row>
    <row r="18" spans="2:27" x14ac:dyDescent="0.45">
      <c r="B18" s="24" t="s">
        <v>35</v>
      </c>
      <c r="C18" s="9">
        <v>123</v>
      </c>
      <c r="D18" s="9">
        <v>0.3</v>
      </c>
      <c r="E18" s="9">
        <v>1.0756878593000001</v>
      </c>
      <c r="F18" s="9">
        <v>1.467873E-3</v>
      </c>
      <c r="G18" s="33" cm="1">
        <f t="array" ref="G18">INDEX($X$5:$X$17,MATCH(MIN(ABS($X$5:$X$17-F18)),ABS($X$5:$X$17-F18),0))</f>
        <v>1.46487236079196E-3</v>
      </c>
      <c r="H18" s="58">
        <f t="shared" si="2"/>
        <v>2.0442090072097375E-3</v>
      </c>
      <c r="I18" s="25">
        <f>MATCH(G18,$X$5:$X$20,0)</f>
        <v>6</v>
      </c>
      <c r="K18" s="24" t="s">
        <v>35</v>
      </c>
      <c r="L18" s="9">
        <v>123</v>
      </c>
      <c r="M18" s="9">
        <v>0.3</v>
      </c>
      <c r="N18" s="9">
        <v>1.0756878592600001</v>
      </c>
      <c r="O18" s="9">
        <v>1.4649292830543901E-3</v>
      </c>
      <c r="P18" s="33" cm="1">
        <f t="array" ref="P18">INDEX($X$5:$X$17,MATCH(MIN(ABS($X$5:$X$17-O18)),ABS($X$5:$X$17-O18),0))</f>
        <v>1.46487236079196E-3</v>
      </c>
      <c r="Q18" s="47">
        <f t="shared" si="3"/>
        <v>3.8856662289789697E-5</v>
      </c>
      <c r="R18" s="25">
        <f>MATCH(P18,$X$5:$X$20,0)</f>
        <v>6</v>
      </c>
      <c r="T18" s="8"/>
      <c r="U18" s="8">
        <v>1.75784683294467E-3</v>
      </c>
      <c r="V18" s="8">
        <v>1.640657044085E-3</v>
      </c>
      <c r="W18" s="8"/>
      <c r="X18" s="8"/>
      <c r="Y18" s="8"/>
      <c r="Z18" s="8"/>
    </row>
    <row r="19" spans="2:27" x14ac:dyDescent="0.45">
      <c r="B19" s="24" t="s">
        <v>36</v>
      </c>
      <c r="C19" s="9">
        <v>210</v>
      </c>
      <c r="D19" s="9">
        <v>0.3</v>
      </c>
      <c r="E19" s="9">
        <v>1.0529022898</v>
      </c>
      <c r="F19" s="9">
        <v>1.3356077E-3</v>
      </c>
      <c r="G19" s="33" cm="1">
        <f t="array" ref="G19">INDEX($Y$5:$Y$17,MATCH(MIN(ABS($Y$5:$Y$17-F19)),ABS($Y$5:$Y$17-F19),0))</f>
        <v>1.32815094045213E-3</v>
      </c>
      <c r="H19" s="56">
        <f t="shared" si="2"/>
        <v>5.5830462402021181E-3</v>
      </c>
      <c r="I19" s="25">
        <f>MATCH(G19,$Y$5:$Y$20,0)</f>
        <v>8</v>
      </c>
      <c r="K19" s="24" t="s">
        <v>36</v>
      </c>
      <c r="L19" s="9">
        <v>210</v>
      </c>
      <c r="M19" s="9">
        <v>0.3</v>
      </c>
      <c r="N19" s="9">
        <v>1.0529022898</v>
      </c>
      <c r="O19" s="9">
        <v>1.32359215483988E-3</v>
      </c>
      <c r="P19" s="33" cm="1">
        <f t="array" ref="P19">INDEX($Y$5:$Y$17,MATCH(MIN(ABS($Y$5:$Y$17-O19)),ABS($Y$5:$Y$17-O19),0))</f>
        <v>1.32815094045213E-3</v>
      </c>
      <c r="Q19" s="47">
        <f t="shared" si="3"/>
        <v>-3.4442525181039899E-3</v>
      </c>
      <c r="R19" s="25">
        <f>MATCH(P19,$Y$5:$Y$20,0)</f>
        <v>8</v>
      </c>
      <c r="T19" s="8"/>
      <c r="U19" s="8">
        <v>1.7383152014645001E-3</v>
      </c>
      <c r="V19" s="8">
        <v>1.62112541261195E-3</v>
      </c>
      <c r="W19" s="8"/>
      <c r="X19" s="8"/>
      <c r="Y19" s="8"/>
      <c r="Z19" s="8"/>
    </row>
    <row r="20" spans="2:27" ht="14.65" thickBot="1" x14ac:dyDescent="0.5">
      <c r="B20" s="26" t="s">
        <v>37</v>
      </c>
      <c r="C20" s="27">
        <v>445</v>
      </c>
      <c r="D20" s="27">
        <v>0.3</v>
      </c>
      <c r="E20" s="27">
        <v>1.0373513543999999</v>
      </c>
      <c r="F20" s="27">
        <v>1.1663147999999999E-3</v>
      </c>
      <c r="G20" s="40" cm="1">
        <f t="array" ref="G20">INDEX($Z$5:$Z$17,MATCH(MIN(ABS($Z$5:$Z$17-F20)),ABS($Z$5:$Z$17-F20),0))</f>
        <v>1.1718978886321499E-3</v>
      </c>
      <c r="H20" s="56">
        <f t="shared" si="2"/>
        <v>-4.7869482854457392E-3</v>
      </c>
      <c r="I20" s="32">
        <f>MATCH(G20,$Z$5:$Z$20,0)</f>
        <v>4</v>
      </c>
      <c r="K20" s="26" t="s">
        <v>37</v>
      </c>
      <c r="L20" s="27">
        <v>445</v>
      </c>
      <c r="M20" s="27">
        <v>0.3</v>
      </c>
      <c r="N20" s="27">
        <v>1.0373513544249999</v>
      </c>
      <c r="O20" s="27">
        <v>1.14501341717823E-3</v>
      </c>
      <c r="P20" s="40" cm="1">
        <f t="array" ref="P20">INDEX($Z$5:$Z$17,MATCH(MIN(ABS($Z$5:$Z$17-O20)),ABS($Z$5:$Z$17-O20),0))</f>
        <v>1.15236625715198E-3</v>
      </c>
      <c r="Q20" s="47">
        <f t="shared" si="3"/>
        <v>-6.42161905130366E-3</v>
      </c>
      <c r="R20" s="32">
        <f>MATCH(P20,$Z$5:$Z$20,0)</f>
        <v>2</v>
      </c>
      <c r="T20" s="19"/>
      <c r="U20" s="19">
        <v>1.7383152014716101E-3</v>
      </c>
      <c r="V20" s="19"/>
      <c r="W20" s="19"/>
      <c r="X20" s="19"/>
      <c r="Y20" s="19"/>
      <c r="Z20" s="19"/>
    </row>
    <row r="21" spans="2:27" ht="14.65" thickBot="1" x14ac:dyDescent="0.5">
      <c r="B21" s="22"/>
      <c r="G21" s="52" t="s">
        <v>42</v>
      </c>
      <c r="H21" s="54" cm="1">
        <f t="array" ref="H21">AVERAGE(ABS(H14:H20))</f>
        <v>2.8887484287938928E-3</v>
      </c>
      <c r="I21" s="23"/>
      <c r="K21" s="22"/>
      <c r="P21" s="52" t="s">
        <v>42</v>
      </c>
      <c r="Q21" s="53" cm="1">
        <f t="array" ref="Q21">AVERAGE(ABS(Q14:Q20))</f>
        <v>6.3170164867865615E-3</v>
      </c>
      <c r="R21" s="23"/>
      <c r="T21" s="28" cm="1">
        <f t="array" ref="T21">_xlfn.MODE.MULT(T5:T20)</f>
        <v>1.93363151623771E-3</v>
      </c>
      <c r="U21" s="28" cm="1">
        <f t="array" ref="U21">_xlfn.MODE.MULT(U5:U20)</f>
        <v>1.75784683294467E-3</v>
      </c>
      <c r="V21" s="28" cm="1">
        <f t="array" ref="V21:V23">_xlfn.MODE.MULT(V5:V20)</f>
        <v>1.7187835699914401E-3</v>
      </c>
      <c r="W21" s="28" cm="1">
        <f t="array" ref="W21">_xlfn.MODE.MULT(W5:W20)</f>
        <v>1.5820621496516201E-3</v>
      </c>
      <c r="X21" s="28" cm="1">
        <f t="array" ref="X21">_xlfn.MODE.MULT(X5:X20)</f>
        <v>1.44534072931179E-3</v>
      </c>
      <c r="Y21" s="28" cm="1">
        <f t="array" ref="Y21">_xlfn.MODE.MULT(Y5:Y20)</f>
        <v>1.30861930897197E-3</v>
      </c>
      <c r="Z21" s="28" cm="1">
        <f t="array" ref="Z21">_xlfn.MODE.MULT(Z5:Z20)</f>
        <v>1.11330299419876E-3</v>
      </c>
    </row>
    <row r="22" spans="2:27" x14ac:dyDescent="0.45">
      <c r="B22" s="29" t="s">
        <v>27</v>
      </c>
      <c r="C22" s="30">
        <v>16</v>
      </c>
      <c r="D22" s="30">
        <v>0.1</v>
      </c>
      <c r="E22" s="30">
        <v>1.3634039041999999</v>
      </c>
      <c r="F22" s="30">
        <v>1.9439167E-3</v>
      </c>
      <c r="G22" s="39" cm="1">
        <f t="array" ref="G22">INDEX($T$5:$T$17,MATCH(MIN(ABS($T$5:$T$17-F22)),ABS($T$5:$T$17-F22),0))</f>
        <v>1.93363151624482E-3</v>
      </c>
      <c r="H22" s="55">
        <f t="shared" ref="H22:H28" si="4">(F22-G22)/F22</f>
        <v>5.2909591008606371E-3</v>
      </c>
      <c r="I22" s="31">
        <f>MATCH(G22,$T$5:$T$20,0)</f>
        <v>1</v>
      </c>
      <c r="K22" s="29" t="s">
        <v>27</v>
      </c>
      <c r="L22" s="30">
        <v>16</v>
      </c>
      <c r="M22" s="30">
        <v>0.1</v>
      </c>
      <c r="N22" s="30">
        <v>1.3634039041999999</v>
      </c>
      <c r="O22" s="30">
        <v>2.0091730364389599E-3</v>
      </c>
      <c r="P22" s="39" cm="1">
        <f t="array" ref="P22">INDEX($T$5:$T$17,MATCH(MIN(ABS($T$5:$T$17-O22)),ABS($T$5:$T$17-O22),0))</f>
        <v>1.97269477919804E-3</v>
      </c>
      <c r="Q22" s="46">
        <f t="shared" ref="Q22:Q28" si="5">(O22-P22)/O22</f>
        <v>1.8155856454043228E-2</v>
      </c>
      <c r="R22" s="31">
        <f>MATCH(P22,$T$5:$T$20,0)</f>
        <v>2</v>
      </c>
      <c r="V22" s="6">
        <v>1.62112541260484E-3</v>
      </c>
    </row>
    <row r="23" spans="2:27" x14ac:dyDescent="0.45">
      <c r="B23" s="24" t="s">
        <v>32</v>
      </c>
      <c r="C23" s="9">
        <v>38</v>
      </c>
      <c r="D23" s="9">
        <v>0.1</v>
      </c>
      <c r="E23" s="9">
        <v>1.2265115852999999</v>
      </c>
      <c r="F23" s="9">
        <v>1.7733448000000001E-3</v>
      </c>
      <c r="G23" s="33" cm="1">
        <f t="array" ref="G23">INDEX($U$5:$U$17,MATCH(MIN(ABS($U$5:$U$17-F23)),ABS($U$5:$U$17-F23),0))</f>
        <v>1.7773784644212799E-3</v>
      </c>
      <c r="H23" s="56">
        <f t="shared" si="4"/>
        <v>-2.2746080859626329E-3</v>
      </c>
      <c r="I23" s="25">
        <f>MATCH(G23,$U$5:$U$20,0)</f>
        <v>13</v>
      </c>
      <c r="K23" s="24" t="s">
        <v>32</v>
      </c>
      <c r="L23" s="9">
        <v>38</v>
      </c>
      <c r="M23" s="9">
        <v>0.1</v>
      </c>
      <c r="N23" s="9">
        <v>1.2265115852666699</v>
      </c>
      <c r="O23" s="9">
        <v>1.79784118812692E-3</v>
      </c>
      <c r="P23" s="33" cm="1">
        <f t="array" ref="P23">INDEX($U$5:$U$17,MATCH(MIN(ABS($U$5:$U$17-O23)),ABS($U$5:$U$17-O23),0))</f>
        <v>1.7969100959014401E-3</v>
      </c>
      <c r="Q23" s="47">
        <f t="shared" si="5"/>
        <v>5.1789459026129955E-4</v>
      </c>
      <c r="R23" s="25">
        <f>MATCH(P23,$U$5:$U$20,0)</f>
        <v>12</v>
      </c>
      <c r="V23" s="6">
        <v>1.62112541261195E-3</v>
      </c>
    </row>
    <row r="24" spans="2:27" x14ac:dyDescent="0.45">
      <c r="B24" s="24" t="s">
        <v>33</v>
      </c>
      <c r="C24" s="9">
        <v>58</v>
      </c>
      <c r="D24" s="9">
        <v>0.1</v>
      </c>
      <c r="E24" s="9">
        <v>1.1851582293</v>
      </c>
      <c r="F24" s="9">
        <v>1.6626493000000001E-3</v>
      </c>
      <c r="G24" s="33" cm="1">
        <f t="array" ref="G24">INDEX($V$5:$V$17,MATCH(MIN(ABS($V$5:$V$17-F24)),ABS($V$5:$V$17-F24),0))</f>
        <v>1.6601886755616101E-3</v>
      </c>
      <c r="H24" s="56">
        <f t="shared" si="4"/>
        <v>1.479941944696347E-3</v>
      </c>
      <c r="I24" s="25">
        <f>MATCH(G24,$V$5:$V$20,0)</f>
        <v>2</v>
      </c>
      <c r="K24" s="24" t="s">
        <v>33</v>
      </c>
      <c r="L24" s="9">
        <v>58</v>
      </c>
      <c r="M24" s="9">
        <v>0.1</v>
      </c>
      <c r="N24" s="9">
        <v>1.1851582293</v>
      </c>
      <c r="O24" s="9">
        <v>1.67739965603936E-3</v>
      </c>
      <c r="P24" s="33" cm="1">
        <f t="array" ref="P24">INDEX($V$5:$V$17,MATCH(MIN(ABS($V$5:$V$17-O24)),ABS($V$5:$V$17-O24),0))</f>
        <v>1.6797203070311199E-3</v>
      </c>
      <c r="Q24" s="47">
        <f t="shared" si="5"/>
        <v>-1.3834812612513695E-3</v>
      </c>
      <c r="R24" s="25">
        <f>MATCH(P24,$V$5:$V$20,0)</f>
        <v>4</v>
      </c>
      <c r="T24" s="6">
        <f>MAX(T5:T20)</f>
        <v>1.97269477919804E-3</v>
      </c>
      <c r="U24" s="6">
        <f t="shared" ref="U24:Z24" si="6">MAX(U5:U20)</f>
        <v>1.8945682532862699E-3</v>
      </c>
      <c r="V24" s="6">
        <f t="shared" si="6"/>
        <v>1.77737846442305E-3</v>
      </c>
      <c r="W24" s="6">
        <f t="shared" si="6"/>
        <v>1.6015937811282299E-3</v>
      </c>
      <c r="X24" s="6">
        <f t="shared" si="6"/>
        <v>1.46487236079196E-3</v>
      </c>
      <c r="Y24" s="6">
        <f t="shared" si="6"/>
        <v>1.4062774663568E-3</v>
      </c>
      <c r="Z24" s="6">
        <f t="shared" si="6"/>
        <v>1.1718978886321499E-3</v>
      </c>
    </row>
    <row r="25" spans="2:27" x14ac:dyDescent="0.45">
      <c r="B25" s="24" t="s">
        <v>34</v>
      </c>
      <c r="C25" s="9">
        <v>81</v>
      </c>
      <c r="D25" s="9">
        <v>0.1</v>
      </c>
      <c r="E25" s="9">
        <v>1.148219463</v>
      </c>
      <c r="F25" s="9">
        <v>1.5804562999999999E-3</v>
      </c>
      <c r="G25" s="33" cm="1">
        <f t="array" ref="G25">INDEX($W$5:$W$17,MATCH(MIN(ABS($W$5:$W$17-F25)),ABS($W$5:$W$17-F25),0))</f>
        <v>1.5820621496516201E-3</v>
      </c>
      <c r="H25" s="58">
        <f t="shared" si="4"/>
        <v>-1.0160671013935154E-3</v>
      </c>
      <c r="I25" s="25">
        <f>MATCH(G25,$W$5:$W$20,0)</f>
        <v>1</v>
      </c>
      <c r="K25" s="24" t="s">
        <v>34</v>
      </c>
      <c r="L25" s="9">
        <v>81</v>
      </c>
      <c r="M25" s="9">
        <v>0.1</v>
      </c>
      <c r="N25" s="9">
        <v>1.14821946301667</v>
      </c>
      <c r="O25" s="9">
        <v>1.5880566038286401E-3</v>
      </c>
      <c r="P25" s="33" cm="1">
        <f t="array" ref="P25">INDEX($W$5:$W$17,MATCH(MIN(ABS($W$5:$W$17-O25)),ABS($W$5:$W$17-O25),0))</f>
        <v>1.5820621496516201E-3</v>
      </c>
      <c r="Q25" s="47">
        <f t="shared" si="5"/>
        <v>3.774710651098983E-3</v>
      </c>
      <c r="R25" s="25">
        <f>MATCH(P25,$W$5:$W$20,0)</f>
        <v>1</v>
      </c>
    </row>
    <row r="26" spans="2:27" x14ac:dyDescent="0.45">
      <c r="B26" s="24" t="s">
        <v>35</v>
      </c>
      <c r="C26" s="9">
        <v>123</v>
      </c>
      <c r="D26" s="9">
        <v>0.1</v>
      </c>
      <c r="E26" s="9">
        <v>1.1115446309999999</v>
      </c>
      <c r="F26" s="9">
        <v>1.477805E-3</v>
      </c>
      <c r="G26" s="33" cm="1">
        <f t="array" ref="G26">INDEX($X$5:$X$17,MATCH(MIN(ABS($X$5:$X$17-F26)),ABS($X$5:$X$17-F26),0))</f>
        <v>1.46487236079196E-3</v>
      </c>
      <c r="H26" s="56">
        <f t="shared" si="4"/>
        <v>8.7512487831885935E-3</v>
      </c>
      <c r="I26" s="25">
        <f>MATCH(G26,$X$5:$X$20,0)</f>
        <v>6</v>
      </c>
      <c r="K26" s="24" t="s">
        <v>35</v>
      </c>
      <c r="L26" s="9">
        <v>123</v>
      </c>
      <c r="M26" s="9">
        <v>0.1</v>
      </c>
      <c r="N26" s="9">
        <v>1.1115446309799999</v>
      </c>
      <c r="O26" s="9">
        <v>1.4757254236416001E-3</v>
      </c>
      <c r="P26" s="33" cm="1">
        <f t="array" ref="P26">INDEX($X$5:$X$17,MATCH(MIN(ABS($X$5:$X$17-O26)),ABS($X$5:$X$17-O26),0))</f>
        <v>1.46487236079196E-3</v>
      </c>
      <c r="Q26" s="47">
        <f t="shared" si="5"/>
        <v>7.3543917288206341E-3</v>
      </c>
      <c r="R26" s="25">
        <f>MATCH(P26,$X$5:$X$20,0)</f>
        <v>6</v>
      </c>
    </row>
    <row r="27" spans="2:27" x14ac:dyDescent="0.45">
      <c r="B27" s="24" t="s">
        <v>36</v>
      </c>
      <c r="C27" s="9">
        <v>210</v>
      </c>
      <c r="D27" s="9">
        <v>0.1</v>
      </c>
      <c r="E27" s="9">
        <v>1.0898876581000001</v>
      </c>
      <c r="F27" s="9">
        <v>1.3440195000000001E-3</v>
      </c>
      <c r="G27" s="33" cm="1">
        <f t="array" ref="G27">INDEX($Y$5:$Y$17,MATCH(MIN(ABS($Y$5:$Y$17-F27)),ABS($Y$5:$Y$17-F27),0))</f>
        <v>1.3476825719180899E-3</v>
      </c>
      <c r="H27" s="58">
        <f t="shared" si="4"/>
        <v>-2.7254603955447518E-3</v>
      </c>
      <c r="I27" s="25">
        <f>MATCH(G27,$Y$5:$Y$20,0)</f>
        <v>9</v>
      </c>
      <c r="K27" s="24" t="s">
        <v>36</v>
      </c>
      <c r="L27" s="9">
        <v>210</v>
      </c>
      <c r="M27" s="9">
        <v>0.1</v>
      </c>
      <c r="N27" s="9">
        <v>1.0898876581000001</v>
      </c>
      <c r="O27" s="9">
        <v>1.3332935779407E-3</v>
      </c>
      <c r="P27" s="33" cm="1">
        <f t="array" ref="P27">INDEX($Y$5:$Y$17,MATCH(MIN(ABS($Y$5:$Y$17-O27)),ABS($Y$5:$Y$17-O27),0))</f>
        <v>1.32815094045213E-3</v>
      </c>
      <c r="Q27" s="47">
        <f t="shared" si="5"/>
        <v>3.8570931216161367E-3</v>
      </c>
      <c r="R27" s="25">
        <f>MATCH(P27,$Y$5:$Y$20,0)</f>
        <v>8</v>
      </c>
    </row>
    <row r="28" spans="2:27" ht="14.65" thickBot="1" x14ac:dyDescent="0.5">
      <c r="B28" s="26" t="s">
        <v>37</v>
      </c>
      <c r="C28" s="27">
        <v>445</v>
      </c>
      <c r="D28" s="27">
        <v>0.1</v>
      </c>
      <c r="E28" s="27">
        <v>1.0745863983999999</v>
      </c>
      <c r="F28" s="27">
        <v>1.1754323E-3</v>
      </c>
      <c r="G28" s="40" cm="1">
        <f t="array" ref="G28">INDEX($Z$5:$Z$17,MATCH(MIN(ABS($Z$5:$Z$17-F28)),ABS($Z$5:$Z$17-F28),0))</f>
        <v>1.1718978886321499E-3</v>
      </c>
      <c r="H28" s="58">
        <f t="shared" si="4"/>
        <v>3.0069033902250879E-3</v>
      </c>
      <c r="I28" s="32">
        <f>MATCH(G28,$Z$5:$Z$20,0)</f>
        <v>4</v>
      </c>
      <c r="K28" s="26" t="s">
        <v>37</v>
      </c>
      <c r="L28" s="27">
        <v>445</v>
      </c>
      <c r="M28" s="27">
        <v>0.1</v>
      </c>
      <c r="N28" s="27">
        <v>1.0745863983499999</v>
      </c>
      <c r="O28" s="27">
        <v>1.1553150946421E-3</v>
      </c>
      <c r="P28" s="40" cm="1">
        <f t="array" ref="P28">INDEX($Z$5:$Z$17,MATCH(MIN(ABS($Z$5:$Z$17-O28)),ABS($Z$5:$Z$17-O28),0))</f>
        <v>1.15236625715376E-3</v>
      </c>
      <c r="Q28" s="47">
        <f t="shared" si="5"/>
        <v>2.5524097296188127E-3</v>
      </c>
      <c r="R28" s="32">
        <f>MATCH(P28,$Z$5:$Z$20,0)</f>
        <v>1</v>
      </c>
    </row>
    <row r="29" spans="2:27" ht="14.65" thickBot="1" x14ac:dyDescent="0.5">
      <c r="B29" s="34"/>
      <c r="C29" s="35"/>
      <c r="D29" s="35"/>
      <c r="E29" s="35"/>
      <c r="F29" s="35"/>
      <c r="G29" s="36" t="s">
        <v>42</v>
      </c>
      <c r="H29" s="59" cm="1">
        <f t="array" ref="H29">AVERAGE(ABS(H22:H28))</f>
        <v>3.5064555431245092E-3</v>
      </c>
      <c r="I29" s="38"/>
      <c r="K29" s="34"/>
      <c r="L29" s="35"/>
      <c r="M29" s="35"/>
      <c r="N29" s="35"/>
      <c r="O29" s="35"/>
      <c r="P29" s="36" t="s">
        <v>42</v>
      </c>
      <c r="Q29" s="37" cm="1">
        <f t="array" ref="Q29">AVERAGE(ABS(Q22:Q28))</f>
        <v>5.370833933815781E-3</v>
      </c>
      <c r="R29" s="38"/>
    </row>
    <row r="30" spans="2:27" x14ac:dyDescent="0.45">
      <c r="H30" s="54"/>
    </row>
    <row r="33" spans="7:8" x14ac:dyDescent="0.45">
      <c r="G33" s="52" t="s">
        <v>44</v>
      </c>
      <c r="H33" s="60">
        <f>(H28+H18+H16-H14-H15-H25-H27)/7</f>
        <v>1.7238724000216042E-3</v>
      </c>
    </row>
  </sheetData>
  <mergeCells count="3">
    <mergeCell ref="B2:I3"/>
    <mergeCell ref="T3:Z3"/>
    <mergeCell ref="K2:R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7519-652B-42FC-B151-4DAC6F7C8F39}">
  <dimension ref="B2:AD45"/>
  <sheetViews>
    <sheetView tabSelected="1" topLeftCell="A4" zoomScaleNormal="100" workbookViewId="0">
      <selection activeCell="Y10" sqref="Y10:AD12"/>
    </sheetView>
  </sheetViews>
  <sheetFormatPr defaultColWidth="8.796875" defaultRowHeight="14.25" x14ac:dyDescent="0.45"/>
  <cols>
    <col min="1" max="3" width="8.796875" style="12"/>
    <col min="4" max="4" width="9" style="12" bestFit="1" customWidth="1"/>
    <col min="5" max="6" width="8.796875" style="12"/>
    <col min="7" max="7" width="9.33203125" style="12" bestFit="1" customWidth="1"/>
    <col min="8" max="16384" width="8.796875" style="12"/>
  </cols>
  <sheetData>
    <row r="2" spans="2:30" x14ac:dyDescent="0.45">
      <c r="B2" s="12" t="s">
        <v>131</v>
      </c>
      <c r="G2" s="108" t="s">
        <v>135</v>
      </c>
      <c r="H2" s="108">
        <v>0.26</v>
      </c>
    </row>
    <row r="3" spans="2:30" x14ac:dyDescent="0.45">
      <c r="X3" s="157" t="s">
        <v>136</v>
      </c>
      <c r="Y3" s="157"/>
      <c r="Z3" s="157"/>
      <c r="AA3" s="157"/>
      <c r="AB3" s="157"/>
      <c r="AC3" s="157"/>
      <c r="AD3" s="157"/>
    </row>
    <row r="4" spans="2:30" x14ac:dyDescent="0.45">
      <c r="B4" s="157" t="s">
        <v>134</v>
      </c>
      <c r="C4" s="157"/>
      <c r="D4" s="157"/>
      <c r="E4" s="157"/>
      <c r="F4" s="157"/>
      <c r="G4" s="157"/>
      <c r="H4" s="157"/>
      <c r="X4" s="13" t="s">
        <v>17</v>
      </c>
      <c r="Y4" s="20">
        <v>10</v>
      </c>
      <c r="Z4" s="20">
        <v>100</v>
      </c>
      <c r="AA4" s="20">
        <v>300</v>
      </c>
      <c r="AB4" s="20">
        <v>500</v>
      </c>
      <c r="AC4" s="20">
        <v>700</v>
      </c>
      <c r="AD4" s="13">
        <v>1000</v>
      </c>
    </row>
    <row r="5" spans="2:30" x14ac:dyDescent="0.45">
      <c r="B5" s="13" t="s">
        <v>17</v>
      </c>
      <c r="C5" s="20">
        <v>10</v>
      </c>
      <c r="D5" s="20">
        <v>100</v>
      </c>
      <c r="E5" s="20">
        <v>300</v>
      </c>
      <c r="F5" s="20">
        <v>500</v>
      </c>
      <c r="G5" s="20">
        <v>700</v>
      </c>
      <c r="H5" s="13">
        <v>1000</v>
      </c>
      <c r="X5" s="13">
        <v>0.1</v>
      </c>
      <c r="Y5" s="13">
        <v>2.1252823576404498E-3</v>
      </c>
      <c r="Z5" s="13">
        <v>1.5349548257569E-3</v>
      </c>
      <c r="AA5" s="13">
        <v>1.2459906107288501E-3</v>
      </c>
      <c r="AB5" s="13">
        <v>1.13030798522664E-3</v>
      </c>
      <c r="AC5" s="13">
        <v>1.06244287429404E-3</v>
      </c>
      <c r="AD5" s="21">
        <v>9.978169398421491E-4</v>
      </c>
    </row>
    <row r="6" spans="2:30" x14ac:dyDescent="0.45">
      <c r="B6" s="13" t="s">
        <v>232</v>
      </c>
      <c r="C6" s="20">
        <f>LOG10(C5)</f>
        <v>1</v>
      </c>
      <c r="D6" s="20">
        <f t="shared" ref="D6:H6" si="0">LOG10(D5)</f>
        <v>2</v>
      </c>
      <c r="E6" s="20">
        <f t="shared" si="0"/>
        <v>2.4771212547196626</v>
      </c>
      <c r="F6" s="20">
        <f t="shared" si="0"/>
        <v>2.6989700043360187</v>
      </c>
      <c r="G6" s="20">
        <f t="shared" si="0"/>
        <v>2.8450980400142569</v>
      </c>
      <c r="H6" s="20">
        <f t="shared" si="0"/>
        <v>3</v>
      </c>
      <c r="X6" s="13"/>
      <c r="Y6" s="13"/>
      <c r="Z6" s="13"/>
      <c r="AA6" s="13"/>
      <c r="AB6" s="13"/>
      <c r="AC6" s="13"/>
      <c r="AD6" s="21"/>
    </row>
    <row r="7" spans="2:30" x14ac:dyDescent="0.45">
      <c r="B7" s="13">
        <v>0.1</v>
      </c>
      <c r="C7" s="12">
        <v>2.1867939205959799E-3</v>
      </c>
      <c r="D7" s="138">
        <v>1.5349548257569E-3</v>
      </c>
      <c r="E7" s="138">
        <v>1.2459906107288501E-3</v>
      </c>
      <c r="F7" s="138">
        <v>1.13030798522664E-3</v>
      </c>
      <c r="G7" s="138">
        <v>1.06244287429404E-3</v>
      </c>
      <c r="H7" s="139">
        <v>9.978169398421491E-4</v>
      </c>
      <c r="X7" s="13">
        <v>0.3</v>
      </c>
      <c r="Y7" s="13">
        <v>2.15971893357225E-3</v>
      </c>
      <c r="Z7" s="13">
        <v>1.5245798642394099E-3</v>
      </c>
      <c r="AA7" s="13">
        <v>1.2349915672320801E-3</v>
      </c>
      <c r="AB7" s="13">
        <v>1.1210804794715E-3</v>
      </c>
      <c r="AC7" s="13">
        <v>1.0543159670394599E-3</v>
      </c>
      <c r="AD7" s="21">
        <v>9.8983598711006393E-4</v>
      </c>
    </row>
    <row r="8" spans="2:30" x14ac:dyDescent="0.45">
      <c r="B8" s="13">
        <v>0.3</v>
      </c>
      <c r="C8" s="13">
        <v>2.15971893357225E-3</v>
      </c>
      <c r="D8" s="13">
        <v>1.5245798642394099E-3</v>
      </c>
      <c r="E8" s="13">
        <v>1.2349915672320801E-3</v>
      </c>
      <c r="F8" s="13">
        <v>1.1210804794715E-3</v>
      </c>
      <c r="G8" s="13">
        <v>1.0543159670394599E-3</v>
      </c>
      <c r="H8" s="21">
        <v>9.8983598711006393E-4</v>
      </c>
      <c r="X8" s="13">
        <v>0.5</v>
      </c>
      <c r="Y8" s="13">
        <v>2.14970508462505E-3</v>
      </c>
      <c r="Z8" s="13">
        <v>1.4839440203368701E-3</v>
      </c>
      <c r="AA8" s="13">
        <v>1.19766476738336E-3</v>
      </c>
      <c r="AB8" s="13">
        <v>1.0891446262729801E-3</v>
      </c>
      <c r="AC8" s="13">
        <v>1.02655644409088E-3</v>
      </c>
      <c r="AD8" s="21">
        <v>9.6648717426287402E-4</v>
      </c>
    </row>
    <row r="9" spans="2:30" x14ac:dyDescent="0.45">
      <c r="B9" s="13">
        <v>0.5</v>
      </c>
      <c r="C9" s="13">
        <v>2.14970508462505E-3</v>
      </c>
      <c r="D9" s="13">
        <v>1.4839440203368701E-3</v>
      </c>
      <c r="E9" s="13">
        <v>1.19766476738336E-3</v>
      </c>
      <c r="F9" s="13">
        <v>1.0891446262729801E-3</v>
      </c>
      <c r="G9" s="13">
        <v>1.02655644409088E-3</v>
      </c>
      <c r="H9" s="21">
        <v>9.6648717426287402E-4</v>
      </c>
    </row>
    <row r="11" spans="2:30" x14ac:dyDescent="0.45">
      <c r="B11" s="160" t="s">
        <v>18</v>
      </c>
      <c r="C11" s="160"/>
      <c r="D11" s="13">
        <v>0.31</v>
      </c>
      <c r="E11" s="160" t="s">
        <v>8</v>
      </c>
      <c r="F11" s="160"/>
      <c r="G11" s="21">
        <f>D22</f>
        <v>1.8945682532862699E-3</v>
      </c>
    </row>
    <row r="12" spans="2:30" x14ac:dyDescent="0.45">
      <c r="B12" s="14"/>
      <c r="C12" s="14"/>
      <c r="E12" s="14"/>
      <c r="F12" s="14"/>
    </row>
    <row r="13" spans="2:30" x14ac:dyDescent="0.45">
      <c r="B13" s="157" t="s">
        <v>19</v>
      </c>
      <c r="C13" s="157"/>
      <c r="D13" s="157"/>
      <c r="E13" s="157"/>
      <c r="F13" s="157"/>
      <c r="G13" s="157"/>
      <c r="H13" s="157"/>
    </row>
    <row r="14" spans="2:30" x14ac:dyDescent="0.45">
      <c r="B14" s="13">
        <f>D11</f>
        <v>0.31</v>
      </c>
      <c r="C14" s="13">
        <f t="shared" ref="C14:H14" si="1">_xlfn.FORECAST.LINEAR($D$11,C8:C9,$B$8:$B$9)</f>
        <v>2.1592182411248901E-3</v>
      </c>
      <c r="D14" s="13">
        <f t="shared" si="1"/>
        <v>1.5225480720442832E-3</v>
      </c>
      <c r="E14" s="13">
        <f t="shared" si="1"/>
        <v>1.233125227239644E-3</v>
      </c>
      <c r="F14" s="13">
        <f t="shared" si="1"/>
        <v>1.1194836868115741E-3</v>
      </c>
      <c r="G14" s="13">
        <f t="shared" si="1"/>
        <v>1.0529279908920309E-3</v>
      </c>
      <c r="H14" s="13">
        <f t="shared" si="1"/>
        <v>9.8866854646770448E-4</v>
      </c>
    </row>
    <row r="15" spans="2:30" ht="14.65" thickBot="1" x14ac:dyDescent="0.5"/>
    <row r="16" spans="2:30" x14ac:dyDescent="0.45">
      <c r="B16" s="161" t="s">
        <v>20</v>
      </c>
      <c r="C16" s="162"/>
      <c r="D16" s="162"/>
      <c r="E16" s="162"/>
      <c r="F16" s="162"/>
      <c r="G16" s="163"/>
    </row>
    <row r="17" spans="2:7" x14ac:dyDescent="0.45">
      <c r="B17" s="158" t="s">
        <v>21</v>
      </c>
      <c r="C17" s="159"/>
      <c r="D17" s="15">
        <f>10^(_xlfn.FORECAST.LINEAR(G11,C6:D6,C14:D14))</f>
        <v>26.042239130359771</v>
      </c>
      <c r="E17" s="16" t="s">
        <v>17</v>
      </c>
      <c r="F17" s="15"/>
      <c r="G17" s="17"/>
    </row>
    <row r="20" spans="2:7" x14ac:dyDescent="0.45">
      <c r="B20" s="11" t="s">
        <v>5</v>
      </c>
      <c r="C20" s="11" t="s">
        <v>6</v>
      </c>
      <c r="D20" s="11" t="s">
        <v>8</v>
      </c>
      <c r="E20" s="12" t="s">
        <v>231</v>
      </c>
    </row>
    <row r="21" spans="2:7" x14ac:dyDescent="0.45">
      <c r="B21" s="9" t="s">
        <v>9</v>
      </c>
      <c r="C21" s="10">
        <v>16</v>
      </c>
      <c r="D21" s="8">
        <f>SawBown_Calibration!T14</f>
        <v>1.9726947791944799E-3</v>
      </c>
      <c r="E21" s="12">
        <v>19.632118947748118</v>
      </c>
    </row>
    <row r="22" spans="2:7" x14ac:dyDescent="0.45">
      <c r="B22" s="9" t="s">
        <v>10</v>
      </c>
      <c r="C22" s="9">
        <v>38</v>
      </c>
      <c r="D22" s="8">
        <f>SawBown_Calibration!U15</f>
        <v>1.8945682532862699E-3</v>
      </c>
      <c r="E22" s="12">
        <v>46.932264372692998</v>
      </c>
    </row>
    <row r="23" spans="2:7" x14ac:dyDescent="0.45">
      <c r="B23" s="9" t="s">
        <v>11</v>
      </c>
      <c r="C23" s="9">
        <v>58</v>
      </c>
      <c r="D23" s="8">
        <f>SawBown_Calibration!V10</f>
        <v>1.77737846442305E-3</v>
      </c>
      <c r="E23" s="12">
        <v>63.379608590284334</v>
      </c>
    </row>
    <row r="24" spans="2:7" x14ac:dyDescent="0.45">
      <c r="B24" s="9" t="s">
        <v>12</v>
      </c>
      <c r="C24" s="9">
        <v>81</v>
      </c>
      <c r="D24" s="8">
        <f>SawBown_Calibration!W5</f>
        <v>1.5820621496516201E-3</v>
      </c>
      <c r="E24" s="12">
        <v>90.529303641801732</v>
      </c>
    </row>
    <row r="25" spans="2:7" x14ac:dyDescent="0.45">
      <c r="B25" s="9" t="s">
        <v>13</v>
      </c>
      <c r="C25" s="9">
        <v>123</v>
      </c>
      <c r="D25" s="8">
        <f>SawBown_Calibration!X10</f>
        <v>1.46487236079196E-3</v>
      </c>
      <c r="E25" s="12">
        <v>135.70481542824177</v>
      </c>
    </row>
    <row r="26" spans="2:7" x14ac:dyDescent="0.45">
      <c r="B26" s="9" t="s">
        <v>14</v>
      </c>
      <c r="C26" s="9">
        <v>210</v>
      </c>
      <c r="D26" s="8">
        <f>SawBown_Calibration!Y13</f>
        <v>1.3476825719180899E-3</v>
      </c>
      <c r="E26" s="12">
        <v>220.83738603580343</v>
      </c>
    </row>
    <row r="27" spans="2:7" x14ac:dyDescent="0.45">
      <c r="B27" s="9" t="s">
        <v>15</v>
      </c>
      <c r="C27" s="9">
        <v>415</v>
      </c>
      <c r="D27" s="8">
        <f>SawBown_Calibration!Z8</f>
        <v>1.1718978886321499E-3</v>
      </c>
      <c r="E27" s="12">
        <v>410.77706277819289</v>
      </c>
    </row>
    <row r="29" spans="2:7" x14ac:dyDescent="0.45">
      <c r="C29" s="109"/>
      <c r="D29" s="109" t="s">
        <v>8</v>
      </c>
      <c r="E29" s="109" t="s">
        <v>29</v>
      </c>
      <c r="F29" s="109" t="s">
        <v>6</v>
      </c>
    </row>
    <row r="30" spans="2:7" x14ac:dyDescent="0.45">
      <c r="C30" s="109" t="str">
        <f>Ceramica_TOFvsOndaP!B35</f>
        <v>M1 - Mod</v>
      </c>
      <c r="D30" s="109">
        <f>Ceramica_TOFvsOndaP!AM35</f>
        <v>1.3520135201360978E-3</v>
      </c>
      <c r="E30" s="109">
        <f>Ceramica_TOFvsOndaP!O35</f>
        <v>0.2</v>
      </c>
      <c r="F30" s="109">
        <v>222.89555133843214</v>
      </c>
    </row>
    <row r="31" spans="2:7" x14ac:dyDescent="0.45">
      <c r="C31" s="109" t="str">
        <f>Ceramica_TOFvsOndaP!B36</f>
        <v>M1 - Mod</v>
      </c>
      <c r="D31" s="109">
        <f>Ceramica_TOFvsOndaP!AM36</f>
        <v>1.3180131801320259E-3</v>
      </c>
      <c r="E31" s="109">
        <f>Ceramica_TOFvsOndaP!O36</f>
        <v>0.34</v>
      </c>
      <c r="F31" s="109">
        <v>221.83874573585604</v>
      </c>
    </row>
    <row r="32" spans="2:7" x14ac:dyDescent="0.45">
      <c r="C32" s="109" t="str">
        <f>Ceramica_TOFvsOndaP!B37</f>
        <v>M2 - Mod</v>
      </c>
      <c r="D32" s="109">
        <f>Ceramica_TOFvsOndaP!AM37</f>
        <v>1.2780127801285319E-3</v>
      </c>
      <c r="E32" s="109">
        <f>Ceramica_TOFvsOndaP!O37</f>
        <v>0.12</v>
      </c>
      <c r="F32" s="109">
        <v>277.08026106407374</v>
      </c>
    </row>
    <row r="33" spans="3:6" x14ac:dyDescent="0.45">
      <c r="C33" s="109" t="str">
        <f>Ceramica_TOFvsOndaP!B38</f>
        <v>M3 - Mod</v>
      </c>
      <c r="D33" s="109">
        <f>Ceramica_TOFvsOndaP!AM38</f>
        <v>1.2380123801243302E-3</v>
      </c>
      <c r="E33" s="109">
        <f>Ceramica_TOFvsOndaP!O38</f>
        <v>0.1</v>
      </c>
      <c r="F33" s="110">
        <v>305.52195060121596</v>
      </c>
    </row>
    <row r="34" spans="3:6" x14ac:dyDescent="0.45">
      <c r="C34" s="109" t="str">
        <f>Ceramica_TOFvsOndaP!B39</f>
        <v>M1 - Est</v>
      </c>
      <c r="D34" s="109">
        <f>Ceramica_TOFvsOndaP!AM39</f>
        <v>1.8960189601884298E-3</v>
      </c>
      <c r="E34" s="109">
        <f>Ceramica_TOFvsOndaP!O39</f>
        <v>0.11</v>
      </c>
      <c r="F34" s="109">
        <v>50.01189739449967</v>
      </c>
    </row>
    <row r="35" spans="3:6" x14ac:dyDescent="0.45">
      <c r="C35" s="109" t="str">
        <f>Ceramica_TOFvsOndaP!B40</f>
        <v>M2 - Est</v>
      </c>
      <c r="D35" s="109">
        <f>Ceramica_TOFvsOndaP!AM40</f>
        <v>1.83601836018994E-3</v>
      </c>
      <c r="E35" s="109">
        <f>Ceramica_TOFvsOndaP!O40</f>
        <v>0.13</v>
      </c>
      <c r="F35" s="109">
        <v>58.055829107995521</v>
      </c>
    </row>
    <row r="36" spans="3:6" x14ac:dyDescent="0.45">
      <c r="C36" s="109" t="str">
        <f>Ceramica_TOFvsOndaP!B41</f>
        <v>M3 - Est</v>
      </c>
      <c r="D36" s="109">
        <f>Ceramica_TOFvsOndaP!AM41</f>
        <v>1.4240142401433782E-3</v>
      </c>
      <c r="E36" s="109">
        <f>Ceramica_TOFvsOndaP!O41</f>
        <v>0.16</v>
      </c>
      <c r="F36" s="109">
        <v>174.58243839235092</v>
      </c>
    </row>
    <row r="37" spans="3:6" x14ac:dyDescent="0.45">
      <c r="C37" s="109" t="str">
        <f>Ceramica_TOFvsOndaP!B42</f>
        <v>M4 - Est</v>
      </c>
      <c r="D37" s="109">
        <f>Ceramica_TOFvsOndaP!AM42</f>
        <v>1.6520165201640679E-3</v>
      </c>
      <c r="E37" s="109">
        <f>Ceramica_TOFvsOndaP!O42</f>
        <v>0.22</v>
      </c>
      <c r="F37" s="109">
        <v>82.71194987437471</v>
      </c>
    </row>
    <row r="38" spans="3:6" x14ac:dyDescent="0.45">
      <c r="C38" s="109" t="str">
        <f>Ceramica_TOFvsOndaP!B49</f>
        <v>M4 - Mod</v>
      </c>
      <c r="D38" s="109">
        <f>Ceramica_TOFvsOndaP!AM49</f>
        <v>1.3240132401346459E-3</v>
      </c>
      <c r="E38" s="109">
        <f>Ceramica_TOFvsOndaP!O49</f>
        <v>0.46</v>
      </c>
      <c r="F38" s="13">
        <v>217.13760864298627</v>
      </c>
    </row>
    <row r="39" spans="3:6" x14ac:dyDescent="0.45">
      <c r="C39" s="109" t="str">
        <f>Ceramica_TOFvsOndaP!B50</f>
        <v>M5 - Mod</v>
      </c>
      <c r="D39" s="109">
        <f>Ceramica_TOFvsOndaP!AM50</f>
        <v>1.484014840148264E-3</v>
      </c>
      <c r="E39" s="109">
        <f>Ceramica_TOFvsOndaP!O50</f>
        <v>0.47</v>
      </c>
      <c r="F39" s="13">
        <v>104.20158240318801</v>
      </c>
    </row>
    <row r="40" spans="3:6" x14ac:dyDescent="0.45">
      <c r="C40" s="109" t="str">
        <f>Ceramica_TOFvsOndaP!B51</f>
        <v>M6 - Mod</v>
      </c>
      <c r="D40" s="109">
        <f>Ceramica_TOFvsOndaP!AM51</f>
        <v>1.5760157601505359E-3</v>
      </c>
      <c r="E40" s="109">
        <f>Ceramica_TOFvsOndaP!O51</f>
        <v>0.46</v>
      </c>
      <c r="F40" s="13">
        <v>88.546707922032653</v>
      </c>
    </row>
    <row r="41" spans="3:6" x14ac:dyDescent="0.45">
      <c r="C41" s="109" t="str">
        <f>Ceramica_TOFvsOndaP!B52</f>
        <v>M5 - Est</v>
      </c>
      <c r="D41" s="109">
        <f>Ceramica_TOFvsOndaP!AM52</f>
        <v>1.686016860168494E-3</v>
      </c>
      <c r="E41" s="109">
        <f>Ceramica_TOFvsOndaP!O52</f>
        <v>0.4</v>
      </c>
      <c r="F41" s="13">
        <v>74.851347637731493</v>
      </c>
    </row>
    <row r="42" spans="3:6" x14ac:dyDescent="0.45">
      <c r="C42" s="109" t="str">
        <f>Ceramica_TOFvsOndaP!B53</f>
        <v>M6 - Est</v>
      </c>
      <c r="D42" s="109">
        <f>Ceramica_TOFvsOndaP!AM53</f>
        <v>1.9700197001942142E-3</v>
      </c>
      <c r="E42" s="109">
        <f>Ceramica_TOFvsOndaP!O53</f>
        <v>0.46</v>
      </c>
      <c r="F42" s="13">
        <v>34.789304082209583</v>
      </c>
    </row>
    <row r="43" spans="3:6" x14ac:dyDescent="0.45">
      <c r="C43" s="109" t="str">
        <f>Ceramica_TOFvsOndaP!B54</f>
        <v>M2 - Mod</v>
      </c>
      <c r="D43" s="109">
        <f>Ceramica_TOFvsOndaP!AM54</f>
        <v>1.4060140601390699E-3</v>
      </c>
      <c r="E43" s="109">
        <f>Ceramica_TOFvsOndaP!O54</f>
        <v>0.32</v>
      </c>
      <c r="F43" s="13">
        <v>179.16977933051805</v>
      </c>
    </row>
    <row r="44" spans="3:6" x14ac:dyDescent="0.45">
      <c r="C44" s="109" t="str">
        <f>Ceramica_TOFvsOndaP!B55</f>
        <v>M3 - Mod</v>
      </c>
      <c r="D44" s="109">
        <f>Ceramica_TOFvsOndaP!AM55</f>
        <v>1.516015160152762E-3</v>
      </c>
      <c r="E44" s="109">
        <f>Ceramica_TOFvsOndaP!O55</f>
        <v>0.44</v>
      </c>
      <c r="F44" s="13">
        <v>97.274894332241047</v>
      </c>
    </row>
    <row r="45" spans="3:6" x14ac:dyDescent="0.45">
      <c r="C45" s="109" t="str">
        <f>Ceramica_TOFvsOndaP!B56</f>
        <v>M4 - Mod</v>
      </c>
      <c r="D45" s="109">
        <f>Ceramica_TOFvsOndaP!AM56</f>
        <v>1.455014550145075E-3</v>
      </c>
      <c r="E45" s="109">
        <f>Ceramica_TOFvsOndaP!O56</f>
        <v>0.4</v>
      </c>
      <c r="F45" s="13">
        <v>134.20744380989277</v>
      </c>
    </row>
  </sheetData>
  <mergeCells count="7">
    <mergeCell ref="X3:AD3"/>
    <mergeCell ref="B4:H4"/>
    <mergeCell ref="B17:C17"/>
    <mergeCell ref="B11:C11"/>
    <mergeCell ref="E11:F11"/>
    <mergeCell ref="B16:G16"/>
    <mergeCell ref="B13:H1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6BBAE-5E32-462F-84B8-3D797687C2E7}">
  <dimension ref="B3:O83"/>
  <sheetViews>
    <sheetView topLeftCell="F65" zoomScale="115" zoomScaleNormal="115" workbookViewId="0">
      <selection activeCell="P71" sqref="P71"/>
    </sheetView>
  </sheetViews>
  <sheetFormatPr defaultColWidth="10.796875" defaultRowHeight="14.25" x14ac:dyDescent="0.45"/>
  <cols>
    <col min="1" max="1" width="10.796875" style="6"/>
    <col min="2" max="2" width="12.1328125" style="6" bestFit="1" customWidth="1"/>
    <col min="3" max="3" width="20" style="6" bestFit="1" customWidth="1"/>
    <col min="4" max="4" width="21.1328125" style="6" bestFit="1" customWidth="1"/>
    <col min="5" max="16384" width="10.796875" style="6"/>
  </cols>
  <sheetData>
    <row r="3" spans="2:11" ht="15.75" x14ac:dyDescent="0.5">
      <c r="B3" s="86" t="s">
        <v>156</v>
      </c>
      <c r="C3" s="86" t="s">
        <v>157</v>
      </c>
      <c r="D3" s="86" t="s">
        <v>79</v>
      </c>
    </row>
    <row r="4" spans="2:11" ht="15.75" x14ac:dyDescent="0.5">
      <c r="B4" s="117"/>
      <c r="C4" s="118" t="s">
        <v>122</v>
      </c>
      <c r="D4" s="119" t="s">
        <v>121</v>
      </c>
    </row>
    <row r="5" spans="2:11" x14ac:dyDescent="0.45">
      <c r="B5" s="9" t="str">
        <f>[2]Mediciones!B35</f>
        <v>M1 - Mod</v>
      </c>
      <c r="C5" s="77">
        <f>[2]Mediciones!J35</f>
        <v>1.6584291622044007</v>
      </c>
      <c r="D5" s="9">
        <f>[2]Mediciones!AK35</f>
        <v>1.3520135201360978E-3</v>
      </c>
    </row>
    <row r="6" spans="2:11" x14ac:dyDescent="0.45">
      <c r="B6" s="9" t="str">
        <f>[2]Mediciones!B36</f>
        <v>M1 - Mod</v>
      </c>
      <c r="C6" s="77">
        <f>[2]Mediciones!J36</f>
        <v>1.763728134637909</v>
      </c>
      <c r="D6" s="9">
        <f>[2]Mediciones!AK36</f>
        <v>1.3460134601345421E-3</v>
      </c>
    </row>
    <row r="7" spans="2:11" x14ac:dyDescent="0.45">
      <c r="B7" s="9" t="str">
        <f>[2]Mediciones!B37</f>
        <v>M2 - Mod</v>
      </c>
      <c r="C7" s="77">
        <f>[2]Mediciones!J37</f>
        <v>1.6822689096024417</v>
      </c>
      <c r="D7" s="9">
        <f>[2]Mediciones!AK37</f>
        <v>1.2780127801285319E-3</v>
      </c>
    </row>
    <row r="8" spans="2:11" x14ac:dyDescent="0.45">
      <c r="B8" s="9" t="str">
        <f>[2]Mediciones!B38</f>
        <v>M3 - Mod</v>
      </c>
      <c r="C8" s="77">
        <f>[2]Mediciones!J38</f>
        <v>1.6483733962172045</v>
      </c>
      <c r="D8" s="9">
        <f>[2]Mediciones!AK38</f>
        <v>1.2380123801243302E-3</v>
      </c>
    </row>
    <row r="9" spans="2:11" x14ac:dyDescent="0.45">
      <c r="B9" s="9" t="str">
        <f>[2]Mediciones!B39</f>
        <v>M1 - Est</v>
      </c>
      <c r="C9" s="77">
        <f>[2]Mediciones!J39</f>
        <v>1.480677915463195</v>
      </c>
      <c r="D9" s="9">
        <f>[2]Mediciones!AK39</f>
        <v>1.8960189601884298E-3</v>
      </c>
    </row>
    <row r="10" spans="2:11" x14ac:dyDescent="0.45">
      <c r="B10" s="9" t="str">
        <f>[2]Mediciones!B40</f>
        <v>M2 - Est</v>
      </c>
      <c r="C10" s="77">
        <f>[2]Mediciones!J40</f>
        <v>1.4904689597154233</v>
      </c>
      <c r="D10" s="9">
        <f>[2]Mediciones!AK40</f>
        <v>1.83601836018994E-3</v>
      </c>
    </row>
    <row r="11" spans="2:11" x14ac:dyDescent="0.45">
      <c r="B11" s="9" t="str">
        <f>[2]Mediciones!B41</f>
        <v>M3 - Est</v>
      </c>
      <c r="C11" s="77">
        <f>[2]Mediciones!J41</f>
        <v>1.5294344523239138</v>
      </c>
      <c r="D11" s="9">
        <f>[2]Mediciones!AK41</f>
        <v>1.4240142401433782E-3</v>
      </c>
    </row>
    <row r="12" spans="2:11" x14ac:dyDescent="0.45">
      <c r="B12" s="9" t="str">
        <f>[2]Mediciones!B42</f>
        <v>M4 - Est</v>
      </c>
      <c r="C12" s="77">
        <f>[2]Mediciones!J42</f>
        <v>1.5475074537777984</v>
      </c>
      <c r="D12" s="9">
        <f>[2]Mediciones!AK42</f>
        <v>1.6520165201640679E-3</v>
      </c>
    </row>
    <row r="13" spans="2:11" x14ac:dyDescent="0.45">
      <c r="B13" s="9" t="str">
        <f>[2]Mediciones!B49</f>
        <v>M4 - Mod</v>
      </c>
      <c r="C13" s="77">
        <f>[2]Mediciones!J49</f>
        <v>1.7772421994397172</v>
      </c>
      <c r="D13" s="9">
        <f>[2]Mediciones!AK49</f>
        <v>1.3240132401346459E-3</v>
      </c>
      <c r="K13" s="6" t="s">
        <v>158</v>
      </c>
    </row>
    <row r="14" spans="2:11" x14ac:dyDescent="0.45">
      <c r="B14" s="9" t="str">
        <f>[2]Mediciones!B50</f>
        <v>M5 - Mod</v>
      </c>
      <c r="C14" s="77">
        <f>[2]Mediciones!J50</f>
        <v>1.6951263354634258</v>
      </c>
      <c r="D14" s="9">
        <f>[2]Mediciones!AK50</f>
        <v>1.484014840148264E-3</v>
      </c>
      <c r="K14" s="6" t="s">
        <v>159</v>
      </c>
    </row>
    <row r="15" spans="2:11" x14ac:dyDescent="0.45">
      <c r="B15" s="9" t="str">
        <f>[2]Mediciones!B51</f>
        <v>M6 - Mod</v>
      </c>
      <c r="C15" s="77">
        <f>[2]Mediciones!J51</f>
        <v>1.6321784584194605</v>
      </c>
      <c r="D15" s="9">
        <f>[2]Mediciones!AK51</f>
        <v>1.5760157601505359E-3</v>
      </c>
      <c r="K15" s="120">
        <v>0.8</v>
      </c>
    </row>
    <row r="16" spans="2:11" x14ac:dyDescent="0.45">
      <c r="B16" s="9" t="str">
        <f>[2]Mediciones!B52</f>
        <v>M5 - Est</v>
      </c>
      <c r="C16" s="77">
        <f>[2]Mediciones!J52</f>
        <v>1.6090048691339709</v>
      </c>
      <c r="D16" s="9">
        <f>[2]Mediciones!AK52</f>
        <v>1.686016860168494E-3</v>
      </c>
    </row>
    <row r="17" spans="2:5" x14ac:dyDescent="0.45">
      <c r="B17" s="9" t="str">
        <f>[2]Mediciones!B53</f>
        <v>M6 - Est</v>
      </c>
      <c r="C17" s="77">
        <f>[2]Mediciones!J53</f>
        <v>1.6060302554528956</v>
      </c>
      <c r="D17" s="9">
        <f>[2]Mediciones!AK53</f>
        <v>1.9700197001942142E-3</v>
      </c>
    </row>
    <row r="18" spans="2:5" x14ac:dyDescent="0.45">
      <c r="B18" s="9" t="str">
        <f>[2]Mediciones!B54</f>
        <v>M2 - Mod</v>
      </c>
      <c r="C18" s="77">
        <f>[2]Mediciones!J54</f>
        <v>1.6867190368361413</v>
      </c>
      <c r="D18" s="9">
        <f>[2]Mediciones!AK54</f>
        <v>1.4060140601390699E-3</v>
      </c>
    </row>
    <row r="19" spans="2:5" x14ac:dyDescent="0.45">
      <c r="B19" s="9" t="str">
        <f>[2]Mediciones!B55</f>
        <v>M3 - Mod</v>
      </c>
      <c r="C19" s="77">
        <f>[2]Mediciones!J55</f>
        <v>1.678484887889131</v>
      </c>
      <c r="D19" s="9">
        <f>[2]Mediciones!AK55</f>
        <v>1.516015160152762E-3</v>
      </c>
    </row>
    <row r="20" spans="2:5" x14ac:dyDescent="0.45">
      <c r="B20" s="9" t="str">
        <f>[2]Mediciones!B56</f>
        <v>M4 - Mod</v>
      </c>
      <c r="C20" s="77">
        <f>[2]Mediciones!J56</f>
        <v>1.601954608561813</v>
      </c>
      <c r="D20" s="9">
        <f>[2]Mediciones!AK56</f>
        <v>1.455014550145075E-3</v>
      </c>
    </row>
    <row r="22" spans="2:5" x14ac:dyDescent="0.45">
      <c r="B22" s="6" t="s">
        <v>160</v>
      </c>
    </row>
    <row r="24" spans="2:5" x14ac:dyDescent="0.45">
      <c r="B24" s="97" t="s">
        <v>161</v>
      </c>
      <c r="C24" s="97" t="s">
        <v>162</v>
      </c>
      <c r="D24" s="97" t="s">
        <v>163</v>
      </c>
      <c r="E24" s="97" t="s">
        <v>164</v>
      </c>
    </row>
    <row r="25" spans="2:5" x14ac:dyDescent="0.45">
      <c r="B25" s="77">
        <f>[2]Mediciones!J35</f>
        <v>1.6584291622044007</v>
      </c>
      <c r="C25" s="121">
        <f>[2]Mediciones!AK35</f>
        <v>1.3520135201360978E-3</v>
      </c>
      <c r="D25" s="121">
        <f t="shared" ref="D25:D40" si="0">-0.0017*(B25) + 0.0044</f>
        <v>1.5806704242525191E-3</v>
      </c>
      <c r="E25" s="121">
        <f>C25-D25</f>
        <v>-2.2865690411642131E-4</v>
      </c>
    </row>
    <row r="26" spans="2:5" x14ac:dyDescent="0.45">
      <c r="B26" s="77">
        <f>[2]Mediciones!J36</f>
        <v>1.763728134637909</v>
      </c>
      <c r="C26" s="121">
        <f>[2]Mediciones!AK36</f>
        <v>1.3460134601345421E-3</v>
      </c>
      <c r="D26" s="121">
        <f t="shared" si="0"/>
        <v>1.401662171115555E-3</v>
      </c>
      <c r="E26" s="121">
        <f t="shared" ref="E26:E40" si="1">C26-D26</f>
        <v>-5.5648710981012935E-5</v>
      </c>
    </row>
    <row r="27" spans="2:5" x14ac:dyDescent="0.45">
      <c r="B27" s="77">
        <f>[2]Mediciones!J37</f>
        <v>1.6822689096024417</v>
      </c>
      <c r="C27" s="121">
        <f>[2]Mediciones!AK37</f>
        <v>1.2780127801285319E-3</v>
      </c>
      <c r="D27" s="121">
        <f t="shared" si="0"/>
        <v>1.5401428536758496E-3</v>
      </c>
      <c r="E27" s="121">
        <f t="shared" si="1"/>
        <v>-2.6213007354731772E-4</v>
      </c>
    </row>
    <row r="28" spans="2:5" x14ac:dyDescent="0.45">
      <c r="B28" s="77">
        <f>[2]Mediciones!J38</f>
        <v>1.6483733962172045</v>
      </c>
      <c r="C28" s="121">
        <f>[2]Mediciones!AK38</f>
        <v>1.2380123801243302E-3</v>
      </c>
      <c r="D28" s="121">
        <f t="shared" si="0"/>
        <v>1.5977652264307527E-3</v>
      </c>
      <c r="E28" s="121">
        <f t="shared" si="1"/>
        <v>-3.5975284630642259E-4</v>
      </c>
    </row>
    <row r="29" spans="2:5" x14ac:dyDescent="0.45">
      <c r="B29" s="77">
        <f>[2]Mediciones!J39</f>
        <v>1.480677915463195</v>
      </c>
      <c r="C29" s="121">
        <f>[2]Mediciones!AK39</f>
        <v>1.8960189601884298E-3</v>
      </c>
      <c r="D29" s="121">
        <f t="shared" si="0"/>
        <v>1.8828475437125689E-3</v>
      </c>
      <c r="E29" s="121">
        <f t="shared" si="1"/>
        <v>1.3171416475860932E-5</v>
      </c>
    </row>
    <row r="30" spans="2:5" x14ac:dyDescent="0.45">
      <c r="B30" s="77">
        <f>[2]Mediciones!J40</f>
        <v>1.4904689597154233</v>
      </c>
      <c r="C30" s="121">
        <f>[2]Mediciones!AK40</f>
        <v>1.83601836018994E-3</v>
      </c>
      <c r="D30" s="121">
        <f t="shared" si="0"/>
        <v>1.8662027684837809E-3</v>
      </c>
      <c r="E30" s="121">
        <f t="shared" si="1"/>
        <v>-3.0184408293840951E-5</v>
      </c>
    </row>
    <row r="31" spans="2:5" x14ac:dyDescent="0.45">
      <c r="B31" s="77">
        <f>[2]Mediciones!J41</f>
        <v>1.5294344523239138</v>
      </c>
      <c r="C31" s="121">
        <f>[2]Mediciones!AK41</f>
        <v>1.4240142401433782E-3</v>
      </c>
      <c r="D31" s="121">
        <f t="shared" si="0"/>
        <v>1.7999614310493469E-3</v>
      </c>
      <c r="E31" s="121">
        <f t="shared" si="1"/>
        <v>-3.7594719090596872E-4</v>
      </c>
    </row>
    <row r="32" spans="2:5" x14ac:dyDescent="0.45">
      <c r="B32" s="77">
        <f>[2]Mediciones!J42</f>
        <v>1.5475074537777984</v>
      </c>
      <c r="C32" s="121">
        <f>[2]Mediciones!AK42</f>
        <v>1.6520165201640679E-3</v>
      </c>
      <c r="D32" s="121">
        <f t="shared" si="0"/>
        <v>1.769237328577743E-3</v>
      </c>
      <c r="E32" s="121">
        <f t="shared" si="1"/>
        <v>-1.1722080841367511E-4</v>
      </c>
    </row>
    <row r="33" spans="2:7" x14ac:dyDescent="0.45">
      <c r="B33" s="77">
        <f>[2]Mediciones!J49</f>
        <v>1.7772421994397172</v>
      </c>
      <c r="C33" s="121">
        <f>[2]Mediciones!AK49</f>
        <v>1.3240132401346459E-3</v>
      </c>
      <c r="D33" s="121">
        <f t="shared" si="0"/>
        <v>1.3786882609524813E-3</v>
      </c>
      <c r="E33" s="121">
        <f t="shared" si="1"/>
        <v>-5.4675020817835426E-5</v>
      </c>
    </row>
    <row r="34" spans="2:7" x14ac:dyDescent="0.45">
      <c r="B34" s="77">
        <f>[2]Mediciones!J50</f>
        <v>1.6951263354634258</v>
      </c>
      <c r="C34" s="121">
        <f>[2]Mediciones!AK50</f>
        <v>1.484014840148264E-3</v>
      </c>
      <c r="D34" s="121">
        <f t="shared" si="0"/>
        <v>1.5182852297121767E-3</v>
      </c>
      <c r="E34" s="121">
        <f t="shared" si="1"/>
        <v>-3.4270389563912686E-5</v>
      </c>
    </row>
    <row r="35" spans="2:7" x14ac:dyDescent="0.45">
      <c r="B35" s="77">
        <f>[2]Mediciones!J51</f>
        <v>1.6321784584194605</v>
      </c>
      <c r="C35" s="121">
        <f>[2]Mediciones!AK51</f>
        <v>1.5760157601505359E-3</v>
      </c>
      <c r="D35" s="121">
        <f t="shared" si="0"/>
        <v>1.6252966206869177E-3</v>
      </c>
      <c r="E35" s="121">
        <f t="shared" si="1"/>
        <v>-4.9280860536381806E-5</v>
      </c>
    </row>
    <row r="36" spans="2:7" x14ac:dyDescent="0.45">
      <c r="B36" s="77">
        <f>[2]Mediciones!J52</f>
        <v>1.6090048691339709</v>
      </c>
      <c r="C36" s="121">
        <f>[2]Mediciones!AK52</f>
        <v>1.686016860168494E-3</v>
      </c>
      <c r="D36" s="121">
        <f t="shared" si="0"/>
        <v>1.6646917224722498E-3</v>
      </c>
      <c r="E36" s="121">
        <f t="shared" si="1"/>
        <v>2.1325137696244154E-5</v>
      </c>
    </row>
    <row r="37" spans="2:7" x14ac:dyDescent="0.45">
      <c r="B37" s="77">
        <f>[2]Mediciones!J53</f>
        <v>1.6060302554528956</v>
      </c>
      <c r="C37" s="121">
        <f>[2]Mediciones!AK53</f>
        <v>1.9700197001942142E-3</v>
      </c>
      <c r="D37" s="121">
        <f t="shared" si="0"/>
        <v>1.6697485657300778E-3</v>
      </c>
      <c r="E37" s="121">
        <f t="shared" si="1"/>
        <v>3.002711344641364E-4</v>
      </c>
    </row>
    <row r="38" spans="2:7" x14ac:dyDescent="0.45">
      <c r="B38" s="77">
        <f>[2]Mediciones!J54</f>
        <v>1.6867190368361413</v>
      </c>
      <c r="C38" s="121">
        <f>[2]Mediciones!AK54</f>
        <v>1.4060140601390699E-3</v>
      </c>
      <c r="D38" s="121">
        <f t="shared" si="0"/>
        <v>1.5325776373785603E-3</v>
      </c>
      <c r="E38" s="121">
        <f t="shared" si="1"/>
        <v>-1.2656357723949047E-4</v>
      </c>
    </row>
    <row r="39" spans="2:7" x14ac:dyDescent="0.45">
      <c r="B39" s="77">
        <f>[2]Mediciones!J55</f>
        <v>1.678484887889131</v>
      </c>
      <c r="C39" s="121">
        <f>[2]Mediciones!AK55</f>
        <v>1.516015160152762E-3</v>
      </c>
      <c r="D39" s="121">
        <f t="shared" si="0"/>
        <v>1.5465756905884776E-3</v>
      </c>
      <c r="E39" s="121">
        <f t="shared" si="1"/>
        <v>-3.0560530435715539E-5</v>
      </c>
    </row>
    <row r="40" spans="2:7" x14ac:dyDescent="0.45">
      <c r="B40" s="77">
        <f>[2]Mediciones!J56</f>
        <v>1.601954608561813</v>
      </c>
      <c r="C40" s="121">
        <f>[2]Mediciones!AK56</f>
        <v>1.455014550145075E-3</v>
      </c>
      <c r="D40" s="121">
        <f t="shared" si="0"/>
        <v>1.6766771654449183E-3</v>
      </c>
      <c r="E40" s="121">
        <f t="shared" si="1"/>
        <v>-2.2166261529984327E-4</v>
      </c>
    </row>
    <row r="42" spans="2:7" x14ac:dyDescent="0.45">
      <c r="B42" s="6" t="s">
        <v>165</v>
      </c>
      <c r="D42" s="6">
        <f>_xlfn.STDEV.S(E25:E40)</f>
        <v>1.6545034349726103E-4</v>
      </c>
    </row>
    <row r="43" spans="2:7" x14ac:dyDescent="0.45">
      <c r="B43" s="6" t="s">
        <v>166</v>
      </c>
      <c r="D43" s="120">
        <v>0.95</v>
      </c>
    </row>
    <row r="44" spans="2:7" x14ac:dyDescent="0.45">
      <c r="B44" s="122" t="s">
        <v>167</v>
      </c>
      <c r="D44" s="6">
        <f>TINV((1-D43),16-1)</f>
        <v>2.1314495455597742</v>
      </c>
    </row>
    <row r="45" spans="2:7" x14ac:dyDescent="0.45">
      <c r="B45" s="6" t="s">
        <v>168</v>
      </c>
      <c r="D45" s="123">
        <f>AVERAGE(B25:B40)</f>
        <v>1.6304768146961777</v>
      </c>
    </row>
    <row r="46" spans="2:7" x14ac:dyDescent="0.45">
      <c r="B46" s="6" t="s">
        <v>169</v>
      </c>
      <c r="D46" s="123">
        <f>COUNT(B25:B40)-1</f>
        <v>15</v>
      </c>
    </row>
    <row r="48" spans="2:7" x14ac:dyDescent="0.45">
      <c r="B48" s="97" t="s">
        <v>161</v>
      </c>
      <c r="C48" s="97" t="s">
        <v>170</v>
      </c>
      <c r="D48" s="124" t="s">
        <v>171</v>
      </c>
      <c r="E48" s="97" t="s">
        <v>172</v>
      </c>
      <c r="F48" s="97" t="s">
        <v>173</v>
      </c>
      <c r="G48" s="97" t="s">
        <v>174</v>
      </c>
    </row>
    <row r="49" spans="2:13" x14ac:dyDescent="0.45">
      <c r="B49" s="125">
        <v>1.480677915463195</v>
      </c>
      <c r="C49" s="121">
        <f t="shared" ref="C49:C64" si="2">-0.0017*(B49) + 0.0044</f>
        <v>1.8828475437125689E-3</v>
      </c>
      <c r="D49" s="76">
        <f t="shared" ref="D49:D64" si="3" xml:space="preserve"> -0.0017179*(B49) + 0.0043297</f>
        <v>1.786043409025777E-3</v>
      </c>
      <c r="E49" s="77">
        <f t="shared" ref="E49:E64" si="4">(B49-$D$45)^2</f>
        <v>2.2439710211413281E-2</v>
      </c>
      <c r="F49" s="8">
        <f t="shared" ref="F49:F64" si="5">D49+($D$44*$D$42*(SQRT((1/$D$46)+((E49/($E$65))))))</f>
        <v>1.9672239125548834E-3</v>
      </c>
      <c r="G49" s="8">
        <f t="shared" ref="G49:G64" si="6">D49-($D$44*$D$42*(SQRT((1/$D$46)+((E49/($E$65))))))</f>
        <v>1.6048629054966704E-3</v>
      </c>
    </row>
    <row r="50" spans="2:13" x14ac:dyDescent="0.45">
      <c r="B50" s="125">
        <v>1.4904689597154233</v>
      </c>
      <c r="C50" s="121">
        <f t="shared" si="2"/>
        <v>1.8662027684837809E-3</v>
      </c>
      <c r="D50" s="76">
        <f t="shared" si="3"/>
        <v>1.7692233741048741E-3</v>
      </c>
      <c r="E50" s="77">
        <f t="shared" si="4"/>
        <v>1.9602199456311958E-2</v>
      </c>
      <c r="F50" s="8">
        <f t="shared" si="5"/>
        <v>1.9416293941242665E-3</v>
      </c>
      <c r="G50" s="8">
        <f t="shared" si="6"/>
        <v>1.5968173540854818E-3</v>
      </c>
    </row>
    <row r="51" spans="2:13" x14ac:dyDescent="0.45">
      <c r="B51" s="125">
        <v>1.5294344523239138</v>
      </c>
      <c r="C51" s="121">
        <f t="shared" si="2"/>
        <v>1.7999614310493469E-3</v>
      </c>
      <c r="D51" s="76">
        <f t="shared" si="3"/>
        <v>1.7022845543527478E-3</v>
      </c>
      <c r="E51" s="77">
        <f t="shared" si="4"/>
        <v>1.0209558993767878E-2</v>
      </c>
      <c r="F51" s="8">
        <f t="shared" si="5"/>
        <v>1.8417618161845084E-3</v>
      </c>
      <c r="G51" s="8">
        <f t="shared" si="6"/>
        <v>1.5628072925209873E-3</v>
      </c>
    </row>
    <row r="52" spans="2:13" x14ac:dyDescent="0.45">
      <c r="B52" s="125">
        <v>1.5475074537777984</v>
      </c>
      <c r="C52" s="121">
        <f t="shared" si="2"/>
        <v>1.769237328577743E-3</v>
      </c>
      <c r="D52" s="76">
        <f t="shared" si="3"/>
        <v>1.6712369451551195E-3</v>
      </c>
      <c r="E52" s="77">
        <f t="shared" si="4"/>
        <v>6.8839148512042786E-3</v>
      </c>
      <c r="F52" s="8">
        <f t="shared" si="5"/>
        <v>1.7970051508589225E-3</v>
      </c>
      <c r="G52" s="8">
        <f t="shared" si="6"/>
        <v>1.5454687394513165E-3</v>
      </c>
    </row>
    <row r="53" spans="2:13" x14ac:dyDescent="0.45">
      <c r="B53" s="125">
        <v>1.601954608561813</v>
      </c>
      <c r="C53" s="121">
        <f t="shared" si="2"/>
        <v>1.6766771654449183E-3</v>
      </c>
      <c r="D53" s="76">
        <f t="shared" si="3"/>
        <v>1.5777021779516611E-3</v>
      </c>
      <c r="E53" s="77">
        <f t="shared" si="4"/>
        <v>8.1351624277118707E-4</v>
      </c>
      <c r="F53" s="8">
        <f t="shared" si="5"/>
        <v>1.6735158373600246E-3</v>
      </c>
      <c r="G53" s="8">
        <f t="shared" si="6"/>
        <v>1.4818885185432975E-3</v>
      </c>
    </row>
    <row r="54" spans="2:13" x14ac:dyDescent="0.45">
      <c r="B54" s="125">
        <v>1.6060302554528956</v>
      </c>
      <c r="C54" s="121">
        <f t="shared" si="2"/>
        <v>1.6697485657300778E-3</v>
      </c>
      <c r="D54" s="76">
        <f t="shared" si="3"/>
        <v>1.5707006241574705E-3</v>
      </c>
      <c r="E54" s="77">
        <f t="shared" si="4"/>
        <v>5.9763425883530127E-4</v>
      </c>
      <c r="F54" s="8">
        <f t="shared" si="5"/>
        <v>1.6652744661973917E-3</v>
      </c>
      <c r="G54" s="8">
        <f t="shared" si="6"/>
        <v>1.4761267821175492E-3</v>
      </c>
    </row>
    <row r="55" spans="2:13" x14ac:dyDescent="0.45">
      <c r="B55" s="125">
        <v>1.6090048691339709</v>
      </c>
      <c r="C55" s="121">
        <f t="shared" si="2"/>
        <v>1.6646917224722498E-3</v>
      </c>
      <c r="D55" s="76">
        <f t="shared" si="3"/>
        <v>1.5655905353147508E-3</v>
      </c>
      <c r="E55" s="77">
        <f t="shared" si="4"/>
        <v>4.6104444622637115E-4</v>
      </c>
      <c r="F55" s="8">
        <f t="shared" si="5"/>
        <v>1.6593714718803143E-3</v>
      </c>
      <c r="G55" s="8">
        <f t="shared" si="6"/>
        <v>1.4718095987491873E-3</v>
      </c>
    </row>
    <row r="56" spans="2:13" x14ac:dyDescent="0.45">
      <c r="B56" s="125">
        <v>1.6321784584194605</v>
      </c>
      <c r="C56" s="121">
        <f t="shared" si="2"/>
        <v>1.6252966206869177E-3</v>
      </c>
      <c r="D56" s="76">
        <f t="shared" si="3"/>
        <v>1.5257806262812083E-3</v>
      </c>
      <c r="E56" s="77">
        <f t="shared" si="4"/>
        <v>2.8955913609879308E-6</v>
      </c>
      <c r="F56" s="8">
        <f t="shared" si="5"/>
        <v>1.6168516058543945E-3</v>
      </c>
      <c r="G56" s="8">
        <f t="shared" si="6"/>
        <v>1.4347096467080221E-3</v>
      </c>
    </row>
    <row r="57" spans="2:13" x14ac:dyDescent="0.45">
      <c r="B57" s="125">
        <v>1.6483733962172045</v>
      </c>
      <c r="C57" s="121">
        <f t="shared" si="2"/>
        <v>1.5977652264307527E-3</v>
      </c>
      <c r="D57" s="76">
        <f t="shared" si="3"/>
        <v>1.4979593426384641E-3</v>
      </c>
      <c r="E57" s="77">
        <f t="shared" si="4"/>
        <v>3.202876301387579E-4</v>
      </c>
      <c r="F57" s="8">
        <f t="shared" si="5"/>
        <v>1.5909161084992399E-3</v>
      </c>
      <c r="G57" s="8">
        <f t="shared" si="6"/>
        <v>1.4050025767776884E-3</v>
      </c>
    </row>
    <row r="58" spans="2:13" x14ac:dyDescent="0.45">
      <c r="B58" s="125">
        <v>1.6584291622044007</v>
      </c>
      <c r="C58" s="121">
        <f t="shared" si="2"/>
        <v>1.5806704242525191E-3</v>
      </c>
      <c r="D58" s="76">
        <f t="shared" si="3"/>
        <v>1.4806845422490594E-3</v>
      </c>
      <c r="E58" s="77">
        <f t="shared" si="4"/>
        <v>7.8133373122046411E-4</v>
      </c>
      <c r="F58" s="8">
        <f t="shared" si="5"/>
        <v>1.5763143959348482E-3</v>
      </c>
      <c r="G58" s="8">
        <f t="shared" si="6"/>
        <v>1.3850546885632706E-3</v>
      </c>
    </row>
    <row r="59" spans="2:13" x14ac:dyDescent="0.45">
      <c r="B59" s="125">
        <v>1.678484887889131</v>
      </c>
      <c r="C59" s="121">
        <f t="shared" si="2"/>
        <v>1.5465756905884776E-3</v>
      </c>
      <c r="D59" s="76">
        <f t="shared" si="3"/>
        <v>1.4462308110952614E-3</v>
      </c>
      <c r="E59" s="77">
        <f t="shared" si="4"/>
        <v>2.3047750916999617E-3</v>
      </c>
      <c r="F59" s="8">
        <f t="shared" si="5"/>
        <v>1.5502058191937851E-3</v>
      </c>
      <c r="G59" s="8">
        <f t="shared" si="6"/>
        <v>1.3422558029967378E-3</v>
      </c>
    </row>
    <row r="60" spans="2:13" x14ac:dyDescent="0.45">
      <c r="B60" s="125">
        <v>1.6822689096024417</v>
      </c>
      <c r="C60" s="121">
        <f t="shared" si="2"/>
        <v>1.5401428536758496E-3</v>
      </c>
      <c r="D60" s="76">
        <f t="shared" si="3"/>
        <v>1.4397302401939652E-3</v>
      </c>
      <c r="E60" s="77">
        <f t="shared" si="4"/>
        <v>2.6824210947794594E-3</v>
      </c>
      <c r="F60" s="8">
        <f t="shared" si="5"/>
        <v>1.5456723050017778E-3</v>
      </c>
      <c r="G60" s="8">
        <f t="shared" si="6"/>
        <v>1.3337881753861525E-3</v>
      </c>
      <c r="M60"/>
    </row>
    <row r="61" spans="2:13" x14ac:dyDescent="0.45">
      <c r="B61" s="125">
        <v>1.6867190368361413</v>
      </c>
      <c r="C61" s="121">
        <f t="shared" si="2"/>
        <v>1.5325776373785603E-3</v>
      </c>
      <c r="D61" s="76">
        <f t="shared" si="3"/>
        <v>1.4320853666191925E-3</v>
      </c>
      <c r="E61" s="77">
        <f t="shared" si="4"/>
        <v>3.1631875512410186E-3</v>
      </c>
      <c r="F61" s="8">
        <f t="shared" si="5"/>
        <v>1.5404799788596786E-3</v>
      </c>
      <c r="G61" s="8">
        <f t="shared" si="6"/>
        <v>1.3236907543787064E-3</v>
      </c>
    </row>
    <row r="62" spans="2:13" x14ac:dyDescent="0.45">
      <c r="B62" s="125">
        <v>1.6951263354634258</v>
      </c>
      <c r="C62" s="121">
        <f t="shared" si="2"/>
        <v>1.5182852297121767E-3</v>
      </c>
      <c r="D62" s="76">
        <f t="shared" si="3"/>
        <v>1.4176424683073805E-3</v>
      </c>
      <c r="E62" s="77">
        <f t="shared" si="4"/>
        <v>4.1795605354348524E-3</v>
      </c>
      <c r="F62" s="8">
        <f t="shared" si="5"/>
        <v>1.5310474766830075E-3</v>
      </c>
      <c r="G62" s="8">
        <f t="shared" si="6"/>
        <v>1.3042374599317535E-3</v>
      </c>
    </row>
    <row r="63" spans="2:13" x14ac:dyDescent="0.45">
      <c r="B63" s="125">
        <v>1.763728134637909</v>
      </c>
      <c r="C63" s="121">
        <f t="shared" si="2"/>
        <v>1.401662171115555E-3</v>
      </c>
      <c r="D63" s="76">
        <f t="shared" si="3"/>
        <v>1.2997914375055355E-3</v>
      </c>
      <c r="E63" s="77">
        <f t="shared" si="4"/>
        <v>1.7755914266213649E-2</v>
      </c>
      <c r="F63" s="8">
        <f t="shared" si="5"/>
        <v>1.4662399411019475E-3</v>
      </c>
      <c r="G63" s="8">
        <f t="shared" si="6"/>
        <v>1.1333429339091235E-3</v>
      </c>
    </row>
    <row r="64" spans="2:13" x14ac:dyDescent="0.45">
      <c r="B64" s="125">
        <v>1.7772421994397172</v>
      </c>
      <c r="C64" s="121">
        <f t="shared" si="2"/>
        <v>1.3786882609524813E-3</v>
      </c>
      <c r="D64" s="76">
        <f t="shared" si="3"/>
        <v>1.2765756255825093E-3</v>
      </c>
      <c r="E64" s="77">
        <f t="shared" si="4"/>
        <v>2.1540078158919181E-2</v>
      </c>
      <c r="F64" s="8">
        <f t="shared" si="5"/>
        <v>1.4550208990750887E-3</v>
      </c>
      <c r="G64" s="8">
        <f t="shared" si="6"/>
        <v>1.0981303520899298E-3</v>
      </c>
    </row>
    <row r="65" spans="2:15" x14ac:dyDescent="0.45">
      <c r="B65" s="123"/>
      <c r="E65" s="121">
        <f>SUM(E49:E64)</f>
        <v>0.11373803211153857</v>
      </c>
    </row>
    <row r="66" spans="2:15" x14ac:dyDescent="0.45">
      <c r="B66" s="123"/>
    </row>
    <row r="67" spans="2:15" x14ac:dyDescent="0.45">
      <c r="B67" s="123"/>
      <c r="M67" s="8"/>
      <c r="N67" s="28" t="s">
        <v>8</v>
      </c>
      <c r="O67" s="28" t="s">
        <v>215</v>
      </c>
    </row>
    <row r="68" spans="2:15" x14ac:dyDescent="0.45">
      <c r="E68" s="144" t="s">
        <v>219</v>
      </c>
      <c r="F68" s="144"/>
      <c r="G68" s="8" t="s">
        <v>8</v>
      </c>
      <c r="M68" s="28" t="s">
        <v>175</v>
      </c>
      <c r="N68" s="9">
        <v>1.6211000000000001E-3</v>
      </c>
      <c r="O68" s="8">
        <v>1.7192063529375099</v>
      </c>
    </row>
    <row r="69" spans="2:15" x14ac:dyDescent="0.45">
      <c r="E69" s="8"/>
      <c r="F69" s="8">
        <v>1.6133722601507832</v>
      </c>
      <c r="G69" s="8">
        <v>1.4779999999999999E-3</v>
      </c>
      <c r="M69" s="28" t="s">
        <v>176</v>
      </c>
      <c r="N69" s="9">
        <v>1.7334E-3</v>
      </c>
      <c r="O69" s="8">
        <v>1.5841554431297693</v>
      </c>
    </row>
    <row r="70" spans="2:15" x14ac:dyDescent="0.45">
      <c r="F70" s="6" t="s">
        <v>220</v>
      </c>
      <c r="G70" s="6">
        <f>-0.0017*F69+0.0044</f>
        <v>1.6572671577436688E-3</v>
      </c>
      <c r="M70" s="28" t="s">
        <v>177</v>
      </c>
      <c r="N70" s="9">
        <v>1.5820999999999999E-3</v>
      </c>
      <c r="O70" s="8">
        <v>1.6813938352823694</v>
      </c>
    </row>
    <row r="71" spans="2:15" x14ac:dyDescent="0.45">
      <c r="M71" s="28" t="s">
        <v>178</v>
      </c>
      <c r="N71" s="9">
        <v>1.4258000000000001E-3</v>
      </c>
      <c r="O71" s="8">
        <v>1.698312574889731</v>
      </c>
    </row>
    <row r="72" spans="2:15" x14ac:dyDescent="0.45">
      <c r="M72" s="28" t="s">
        <v>179</v>
      </c>
      <c r="N72" s="9">
        <v>1.6161999999999999E-3</v>
      </c>
      <c r="O72" s="8">
        <v>1.7387618292327622</v>
      </c>
    </row>
    <row r="73" spans="2:15" x14ac:dyDescent="0.45">
      <c r="M73" s="28" t="s">
        <v>180</v>
      </c>
      <c r="N73" s="9">
        <v>1.9434000000000001E-3</v>
      </c>
      <c r="O73" s="8">
        <v>1.6244084374750853</v>
      </c>
    </row>
    <row r="74" spans="2:15" x14ac:dyDescent="0.45">
      <c r="M74" s="28" t="s">
        <v>181</v>
      </c>
      <c r="N74" s="9">
        <v>1.9688000000000002E-3</v>
      </c>
      <c r="O74" s="8">
        <v>1.6557085186903659</v>
      </c>
    </row>
    <row r="75" spans="2:15" x14ac:dyDescent="0.45">
      <c r="M75" s="28" t="s">
        <v>182</v>
      </c>
      <c r="N75" s="9">
        <v>2.6221E-3</v>
      </c>
      <c r="O75" s="8">
        <v>1.7158206957245821</v>
      </c>
    </row>
    <row r="76" spans="2:15" x14ac:dyDescent="0.45">
      <c r="M76" s="28" t="s">
        <v>183</v>
      </c>
      <c r="N76" s="9">
        <v>1.5938E-3</v>
      </c>
      <c r="O76" s="8">
        <v>1.6803508768409445</v>
      </c>
    </row>
    <row r="77" spans="2:15" x14ac:dyDescent="0.45">
      <c r="M77" s="28" t="s">
        <v>184</v>
      </c>
      <c r="N77" s="9">
        <v>1.6094E-3</v>
      </c>
      <c r="O77" s="8">
        <v>1.7011513682583603</v>
      </c>
    </row>
    <row r="78" spans="2:15" x14ac:dyDescent="0.45">
      <c r="M78" s="28" t="s">
        <v>185</v>
      </c>
      <c r="N78" s="9">
        <v>2.3281999999999999E-3</v>
      </c>
      <c r="O78" s="8">
        <v>1.5931594833061955</v>
      </c>
    </row>
    <row r="79" spans="2:15" x14ac:dyDescent="0.45">
      <c r="H79" s="6" t="s">
        <v>224</v>
      </c>
      <c r="M79" s="28" t="s">
        <v>186</v>
      </c>
      <c r="N79" s="9">
        <v>1.9189999999999999E-3</v>
      </c>
      <c r="O79" s="8">
        <v>1.735227625567771</v>
      </c>
    </row>
    <row r="80" spans="2:15" x14ac:dyDescent="0.45">
      <c r="H80" s="6" t="s">
        <v>225</v>
      </c>
      <c r="M80" s="28" t="s">
        <v>187</v>
      </c>
      <c r="N80" s="9">
        <v>2.3340000000000001E-3</v>
      </c>
      <c r="O80" s="8">
        <v>1.6758955089337426</v>
      </c>
    </row>
    <row r="81" spans="8:15" x14ac:dyDescent="0.45">
      <c r="H81" s="6" t="s">
        <v>226</v>
      </c>
      <c r="M81" s="28" t="s">
        <v>188</v>
      </c>
      <c r="N81" s="9">
        <v>1.709E-3</v>
      </c>
      <c r="O81" s="8">
        <v>1.7058170171806979</v>
      </c>
    </row>
    <row r="82" spans="8:15" x14ac:dyDescent="0.45">
      <c r="M82" s="28" t="s">
        <v>189</v>
      </c>
      <c r="N82" s="9">
        <v>1.6992999999999999E-3</v>
      </c>
      <c r="O82" s="8">
        <v>1.5551021015538951</v>
      </c>
    </row>
    <row r="83" spans="8:15" x14ac:dyDescent="0.45">
      <c r="M83" s="28" t="s">
        <v>190</v>
      </c>
      <c r="N83" s="9">
        <v>1.4844000000000001E-3</v>
      </c>
      <c r="O83" s="8">
        <v>1.7236636902406557</v>
      </c>
    </row>
  </sheetData>
  <mergeCells count="1">
    <mergeCell ref="E68:F68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23106-9AF3-49CB-B4E4-55CA738C12AB}">
  <dimension ref="A2:AO34"/>
  <sheetViews>
    <sheetView topLeftCell="Z1" zoomScale="79" workbookViewId="0">
      <selection activeCell="AG22" sqref="AG22"/>
    </sheetView>
  </sheetViews>
  <sheetFormatPr defaultRowHeight="14.25" x14ac:dyDescent="0.45"/>
  <cols>
    <col min="1" max="1" width="9.06640625" style="6"/>
    <col min="2" max="2" width="12.59765625" style="6" bestFit="1" customWidth="1"/>
    <col min="3" max="3" width="8.1328125" style="6" bestFit="1" customWidth="1"/>
    <col min="4" max="4" width="11.3984375" style="6" hidden="1" customWidth="1"/>
    <col min="5" max="5" width="10.73046875" style="6" hidden="1" customWidth="1"/>
    <col min="6" max="6" width="13.06640625" style="6" bestFit="1" customWidth="1"/>
    <col min="7" max="7" width="9.06640625" style="6"/>
    <col min="8" max="8" width="14.46484375" style="6" bestFit="1" customWidth="1"/>
    <col min="9" max="9" width="11.6640625" style="6" bestFit="1" customWidth="1"/>
    <col min="10" max="10" width="9.06640625" style="6"/>
    <col min="11" max="11" width="7.9296875" style="6" bestFit="1" customWidth="1"/>
    <col min="12" max="12" width="9.796875" style="6" bestFit="1" customWidth="1"/>
    <col min="13" max="13" width="10.46484375" style="6" bestFit="1" customWidth="1"/>
    <col min="14" max="14" width="12.73046875" style="6" bestFit="1" customWidth="1"/>
    <col min="15" max="15" width="9.06640625" style="6"/>
    <col min="16" max="16" width="10.19921875" style="6" bestFit="1" customWidth="1"/>
    <col min="17" max="18" width="9.06640625" style="6"/>
    <col min="19" max="20" width="9.1328125" style="6" bestFit="1" customWidth="1"/>
    <col min="21" max="21" width="9.06640625" style="6"/>
    <col min="22" max="23" width="12.796875" style="6" bestFit="1" customWidth="1"/>
    <col min="24" max="25" width="9.796875" style="6" bestFit="1" customWidth="1"/>
    <col min="26" max="27" width="12.796875" style="6" bestFit="1" customWidth="1"/>
    <col min="28" max="28" width="11.73046875" style="6" bestFit="1" customWidth="1"/>
    <col min="29" max="30" width="9.796875" style="6" bestFit="1" customWidth="1"/>
    <col min="31" max="34" width="12.796875" style="6" bestFit="1" customWidth="1"/>
    <col min="35" max="35" width="9.1328125" style="6" bestFit="1" customWidth="1"/>
    <col min="36" max="36" width="12.796875" style="6" bestFit="1" customWidth="1"/>
    <col min="37" max="37" width="11.796875" style="6" bestFit="1" customWidth="1"/>
    <col min="38" max="38" width="9.06640625" style="6"/>
    <col min="39" max="39" width="9.265625" style="6" bestFit="1" customWidth="1"/>
    <col min="40" max="40" width="9.1328125" style="6" bestFit="1" customWidth="1"/>
    <col min="41" max="16384" width="9.06640625" style="6"/>
  </cols>
  <sheetData>
    <row r="2" spans="1:41" x14ac:dyDescent="0.45">
      <c r="A2" s="8"/>
      <c r="B2" s="97" t="s">
        <v>191</v>
      </c>
      <c r="C2" s="97" t="s">
        <v>86</v>
      </c>
      <c r="D2" s="97" t="s">
        <v>192</v>
      </c>
      <c r="E2" s="97" t="s">
        <v>60</v>
      </c>
      <c r="F2" s="97" t="s">
        <v>193</v>
      </c>
      <c r="G2" s="97" t="s">
        <v>194</v>
      </c>
      <c r="H2" s="97" t="s">
        <v>195</v>
      </c>
      <c r="I2" s="97" t="s">
        <v>196</v>
      </c>
      <c r="J2" s="28" t="s">
        <v>197</v>
      </c>
      <c r="K2" s="28" t="s">
        <v>60</v>
      </c>
      <c r="L2" s="28" t="s">
        <v>198</v>
      </c>
      <c r="M2" s="28" t="s">
        <v>199</v>
      </c>
      <c r="N2" s="28" t="s">
        <v>200</v>
      </c>
      <c r="P2" s="97" t="s">
        <v>191</v>
      </c>
      <c r="Q2" s="97" t="s">
        <v>61</v>
      </c>
      <c r="R2" s="97" t="s">
        <v>201</v>
      </c>
      <c r="S2" s="97" t="s">
        <v>202</v>
      </c>
      <c r="T2" s="97" t="s">
        <v>60</v>
      </c>
      <c r="V2" s="135" t="s">
        <v>175</v>
      </c>
      <c r="W2" s="135" t="s">
        <v>183</v>
      </c>
      <c r="X2" s="135" t="s">
        <v>186</v>
      </c>
      <c r="Y2" s="135" t="s">
        <v>187</v>
      </c>
      <c r="Z2" s="135" t="s">
        <v>179</v>
      </c>
      <c r="AA2" s="135" t="s">
        <v>178</v>
      </c>
      <c r="AB2" s="135" t="s">
        <v>190</v>
      </c>
      <c r="AC2" s="135" t="s">
        <v>182</v>
      </c>
      <c r="AD2" s="135" t="s">
        <v>177</v>
      </c>
      <c r="AE2" s="135" t="s">
        <v>181</v>
      </c>
      <c r="AF2" s="135" t="s">
        <v>184</v>
      </c>
      <c r="AG2" s="135" t="s">
        <v>188</v>
      </c>
      <c r="AH2" s="135" t="s">
        <v>176</v>
      </c>
      <c r="AI2" s="135" t="s">
        <v>180</v>
      </c>
      <c r="AJ2" s="135" t="s">
        <v>189</v>
      </c>
      <c r="AK2" s="135" t="s">
        <v>185</v>
      </c>
      <c r="AN2" s="6" t="s">
        <v>203</v>
      </c>
    </row>
    <row r="3" spans="1:41" x14ac:dyDescent="0.45">
      <c r="A3" s="8"/>
      <c r="B3" s="97"/>
      <c r="C3" s="97"/>
      <c r="D3" s="97"/>
      <c r="E3" s="97"/>
      <c r="F3" s="97" t="s">
        <v>204</v>
      </c>
      <c r="G3" s="97" t="s">
        <v>204</v>
      </c>
      <c r="H3" s="97" t="s">
        <v>204</v>
      </c>
      <c r="I3" s="97" t="s">
        <v>204</v>
      </c>
      <c r="J3" s="28"/>
      <c r="K3" s="97" t="s">
        <v>88</v>
      </c>
      <c r="L3" s="28" t="s">
        <v>205</v>
      </c>
      <c r="M3" s="8" t="s">
        <v>206</v>
      </c>
      <c r="N3" s="8"/>
      <c r="P3" s="9" t="s">
        <v>207</v>
      </c>
      <c r="Q3" s="8">
        <v>3576.8</v>
      </c>
      <c r="R3" s="8">
        <v>101.16</v>
      </c>
      <c r="S3" s="8">
        <v>116.52</v>
      </c>
      <c r="T3" s="8">
        <f>(((R3/10)^2)*PI()/4)*(S3/10)</f>
        <v>936.5004678361762</v>
      </c>
      <c r="V3" s="8">
        <v>1.6796999999999999E-3</v>
      </c>
      <c r="W3" s="8">
        <v>1.6406999999999999E-3</v>
      </c>
      <c r="X3" s="8">
        <v>1.4649000000000001E-3</v>
      </c>
      <c r="Y3" s="8">
        <v>2.4023999999999998E-3</v>
      </c>
      <c r="Z3" s="8">
        <v>1.6406999999999999E-3</v>
      </c>
      <c r="AA3" s="8">
        <v>1.3672000000000001E-3</v>
      </c>
      <c r="AB3" s="8">
        <v>1.6211000000000001E-3</v>
      </c>
      <c r="AC3" s="8">
        <v>2.7734999999999999E-3</v>
      </c>
      <c r="AD3" s="8">
        <v>1.6015999999999999E-3</v>
      </c>
      <c r="AE3" s="8">
        <v>1.9727E-3</v>
      </c>
      <c r="AF3" s="8">
        <v>1.5039000000000001E-3</v>
      </c>
      <c r="AG3" s="8">
        <v>1.7382999999999999E-3</v>
      </c>
      <c r="AH3" s="8">
        <v>1.8163999999999999E-3</v>
      </c>
      <c r="AI3" s="8">
        <v>2.1094E-3</v>
      </c>
      <c r="AJ3" s="8">
        <v>1.7968999999999999E-3</v>
      </c>
      <c r="AK3" s="8">
        <v>2.5390999999999999E-3</v>
      </c>
      <c r="AN3" s="6">
        <v>1.6211000000000001E-3</v>
      </c>
    </row>
    <row r="4" spans="1:41" x14ac:dyDescent="0.45">
      <c r="A4" s="129">
        <v>1</v>
      </c>
      <c r="B4" s="9" t="s">
        <v>207</v>
      </c>
      <c r="C4" s="9">
        <v>29</v>
      </c>
      <c r="D4" s="9"/>
      <c r="E4" s="9"/>
      <c r="F4" s="9">
        <v>5451.4</v>
      </c>
      <c r="G4" s="9">
        <v>17.559999999999999</v>
      </c>
      <c r="H4" s="9">
        <v>62.17</v>
      </c>
      <c r="I4" s="9">
        <v>56.31</v>
      </c>
      <c r="J4" s="130">
        <f>(H4-I4)/(I4-G4)</f>
        <v>0.15122580645161288</v>
      </c>
      <c r="K4" s="131">
        <f>LOOKUP(B4,$P$3:$P$9,$T$3:$T$9)</f>
        <v>936.5004678361762</v>
      </c>
      <c r="L4" s="132">
        <f>F4-LOOKUP(B4,$P$3:$P$9,$Q$3:$Q$9)</f>
        <v>1874.5999999999995</v>
      </c>
      <c r="M4" s="133">
        <f>L4/K4</f>
        <v>2.001707489085768</v>
      </c>
      <c r="N4" s="133">
        <f>M4/(1+J4)</f>
        <v>1.7387618292327622</v>
      </c>
      <c r="O4" s="6">
        <v>1.7387618292327622</v>
      </c>
      <c r="P4" s="9" t="s">
        <v>208</v>
      </c>
      <c r="Q4" s="8">
        <v>3581.6</v>
      </c>
      <c r="R4" s="8">
        <v>101.4</v>
      </c>
      <c r="S4" s="8">
        <v>116.63</v>
      </c>
      <c r="T4" s="8">
        <f t="shared" ref="T4:T9" si="0">(((R4/10)^2)*PI()/4)*(S4/10)</f>
        <v>941.83769248969872</v>
      </c>
      <c r="V4" s="8">
        <v>1.6015999999999999E-3</v>
      </c>
      <c r="W4" s="8">
        <v>1.5625000000000001E-3</v>
      </c>
      <c r="X4" s="8">
        <v>2.1094E-3</v>
      </c>
      <c r="Y4" s="8">
        <v>2.4415000000000001E-3</v>
      </c>
      <c r="Z4" s="8">
        <v>1.6406999999999999E-3</v>
      </c>
      <c r="AA4" s="8">
        <v>1.4258000000000001E-3</v>
      </c>
      <c r="AB4" s="8">
        <v>1.4649000000000001E-3</v>
      </c>
      <c r="AC4" s="8">
        <v>2.5782000000000001E-3</v>
      </c>
      <c r="AD4" s="8">
        <v>1.4453000000000001E-3</v>
      </c>
      <c r="AE4" s="8">
        <v>1.9727E-3</v>
      </c>
      <c r="AF4" s="8">
        <v>1.6406999999999999E-3</v>
      </c>
      <c r="AG4" s="8">
        <v>1.7187999999999999E-3</v>
      </c>
      <c r="AH4" s="8">
        <v>1.7382999999999999E-3</v>
      </c>
      <c r="AI4" s="8">
        <v>1.8946E-3</v>
      </c>
      <c r="AJ4" s="8">
        <v>1.6992999999999999E-3</v>
      </c>
      <c r="AK4" s="8">
        <v>2.2656999999999998E-3</v>
      </c>
      <c r="AN4" s="6">
        <v>1.7334E-3</v>
      </c>
    </row>
    <row r="5" spans="1:41" x14ac:dyDescent="0.45">
      <c r="A5" s="8">
        <v>2</v>
      </c>
      <c r="B5" s="9" t="s">
        <v>208</v>
      </c>
      <c r="C5" s="9">
        <v>29</v>
      </c>
      <c r="D5" s="9"/>
      <c r="E5" s="9"/>
      <c r="F5" s="9">
        <v>5363.5</v>
      </c>
      <c r="G5" s="9">
        <v>17.88</v>
      </c>
      <c r="H5" s="9">
        <v>55.01</v>
      </c>
      <c r="I5" s="9">
        <v>51.21</v>
      </c>
      <c r="J5" s="130">
        <f t="shared" ref="J5:J19" si="1">(H5-I5)/(I5-G5)</f>
        <v>0.11401140114011393</v>
      </c>
      <c r="K5" s="131">
        <f t="shared" ref="K5:K19" si="2">LOOKUP(B5,$P$3:$P$9,$T$3:$T$9)</f>
        <v>941.83769248969872</v>
      </c>
      <c r="L5" s="132">
        <f t="shared" ref="L5:L19" si="3">F5-LOOKUP(B5,$P$3:$P$9,$Q$3:$Q$9)</f>
        <v>1781.9</v>
      </c>
      <c r="M5" s="133">
        <f t="shared" ref="M5:M19" si="4">L5/K5</f>
        <v>1.8919395711267837</v>
      </c>
      <c r="N5" s="133">
        <f t="shared" ref="N5:N19" si="5">M5/(1+J5)</f>
        <v>1.698312574889731</v>
      </c>
      <c r="O5" s="6">
        <v>1.698312574889731</v>
      </c>
      <c r="P5" s="9" t="s">
        <v>209</v>
      </c>
      <c r="Q5" s="8">
        <v>3838.4</v>
      </c>
      <c r="R5" s="8"/>
      <c r="S5" s="8"/>
      <c r="T5" s="8">
        <f>AVERAGE(T3:T4,T7,T9)</f>
        <v>942.35881995015461</v>
      </c>
      <c r="V5" s="8">
        <v>1.6406999999999999E-3</v>
      </c>
      <c r="W5" s="8">
        <v>1.6211000000000001E-3</v>
      </c>
      <c r="X5" s="8">
        <v>2.1289E-3</v>
      </c>
      <c r="Y5" s="8">
        <v>2.3633E-3</v>
      </c>
      <c r="Z5" s="8">
        <v>1.6211000000000001E-3</v>
      </c>
      <c r="AA5" s="8">
        <v>1.4844000000000001E-3</v>
      </c>
      <c r="AB5" s="8">
        <v>1.4063000000000001E-3</v>
      </c>
      <c r="AC5" s="8">
        <v>2.5977000000000001E-3</v>
      </c>
      <c r="AD5" s="8">
        <v>1.4453000000000001E-3</v>
      </c>
      <c r="AE5" s="8">
        <v>1.9727E-3</v>
      </c>
      <c r="AF5" s="8">
        <v>1.6601999999999999E-3</v>
      </c>
      <c r="AG5" s="8">
        <v>1.6992999999999999E-3</v>
      </c>
      <c r="AH5" s="8">
        <v>1.6992999999999999E-3</v>
      </c>
      <c r="AI5" s="8">
        <v>1.8749999999999999E-3</v>
      </c>
      <c r="AJ5" s="8">
        <v>1.6406999999999999E-3</v>
      </c>
      <c r="AK5" s="8">
        <v>2.3243000000000001E-3</v>
      </c>
      <c r="AN5" s="6">
        <v>1.5820999999999999E-3</v>
      </c>
    </row>
    <row r="6" spans="1:41" x14ac:dyDescent="0.45">
      <c r="A6" s="129">
        <v>3</v>
      </c>
      <c r="B6" s="9" t="s">
        <v>209</v>
      </c>
      <c r="C6" s="9">
        <v>29</v>
      </c>
      <c r="D6" s="9"/>
      <c r="E6" s="9"/>
      <c r="F6" s="9">
        <v>5672.4</v>
      </c>
      <c r="G6" s="9">
        <v>17.350000000000001</v>
      </c>
      <c r="H6" s="9">
        <v>52.16</v>
      </c>
      <c r="I6" s="9">
        <v>48.18</v>
      </c>
      <c r="J6" s="130">
        <f t="shared" si="1"/>
        <v>0.12909503730132979</v>
      </c>
      <c r="K6" s="131">
        <f t="shared" si="2"/>
        <v>942.35881995015461</v>
      </c>
      <c r="L6" s="132">
        <f t="shared" si="3"/>
        <v>1833.9999999999995</v>
      </c>
      <c r="M6" s="133">
        <f t="shared" si="4"/>
        <v>1.9461801186272207</v>
      </c>
      <c r="N6" s="133">
        <f t="shared" si="5"/>
        <v>1.7236636902406557</v>
      </c>
      <c r="O6" s="6">
        <v>1.7236636902406557</v>
      </c>
      <c r="P6" s="9" t="s">
        <v>210</v>
      </c>
      <c r="Q6" s="8">
        <v>3573</v>
      </c>
      <c r="R6" s="8">
        <v>101.5</v>
      </c>
      <c r="S6" s="8">
        <v>117.45</v>
      </c>
      <c r="T6" s="8">
        <f t="shared" si="0"/>
        <v>950.33119847976718</v>
      </c>
      <c r="V6" s="8">
        <v>1.5625000000000001E-3</v>
      </c>
      <c r="W6" s="8">
        <v>1.6406999999999999E-3</v>
      </c>
      <c r="X6" s="8">
        <v>1.9727E-3</v>
      </c>
      <c r="Y6" s="8">
        <v>2.1289E-3</v>
      </c>
      <c r="Z6" s="8">
        <v>1.5625000000000001E-3</v>
      </c>
      <c r="AA6" s="8">
        <v>1.4258000000000001E-3</v>
      </c>
      <c r="AB6" s="8">
        <v>1.4453000000000001E-3</v>
      </c>
      <c r="AC6" s="8">
        <v>2.5390999999999999E-3</v>
      </c>
      <c r="AD6" s="8">
        <v>1.836E-3</v>
      </c>
      <c r="AE6" s="8">
        <v>1.9532E-3</v>
      </c>
      <c r="AF6" s="8">
        <v>1.6211000000000001E-3</v>
      </c>
      <c r="AG6" s="8">
        <v>1.6796999999999999E-3</v>
      </c>
      <c r="AH6" s="8">
        <v>1.6796999999999999E-3</v>
      </c>
      <c r="AI6" s="8">
        <v>1.8946E-3</v>
      </c>
      <c r="AJ6" s="8">
        <v>1.6601999999999999E-3</v>
      </c>
      <c r="AK6" s="8">
        <v>2.4415000000000001E-3</v>
      </c>
      <c r="AN6" s="6">
        <v>1.4258000000000001E-3</v>
      </c>
    </row>
    <row r="7" spans="1:41" x14ac:dyDescent="0.45">
      <c r="A7" s="8">
        <v>4</v>
      </c>
      <c r="B7" s="9" t="s">
        <v>210</v>
      </c>
      <c r="C7" s="9">
        <v>29</v>
      </c>
      <c r="D7" s="9"/>
      <c r="E7" s="9"/>
      <c r="F7" s="9">
        <v>5433.8</v>
      </c>
      <c r="G7" s="9">
        <v>17.079999999999998</v>
      </c>
      <c r="H7" s="9">
        <v>58.79</v>
      </c>
      <c r="I7" s="9">
        <v>53.63</v>
      </c>
      <c r="J7" s="130">
        <f t="shared" si="1"/>
        <v>0.14117647058823518</v>
      </c>
      <c r="K7" s="131">
        <f t="shared" si="2"/>
        <v>950.33119847976718</v>
      </c>
      <c r="L7" s="132">
        <f t="shared" si="3"/>
        <v>1860.8000000000002</v>
      </c>
      <c r="M7" s="133">
        <f t="shared" si="4"/>
        <v>1.9580542057092289</v>
      </c>
      <c r="N7" s="133">
        <f t="shared" si="5"/>
        <v>1.7158206957245821</v>
      </c>
      <c r="O7" s="6">
        <v>1.7158206957245821</v>
      </c>
      <c r="P7" s="9" t="s">
        <v>211</v>
      </c>
      <c r="Q7" s="8">
        <v>3577.8</v>
      </c>
      <c r="R7" s="8">
        <v>101.45</v>
      </c>
      <c r="S7" s="8">
        <v>116.58</v>
      </c>
      <c r="T7" s="8">
        <f t="shared" si="0"/>
        <v>942.36258558837994</v>
      </c>
      <c r="V7" s="8"/>
      <c r="W7" s="8">
        <v>1.5039000000000001E-3</v>
      </c>
      <c r="X7" s="8"/>
      <c r="Y7" s="8"/>
      <c r="Z7" s="8"/>
      <c r="AA7" s="8"/>
      <c r="AB7" s="8"/>
      <c r="AC7" s="8"/>
      <c r="AD7" s="8"/>
      <c r="AE7" s="8">
        <v>1.9727E-3</v>
      </c>
      <c r="AF7" s="8">
        <v>1.6211000000000001E-3</v>
      </c>
      <c r="AG7" s="8"/>
      <c r="AH7" s="8"/>
      <c r="AI7" s="8"/>
      <c r="AJ7" s="8"/>
      <c r="AK7" s="8">
        <v>2.0704E-3</v>
      </c>
      <c r="AN7" s="6">
        <v>1.6161999999999999E-3</v>
      </c>
    </row>
    <row r="8" spans="1:41" x14ac:dyDescent="0.45">
      <c r="A8" s="129">
        <v>5</v>
      </c>
      <c r="B8" s="9" t="s">
        <v>211</v>
      </c>
      <c r="C8" s="9">
        <v>22</v>
      </c>
      <c r="D8" s="9"/>
      <c r="E8" s="9"/>
      <c r="F8" s="9">
        <v>5337.8</v>
      </c>
      <c r="G8" s="9">
        <v>18.93</v>
      </c>
      <c r="H8" s="9">
        <v>68.19</v>
      </c>
      <c r="I8" s="9">
        <v>63.25</v>
      </c>
      <c r="J8" s="130">
        <f t="shared" si="1"/>
        <v>0.11146209386281583</v>
      </c>
      <c r="K8" s="131">
        <f t="shared" si="2"/>
        <v>942.36258558837994</v>
      </c>
      <c r="L8" s="132">
        <f t="shared" si="3"/>
        <v>1760</v>
      </c>
      <c r="M8" s="133">
        <f t="shared" si="4"/>
        <v>1.8676463039978548</v>
      </c>
      <c r="N8" s="133">
        <f t="shared" si="5"/>
        <v>1.6803508768409445</v>
      </c>
      <c r="O8" s="6">
        <v>1.6803508768409445</v>
      </c>
      <c r="P8" s="9" t="s">
        <v>212</v>
      </c>
      <c r="Q8" s="8">
        <v>2700</v>
      </c>
      <c r="R8" s="8"/>
      <c r="S8" s="8"/>
      <c r="T8" s="8">
        <f>T5</f>
        <v>942.35881995015461</v>
      </c>
      <c r="U8" s="6" t="s">
        <v>213</v>
      </c>
      <c r="V8" s="6">
        <f>ROUND(AVERAGE(V3:V7),7)</f>
        <v>1.6211000000000001E-3</v>
      </c>
      <c r="W8" s="6">
        <f t="shared" ref="W8:AK8" si="6">ROUND(AVERAGE(W3:W7),7)</f>
        <v>1.5938E-3</v>
      </c>
      <c r="X8" s="6">
        <f t="shared" si="6"/>
        <v>1.9189999999999999E-3</v>
      </c>
      <c r="Y8" s="6">
        <f t="shared" si="6"/>
        <v>2.3340000000000001E-3</v>
      </c>
      <c r="Z8" s="6">
        <f t="shared" si="6"/>
        <v>1.6163E-3</v>
      </c>
      <c r="AA8" s="6">
        <f t="shared" si="6"/>
        <v>1.4258000000000001E-3</v>
      </c>
      <c r="AB8" s="6">
        <f t="shared" si="6"/>
        <v>1.4844000000000001E-3</v>
      </c>
      <c r="AC8" s="6">
        <f t="shared" si="6"/>
        <v>2.6221E-3</v>
      </c>
      <c r="AD8" s="6">
        <f t="shared" si="6"/>
        <v>1.5820999999999999E-3</v>
      </c>
      <c r="AE8" s="6">
        <f t="shared" si="6"/>
        <v>1.9688000000000002E-3</v>
      </c>
      <c r="AF8" s="6">
        <f t="shared" si="6"/>
        <v>1.6094E-3</v>
      </c>
      <c r="AG8" s="6">
        <f t="shared" si="6"/>
        <v>1.709E-3</v>
      </c>
      <c r="AH8" s="6">
        <f t="shared" si="6"/>
        <v>1.7334E-3</v>
      </c>
      <c r="AI8" s="6">
        <f t="shared" si="6"/>
        <v>1.9434000000000001E-3</v>
      </c>
      <c r="AJ8" s="6">
        <f t="shared" si="6"/>
        <v>1.6992999999999999E-3</v>
      </c>
      <c r="AK8" s="6">
        <f t="shared" si="6"/>
        <v>2.3281999999999999E-3</v>
      </c>
      <c r="AN8" s="6">
        <v>1.9434000000000001E-3</v>
      </c>
    </row>
    <row r="9" spans="1:41" x14ac:dyDescent="0.45">
      <c r="A9" s="8">
        <v>6</v>
      </c>
      <c r="B9" s="9" t="s">
        <v>212</v>
      </c>
      <c r="C9" s="9">
        <v>22</v>
      </c>
      <c r="D9" s="9"/>
      <c r="E9" s="9"/>
      <c r="F9" s="9">
        <v>4561.3999999999996</v>
      </c>
      <c r="G9" s="9">
        <v>17.79</v>
      </c>
      <c r="H9" s="9">
        <v>55.48</v>
      </c>
      <c r="I9" s="9">
        <v>50.9</v>
      </c>
      <c r="J9" s="130">
        <f t="shared" si="1"/>
        <v>0.13832678948958013</v>
      </c>
      <c r="K9" s="131">
        <f t="shared" si="2"/>
        <v>942.35881995015461</v>
      </c>
      <c r="L9" s="132">
        <f>F9-LOOKUP(B9,$P$3:$P$9,$Q$3:$Q$9)</f>
        <v>1861.3999999999996</v>
      </c>
      <c r="M9" s="133">
        <f>L9/K9</f>
        <v>1.9752560920461879</v>
      </c>
      <c r="N9" s="133">
        <f>M9/(1+J9)</f>
        <v>1.735227625567771</v>
      </c>
      <c r="O9" s="6">
        <v>1.735227625567771</v>
      </c>
      <c r="P9" s="9" t="s">
        <v>214</v>
      </c>
      <c r="Q9" s="8">
        <v>3572.6</v>
      </c>
      <c r="R9" s="8">
        <v>101.35</v>
      </c>
      <c r="S9" s="8">
        <v>117.6</v>
      </c>
      <c r="T9" s="8">
        <f t="shared" si="0"/>
        <v>948.73453388636324</v>
      </c>
      <c r="V9" s="6">
        <f>_xlfn.STDEV.S(V3:V7)</f>
        <v>5.0439163025040966E-5</v>
      </c>
      <c r="W9" s="6">
        <f t="shared" ref="W9:AK9" si="7">_xlfn.STDEV.S(W3:W7)</f>
        <v>5.9594899110578191E-5</v>
      </c>
      <c r="X9" s="6">
        <f t="shared" si="7"/>
        <v>3.1059119299598089E-4</v>
      </c>
      <c r="Y9" s="6">
        <f t="shared" si="7"/>
        <v>1.4042709555732707E-4</v>
      </c>
      <c r="Z9" s="6">
        <f t="shared" si="7"/>
        <v>3.7005359972126491E-5</v>
      </c>
      <c r="AA9" s="6">
        <f t="shared" si="7"/>
        <v>4.7846699642364757E-5</v>
      </c>
      <c r="AB9" s="6">
        <f t="shared" si="7"/>
        <v>9.4331967010128671E-5</v>
      </c>
      <c r="AC9" s="6">
        <f t="shared" si="7"/>
        <v>1.0381638839797884E-4</v>
      </c>
      <c r="AD9" s="6">
        <f t="shared" si="7"/>
        <v>1.8463832213275763E-4</v>
      </c>
      <c r="AE9" s="6">
        <f t="shared" si="7"/>
        <v>8.7206651122491741E-6</v>
      </c>
      <c r="AF9" s="6">
        <f t="shared" si="7"/>
        <v>6.1164450459396712E-5</v>
      </c>
      <c r="AG9" s="6">
        <f t="shared" si="7"/>
        <v>2.5213141414746403E-5</v>
      </c>
      <c r="AH9" s="6">
        <f t="shared" si="7"/>
        <v>6.0441452387137977E-5</v>
      </c>
      <c r="AI9" s="6">
        <f t="shared" si="7"/>
        <v>1.1105169967181954E-4</v>
      </c>
      <c r="AJ9" s="6">
        <f t="shared" si="7"/>
        <v>6.9494670059412953E-5</v>
      </c>
      <c r="AK9" s="6">
        <f t="shared" si="7"/>
        <v>1.786742846634624E-4</v>
      </c>
      <c r="AN9" s="6">
        <v>1.9688000000000002E-3</v>
      </c>
    </row>
    <row r="10" spans="1:41" x14ac:dyDescent="0.45">
      <c r="A10" s="129">
        <v>7</v>
      </c>
      <c r="B10" s="9" t="s">
        <v>214</v>
      </c>
      <c r="C10" s="9">
        <v>22</v>
      </c>
      <c r="D10" s="9"/>
      <c r="E10" s="9"/>
      <c r="F10" s="9">
        <v>5389</v>
      </c>
      <c r="G10" s="9">
        <v>18.86</v>
      </c>
      <c r="H10" s="9">
        <v>69.319999999999993</v>
      </c>
      <c r="I10" s="9">
        <v>63.03</v>
      </c>
      <c r="J10" s="130">
        <f t="shared" si="1"/>
        <v>0.1424043468417476</v>
      </c>
      <c r="K10" s="131">
        <f t="shared" si="2"/>
        <v>948.73453388636324</v>
      </c>
      <c r="L10" s="132">
        <f t="shared" si="3"/>
        <v>1816.4</v>
      </c>
      <c r="M10" s="133">
        <f t="shared" si="4"/>
        <v>1.9145503142584703</v>
      </c>
      <c r="N10" s="133">
        <f t="shared" si="5"/>
        <v>1.6758955089337426</v>
      </c>
      <c r="O10" s="6">
        <v>1.6758955089337426</v>
      </c>
      <c r="AN10" s="6">
        <v>2.6221E-3</v>
      </c>
    </row>
    <row r="11" spans="1:41" x14ac:dyDescent="0.45">
      <c r="A11" s="8">
        <v>8</v>
      </c>
      <c r="B11" s="9" t="s">
        <v>207</v>
      </c>
      <c r="C11" s="9">
        <v>22</v>
      </c>
      <c r="D11" s="9"/>
      <c r="E11" s="9"/>
      <c r="F11" s="9">
        <v>5411.2</v>
      </c>
      <c r="G11" s="9">
        <v>17.78</v>
      </c>
      <c r="H11" s="9">
        <v>64.22</v>
      </c>
      <c r="I11" s="9">
        <v>58.54</v>
      </c>
      <c r="J11" s="130">
        <f t="shared" si="1"/>
        <v>0.13935230618253189</v>
      </c>
      <c r="K11" s="131">
        <f t="shared" si="2"/>
        <v>936.5004678361762</v>
      </c>
      <c r="L11" s="132">
        <f t="shared" si="3"/>
        <v>1834.3999999999996</v>
      </c>
      <c r="M11" s="133">
        <f t="shared" si="4"/>
        <v>1.9587817230230093</v>
      </c>
      <c r="N11" s="133">
        <f t="shared" si="5"/>
        <v>1.7192063529375077</v>
      </c>
      <c r="O11" s="6">
        <v>1.7192063529375077</v>
      </c>
      <c r="V11" s="9">
        <v>1.6211000000000001E-3</v>
      </c>
      <c r="W11" s="9">
        <v>1.7334E-3</v>
      </c>
      <c r="X11" s="9">
        <v>1.5820999999999999E-3</v>
      </c>
      <c r="Y11" s="9">
        <v>1.4258000000000001E-3</v>
      </c>
      <c r="Z11" s="9">
        <v>1.6161999999999999E-3</v>
      </c>
      <c r="AA11" s="9">
        <v>1.9434000000000001E-3</v>
      </c>
      <c r="AB11" s="9">
        <v>1.9688000000000002E-3</v>
      </c>
      <c r="AC11" s="9">
        <v>2.6221E-3</v>
      </c>
      <c r="AD11" s="9">
        <v>1.5938E-3</v>
      </c>
      <c r="AE11" s="9">
        <v>1.6094E-3</v>
      </c>
      <c r="AF11" s="9">
        <v>2.3281999999999999E-3</v>
      </c>
      <c r="AG11" s="9">
        <v>1.9189999999999999E-3</v>
      </c>
      <c r="AH11" s="9">
        <v>2.3340000000000001E-3</v>
      </c>
      <c r="AI11" s="9">
        <v>1.709E-3</v>
      </c>
      <c r="AJ11" s="9">
        <v>1.6992999999999999E-3</v>
      </c>
      <c r="AK11" s="9">
        <v>1.4844000000000001E-3</v>
      </c>
      <c r="AN11" s="6">
        <v>1.5938E-3</v>
      </c>
    </row>
    <row r="12" spans="1:41" x14ac:dyDescent="0.45">
      <c r="A12" s="129">
        <v>9</v>
      </c>
      <c r="B12" s="9" t="s">
        <v>208</v>
      </c>
      <c r="C12" s="9">
        <v>18</v>
      </c>
      <c r="D12" s="9"/>
      <c r="E12" s="9"/>
      <c r="F12" s="9">
        <v>5394.4</v>
      </c>
      <c r="G12" s="9">
        <v>16.920000000000002</v>
      </c>
      <c r="H12" s="9">
        <v>61.37</v>
      </c>
      <c r="I12" s="9">
        <v>55.75</v>
      </c>
      <c r="J12" s="130">
        <f t="shared" si="1"/>
        <v>0.14473345351532316</v>
      </c>
      <c r="K12" s="131">
        <f t="shared" si="2"/>
        <v>941.83769248969872</v>
      </c>
      <c r="L12" s="132">
        <f t="shared" si="3"/>
        <v>1812.7999999999997</v>
      </c>
      <c r="M12" s="133">
        <f t="shared" si="4"/>
        <v>1.9247477717821611</v>
      </c>
      <c r="N12" s="133">
        <f t="shared" si="5"/>
        <v>1.6813938352823694</v>
      </c>
      <c r="O12" s="6">
        <v>1.6813938352823694</v>
      </c>
      <c r="V12" s="97" t="str">
        <f>V2</f>
        <v>M#1_22G</v>
      </c>
      <c r="W12" s="97" t="str">
        <f>AH2</f>
        <v>M#1_25EST</v>
      </c>
      <c r="X12" s="97" t="str">
        <f>AD2</f>
        <v>M#2_18G</v>
      </c>
      <c r="Y12" s="97" t="str">
        <f>AA2</f>
        <v>M#2_29G</v>
      </c>
      <c r="Z12" s="97" t="str">
        <f>Z2</f>
        <v>M#1_29G</v>
      </c>
      <c r="AA12" s="97" t="str">
        <f>AI2</f>
        <v>M#2_25EST</v>
      </c>
      <c r="AB12" s="97" t="str">
        <f>AE2</f>
        <v>M#4_18G</v>
      </c>
      <c r="AC12" s="97" t="str">
        <f>AC2</f>
        <v>M#4_29G</v>
      </c>
      <c r="AD12" s="97" t="str">
        <f>W2</f>
        <v>M#5_22G</v>
      </c>
      <c r="AE12" s="97" t="str">
        <f>AF2</f>
        <v>M#5_18G</v>
      </c>
      <c r="AF12" s="97" t="str">
        <f>AK2</f>
        <v>M#5_25EST</v>
      </c>
      <c r="AG12" s="97" t="str">
        <f>X2</f>
        <v>M#6_22G</v>
      </c>
      <c r="AH12" s="97" t="str">
        <f>Y2</f>
        <v>M#7_22G</v>
      </c>
      <c r="AI12" s="97" t="str">
        <f>AG2</f>
        <v>M#7_32G</v>
      </c>
      <c r="AJ12" s="97" t="str">
        <f>AJ2</f>
        <v>M#4_25EST</v>
      </c>
      <c r="AK12" s="97" t="str">
        <f>AB2</f>
        <v>M#3_29G</v>
      </c>
      <c r="AN12" s="6">
        <v>1.6094E-3</v>
      </c>
    </row>
    <row r="13" spans="1:41" x14ac:dyDescent="0.45">
      <c r="A13" s="8">
        <v>10</v>
      </c>
      <c r="B13" s="9" t="s">
        <v>210</v>
      </c>
      <c r="C13" s="9">
        <v>18</v>
      </c>
      <c r="D13" s="9"/>
      <c r="E13" s="9"/>
      <c r="F13" s="9">
        <v>5384.2</v>
      </c>
      <c r="G13" s="9">
        <v>16.61</v>
      </c>
      <c r="H13" s="9">
        <v>56.38</v>
      </c>
      <c r="I13" s="9">
        <v>51.16</v>
      </c>
      <c r="J13" s="130">
        <f t="shared" si="1"/>
        <v>0.15108538350217096</v>
      </c>
      <c r="K13" s="131">
        <f t="shared" si="2"/>
        <v>950.33119847976718</v>
      </c>
      <c r="L13" s="132">
        <f t="shared" si="3"/>
        <v>1811.1999999999998</v>
      </c>
      <c r="M13" s="133">
        <f t="shared" si="4"/>
        <v>1.9058618752045113</v>
      </c>
      <c r="N13" s="133">
        <f t="shared" si="5"/>
        <v>1.6557085186903659</v>
      </c>
      <c r="O13" s="6">
        <v>1.6557085186903659</v>
      </c>
      <c r="U13" s="52" t="s">
        <v>215</v>
      </c>
      <c r="V13" s="6">
        <v>1.7192063529375077</v>
      </c>
      <c r="W13" s="6">
        <v>1.5841554431297693</v>
      </c>
      <c r="X13" s="6">
        <v>1.6813938352823694</v>
      </c>
      <c r="Y13" s="6">
        <v>1.698312574889731</v>
      </c>
      <c r="Z13" s="6">
        <v>1.7387618292327622</v>
      </c>
      <c r="AA13" s="6">
        <v>1.6244084374750853</v>
      </c>
      <c r="AB13" s="6">
        <v>1.6557085186903659</v>
      </c>
      <c r="AC13" s="6">
        <v>1.7158206957245821</v>
      </c>
      <c r="AD13" s="6">
        <v>1.6803508768409445</v>
      </c>
      <c r="AE13" s="6">
        <v>1.7011513682583603</v>
      </c>
      <c r="AF13" s="6">
        <v>1.5931594833061955</v>
      </c>
      <c r="AG13" s="6">
        <v>1.735227625567771</v>
      </c>
      <c r="AH13" s="6">
        <v>1.6758955089337426</v>
      </c>
      <c r="AI13" s="6">
        <v>1.7058170171806979</v>
      </c>
      <c r="AJ13" s="6">
        <v>1.5551021015538951</v>
      </c>
      <c r="AK13" s="6">
        <v>1.7236636902406557</v>
      </c>
      <c r="AN13" s="6">
        <v>2.3281999999999999E-3</v>
      </c>
    </row>
    <row r="14" spans="1:41" x14ac:dyDescent="0.45">
      <c r="A14" s="129">
        <v>11</v>
      </c>
      <c r="B14" s="9" t="s">
        <v>211</v>
      </c>
      <c r="C14" s="9">
        <v>18</v>
      </c>
      <c r="D14" s="9"/>
      <c r="E14" s="9"/>
      <c r="F14" s="9">
        <v>5427.2</v>
      </c>
      <c r="G14" s="9">
        <v>19.07</v>
      </c>
      <c r="H14" s="9">
        <v>61.87</v>
      </c>
      <c r="I14" s="9">
        <v>56.17</v>
      </c>
      <c r="J14" s="130">
        <f t="shared" si="1"/>
        <v>0.15363881401617238</v>
      </c>
      <c r="K14" s="131">
        <f t="shared" si="2"/>
        <v>942.36258558837994</v>
      </c>
      <c r="L14" s="132">
        <f t="shared" si="3"/>
        <v>1849.3999999999996</v>
      </c>
      <c r="M14" s="133">
        <f t="shared" si="4"/>
        <v>1.9625142469395638</v>
      </c>
      <c r="N14" s="133">
        <f t="shared" si="5"/>
        <v>1.7011513682583603</v>
      </c>
      <c r="O14" s="6">
        <v>1.7011513682583603</v>
      </c>
      <c r="AN14" s="6">
        <v>1.9189999999999999E-3</v>
      </c>
    </row>
    <row r="15" spans="1:41" x14ac:dyDescent="0.45">
      <c r="A15" s="8">
        <v>12</v>
      </c>
      <c r="B15" s="9" t="s">
        <v>214</v>
      </c>
      <c r="C15" s="9">
        <v>32</v>
      </c>
      <c r="D15" s="9"/>
      <c r="E15" s="9"/>
      <c r="F15" s="9">
        <v>5443.6</v>
      </c>
      <c r="G15" s="9">
        <v>16.64</v>
      </c>
      <c r="H15" s="9">
        <v>65.89</v>
      </c>
      <c r="I15" s="9">
        <v>59.24</v>
      </c>
      <c r="J15" s="130">
        <f t="shared" si="1"/>
        <v>0.15610328638497648</v>
      </c>
      <c r="K15" s="131">
        <f t="shared" si="2"/>
        <v>948.73453388636324</v>
      </c>
      <c r="L15" s="132">
        <f t="shared" si="3"/>
        <v>1871.0000000000005</v>
      </c>
      <c r="M15" s="133">
        <f t="shared" si="4"/>
        <v>1.9721006595340227</v>
      </c>
      <c r="N15" s="133">
        <f t="shared" si="5"/>
        <v>1.7058170171806979</v>
      </c>
      <c r="O15" s="6">
        <v>1.7058170171806979</v>
      </c>
      <c r="AN15" s="6">
        <v>2.3340000000000001E-3</v>
      </c>
    </row>
    <row r="16" spans="1:41" x14ac:dyDescent="0.45">
      <c r="A16" s="129">
        <v>13</v>
      </c>
      <c r="B16" s="9" t="s">
        <v>207</v>
      </c>
      <c r="C16" s="9" t="s">
        <v>216</v>
      </c>
      <c r="D16" s="9"/>
      <c r="E16" s="9"/>
      <c r="F16" s="9">
        <v>5320</v>
      </c>
      <c r="G16" s="9">
        <v>18.64</v>
      </c>
      <c r="H16" s="9">
        <v>79.67</v>
      </c>
      <c r="I16" s="9">
        <v>70.58</v>
      </c>
      <c r="J16" s="130">
        <f t="shared" si="1"/>
        <v>0.17500962649210636</v>
      </c>
      <c r="K16" s="131">
        <f t="shared" si="2"/>
        <v>936.5004678361762</v>
      </c>
      <c r="L16" s="132">
        <f t="shared" si="3"/>
        <v>1743.1999999999998</v>
      </c>
      <c r="M16" s="133">
        <f t="shared" si="4"/>
        <v>1.8613978955373476</v>
      </c>
      <c r="N16" s="133">
        <f t="shared" si="5"/>
        <v>1.5841554431297693</v>
      </c>
      <c r="O16" s="6">
        <v>1.5841554431297693</v>
      </c>
      <c r="AD16" s="8"/>
      <c r="AE16" s="28" t="s">
        <v>223</v>
      </c>
      <c r="AF16" s="28" t="s">
        <v>8</v>
      </c>
      <c r="AG16" s="28" t="s">
        <v>215</v>
      </c>
      <c r="AH16" s="28" t="s">
        <v>8</v>
      </c>
      <c r="AI16" s="28" t="s">
        <v>217</v>
      </c>
      <c r="AL16" s="28" t="s">
        <v>221</v>
      </c>
      <c r="AM16" s="80">
        <v>1.6133722601507801</v>
      </c>
      <c r="AO16" s="6">
        <v>1.709E-3</v>
      </c>
    </row>
    <row r="17" spans="1:41" x14ac:dyDescent="0.45">
      <c r="A17" s="8">
        <v>14</v>
      </c>
      <c r="B17" s="9" t="s">
        <v>208</v>
      </c>
      <c r="C17" s="9" t="s">
        <v>216</v>
      </c>
      <c r="D17" s="9"/>
      <c r="E17" s="9"/>
      <c r="F17" s="9">
        <v>5374</v>
      </c>
      <c r="G17" s="9">
        <v>18.22</v>
      </c>
      <c r="H17" s="9">
        <v>59.74</v>
      </c>
      <c r="I17" s="9">
        <v>53.66</v>
      </c>
      <c r="J17" s="130">
        <f t="shared" si="1"/>
        <v>0.1715575620767496</v>
      </c>
      <c r="K17" s="131">
        <f t="shared" si="2"/>
        <v>941.83769248969872</v>
      </c>
      <c r="L17" s="132">
        <f t="shared" si="3"/>
        <v>1792.4</v>
      </c>
      <c r="M17" s="133">
        <f t="shared" si="4"/>
        <v>1.903087988825213</v>
      </c>
      <c r="N17" s="133">
        <f t="shared" si="5"/>
        <v>1.6244084374750853</v>
      </c>
      <c r="O17" s="6">
        <v>1.6244084374750853</v>
      </c>
      <c r="AD17" s="136" t="s">
        <v>175</v>
      </c>
      <c r="AE17" s="137">
        <f>V9</f>
        <v>5.0439163025040966E-5</v>
      </c>
      <c r="AF17" s="9">
        <v>1.6211000000000001E-3</v>
      </c>
      <c r="AG17" s="8">
        <v>1.7192063529375099</v>
      </c>
      <c r="AH17" s="8" t="str">
        <f>IF((AF17-(2*AE17))&lt;$AM$17,"CUMPLE","NO")</f>
        <v>CUMPLE</v>
      </c>
      <c r="AI17" s="8" t="str">
        <f>IF(AG17&gt;$AM$16,"CUMPLE","NO")</f>
        <v>CUMPLE</v>
      </c>
      <c r="AJ17" s="9" t="str">
        <f>IF(AH17=AI17,"NICE","PANIC")</f>
        <v>NICE</v>
      </c>
      <c r="AK17" s="6">
        <f>(AF17-(2*AE17))</f>
        <v>1.5202216739499182E-3</v>
      </c>
      <c r="AL17" s="28" t="s">
        <v>8</v>
      </c>
      <c r="AM17" s="8">
        <v>1.55809E-3</v>
      </c>
      <c r="AO17" s="6">
        <v>1.6992999999999999E-3</v>
      </c>
    </row>
    <row r="18" spans="1:41" x14ac:dyDescent="0.45">
      <c r="A18" s="129">
        <v>15</v>
      </c>
      <c r="B18" s="9" t="s">
        <v>210</v>
      </c>
      <c r="C18" s="9" t="s">
        <v>216</v>
      </c>
      <c r="D18" s="9"/>
      <c r="E18" s="9"/>
      <c r="F18" s="9">
        <v>5299</v>
      </c>
      <c r="G18" s="9">
        <v>18.32</v>
      </c>
      <c r="H18" s="9">
        <v>73.41</v>
      </c>
      <c r="I18" s="9">
        <v>65.489999999999995</v>
      </c>
      <c r="J18" s="130">
        <f t="shared" si="1"/>
        <v>0.16790332838668651</v>
      </c>
      <c r="K18" s="131">
        <f t="shared" si="2"/>
        <v>950.33119847976718</v>
      </c>
      <c r="L18" s="132">
        <f t="shared" si="3"/>
        <v>1726</v>
      </c>
      <c r="M18" s="133">
        <f t="shared" si="4"/>
        <v>1.8162089203859249</v>
      </c>
      <c r="N18" s="133">
        <f t="shared" si="5"/>
        <v>1.5551021015538951</v>
      </c>
      <c r="O18" s="6">
        <v>1.5551021015538951</v>
      </c>
      <c r="V18" s="6">
        <v>1.7192063529375077</v>
      </c>
      <c r="W18" s="6">
        <v>1.5841554431297693</v>
      </c>
      <c r="X18" s="6">
        <v>1.6813938352823694</v>
      </c>
      <c r="Y18" s="6">
        <v>1.698312574889731</v>
      </c>
      <c r="AD18" s="28" t="s">
        <v>176</v>
      </c>
      <c r="AE18" s="8">
        <f>AH9</f>
        <v>6.0441452387137977E-5</v>
      </c>
      <c r="AF18" s="9">
        <v>1.7334E-3</v>
      </c>
      <c r="AG18" s="8">
        <v>1.5841554431297693</v>
      </c>
      <c r="AH18" s="8" t="str">
        <f t="shared" ref="AH18:AH32" si="8">IF((AF18-(2*AE18))&lt;$AM$17,"CUMPLE","NO")</f>
        <v>NO</v>
      </c>
      <c r="AI18" s="8" t="str">
        <f t="shared" ref="AI18:AI32" si="9">IF(AG18&gt;$AM$16,"CUMPLE","NO")</f>
        <v>NO</v>
      </c>
      <c r="AJ18" s="9" t="str">
        <f t="shared" ref="AJ18:AJ32" si="10">IF(AH18=AI18,"NICE","PANIC")</f>
        <v>NICE</v>
      </c>
      <c r="AK18" s="6">
        <f t="shared" ref="AK18:AK32" si="11">(AF18-(2*AE18))</f>
        <v>1.612517095225724E-3</v>
      </c>
      <c r="AO18" s="6">
        <v>1.4844000000000001E-3</v>
      </c>
    </row>
    <row r="19" spans="1:41" x14ac:dyDescent="0.45">
      <c r="A19" s="8">
        <v>16</v>
      </c>
      <c r="B19" s="9" t="s">
        <v>211</v>
      </c>
      <c r="C19" s="9" t="s">
        <v>216</v>
      </c>
      <c r="D19" s="9"/>
      <c r="E19" s="9"/>
      <c r="F19" s="9">
        <v>5362.2</v>
      </c>
      <c r="G19" s="9">
        <v>19</v>
      </c>
      <c r="H19" s="9">
        <v>71.7</v>
      </c>
      <c r="I19" s="9">
        <v>63.34</v>
      </c>
      <c r="J19" s="130">
        <f t="shared" si="1"/>
        <v>0.18854307622913843</v>
      </c>
      <c r="K19" s="131">
        <f t="shared" si="2"/>
        <v>942.36258558837994</v>
      </c>
      <c r="L19" s="132">
        <f t="shared" si="3"/>
        <v>1784.3999999999996</v>
      </c>
      <c r="M19" s="133">
        <f t="shared" si="4"/>
        <v>1.8935386732123702</v>
      </c>
      <c r="N19" s="133">
        <f t="shared" si="5"/>
        <v>1.5931594833061955</v>
      </c>
      <c r="O19" s="6">
        <v>1.5931594833061955</v>
      </c>
      <c r="V19" s="6">
        <v>1.7387618292327622</v>
      </c>
      <c r="W19" s="6">
        <v>1.6244084374750853</v>
      </c>
      <c r="X19" s="6">
        <v>1.6557085186903659</v>
      </c>
      <c r="Y19" s="6">
        <v>1.7158206957245821</v>
      </c>
      <c r="AD19" s="28" t="s">
        <v>177</v>
      </c>
      <c r="AE19" s="8">
        <f>AD9</f>
        <v>1.8463832213275763E-4</v>
      </c>
      <c r="AF19" s="9">
        <v>1.5820999999999999E-3</v>
      </c>
      <c r="AG19" s="8">
        <v>1.6813938352823694</v>
      </c>
      <c r="AH19" s="8" t="str">
        <f t="shared" si="8"/>
        <v>CUMPLE</v>
      </c>
      <c r="AI19" s="8" t="str">
        <f t="shared" si="9"/>
        <v>CUMPLE</v>
      </c>
      <c r="AJ19" s="9" t="str">
        <f t="shared" si="10"/>
        <v>NICE</v>
      </c>
      <c r="AK19" s="6">
        <f t="shared" si="11"/>
        <v>1.2128233557344846E-3</v>
      </c>
      <c r="AM19" s="6">
        <v>1.6982865896324033</v>
      </c>
    </row>
    <row r="20" spans="1:41" x14ac:dyDescent="0.45">
      <c r="V20" s="6">
        <v>1.6803508768409445</v>
      </c>
      <c r="W20" s="6">
        <v>1.7011513682583603</v>
      </c>
      <c r="X20" s="6">
        <v>1.5931594833061955</v>
      </c>
      <c r="Y20" s="6">
        <v>1.735227625567771</v>
      </c>
      <c r="AD20" s="28" t="s">
        <v>178</v>
      </c>
      <c r="AE20" s="8">
        <f>AA9</f>
        <v>4.7846699642364757E-5</v>
      </c>
      <c r="AF20" s="9">
        <v>1.4258000000000001E-3</v>
      </c>
      <c r="AG20" s="8">
        <v>1.698312574889731</v>
      </c>
      <c r="AH20" s="8" t="str">
        <f t="shared" si="8"/>
        <v>CUMPLE</v>
      </c>
      <c r="AI20" s="8" t="str">
        <f t="shared" si="9"/>
        <v>CUMPLE</v>
      </c>
      <c r="AJ20" s="9" t="str">
        <f t="shared" si="10"/>
        <v>NICE</v>
      </c>
      <c r="AK20" s="6">
        <f t="shared" si="11"/>
        <v>1.3301066007152707E-3</v>
      </c>
      <c r="AM20" s="8">
        <v>1.55809E-3</v>
      </c>
    </row>
    <row r="21" spans="1:41" x14ac:dyDescent="0.45">
      <c r="V21" s="6">
        <v>1.6758955089337426</v>
      </c>
      <c r="W21" s="6">
        <v>1.7058170171806979</v>
      </c>
      <c r="X21" s="6">
        <v>1.5551021015538951</v>
      </c>
      <c r="Y21" s="6">
        <v>1.7236636902406557</v>
      </c>
      <c r="AD21" s="28" t="s">
        <v>179</v>
      </c>
      <c r="AE21" s="8">
        <f>Z9</f>
        <v>3.7005359972126491E-5</v>
      </c>
      <c r="AF21" s="9">
        <v>1.6161999999999999E-3</v>
      </c>
      <c r="AG21" s="8">
        <v>1.7387618292327622</v>
      </c>
      <c r="AH21" s="8" t="str">
        <f t="shared" si="8"/>
        <v>CUMPLE</v>
      </c>
      <c r="AI21" s="8" t="str">
        <f t="shared" si="9"/>
        <v>CUMPLE</v>
      </c>
      <c r="AJ21" s="9" t="str">
        <f t="shared" si="10"/>
        <v>NICE</v>
      </c>
      <c r="AK21" s="6">
        <f t="shared" si="11"/>
        <v>1.5421892800557471E-3</v>
      </c>
      <c r="AM21" s="6" t="str">
        <f>IF((AF17-(2*AE17))&lt;$AM$17,"CUMPLE","NO")</f>
        <v>CUMPLE</v>
      </c>
    </row>
    <row r="22" spans="1:41" x14ac:dyDescent="0.45">
      <c r="C22" s="134"/>
      <c r="F22" s="134"/>
      <c r="G22" s="134"/>
      <c r="H22" s="134"/>
      <c r="AD22" s="28" t="s">
        <v>180</v>
      </c>
      <c r="AE22" s="8">
        <f>AI9</f>
        <v>1.1105169967181954E-4</v>
      </c>
      <c r="AF22" s="9">
        <v>1.9434000000000001E-3</v>
      </c>
      <c r="AG22" s="8">
        <v>1.6244084374750853</v>
      </c>
      <c r="AH22" s="8" t="str">
        <f t="shared" si="8"/>
        <v>NO</v>
      </c>
      <c r="AI22" s="8" t="str">
        <f t="shared" si="9"/>
        <v>CUMPLE</v>
      </c>
      <c r="AJ22" s="9" t="str">
        <f t="shared" si="10"/>
        <v>PANIC</v>
      </c>
      <c r="AK22" s="6">
        <f t="shared" si="11"/>
        <v>1.721296600656361E-3</v>
      </c>
      <c r="AM22" s="6">
        <f>(AF17-(2*AE17))</f>
        <v>1.5202216739499182E-3</v>
      </c>
    </row>
    <row r="23" spans="1:41" x14ac:dyDescent="0.45">
      <c r="AD23" s="28" t="s">
        <v>181</v>
      </c>
      <c r="AE23" s="8">
        <f>AE9</f>
        <v>8.7206651122491741E-6</v>
      </c>
      <c r="AF23" s="9">
        <v>1.9688000000000002E-3</v>
      </c>
      <c r="AG23" s="8">
        <v>1.6557085186903659</v>
      </c>
      <c r="AH23" s="8" t="str">
        <f t="shared" si="8"/>
        <v>NO</v>
      </c>
      <c r="AI23" s="8" t="str">
        <f t="shared" si="9"/>
        <v>CUMPLE</v>
      </c>
      <c r="AJ23" s="9" t="str">
        <f t="shared" si="10"/>
        <v>PANIC</v>
      </c>
      <c r="AK23" s="6">
        <f t="shared" si="11"/>
        <v>1.9513586697755018E-3</v>
      </c>
    </row>
    <row r="24" spans="1:41" x14ac:dyDescent="0.45">
      <c r="C24" s="134"/>
      <c r="F24" s="134"/>
      <c r="G24" s="134"/>
      <c r="H24" s="134"/>
      <c r="AD24" s="28" t="s">
        <v>182</v>
      </c>
      <c r="AE24" s="8">
        <f>AC9</f>
        <v>1.0381638839797884E-4</v>
      </c>
      <c r="AF24" s="9">
        <v>2.6221E-3</v>
      </c>
      <c r="AG24" s="8">
        <v>1.7158206957245821</v>
      </c>
      <c r="AH24" s="8" t="str">
        <f t="shared" si="8"/>
        <v>NO</v>
      </c>
      <c r="AI24" s="8" t="str">
        <f t="shared" si="9"/>
        <v>CUMPLE</v>
      </c>
      <c r="AJ24" s="9" t="str">
        <f t="shared" si="10"/>
        <v>PANIC</v>
      </c>
      <c r="AK24" s="6">
        <f t="shared" si="11"/>
        <v>2.4144672232040425E-3</v>
      </c>
    </row>
    <row r="25" spans="1:41" x14ac:dyDescent="0.45">
      <c r="AD25" s="28" t="s">
        <v>183</v>
      </c>
      <c r="AE25" s="8">
        <f>W9</f>
        <v>5.9594899110578191E-5</v>
      </c>
      <c r="AF25" s="9">
        <v>1.5938E-3</v>
      </c>
      <c r="AG25" s="8">
        <v>1.6803508768409445</v>
      </c>
      <c r="AH25" s="8" t="str">
        <f t="shared" si="8"/>
        <v>CUMPLE</v>
      </c>
      <c r="AI25" s="8" t="str">
        <f t="shared" si="9"/>
        <v>CUMPLE</v>
      </c>
      <c r="AJ25" s="9" t="str">
        <f t="shared" si="10"/>
        <v>NICE</v>
      </c>
      <c r="AK25" s="6">
        <f t="shared" si="11"/>
        <v>1.4746102017788437E-3</v>
      </c>
      <c r="AM25" s="6" t="s">
        <v>227</v>
      </c>
    </row>
    <row r="26" spans="1:41" x14ac:dyDescent="0.45">
      <c r="AD26" s="28" t="s">
        <v>184</v>
      </c>
      <c r="AE26" s="8">
        <f>AF9</f>
        <v>6.1164450459396712E-5</v>
      </c>
      <c r="AF26" s="9">
        <v>1.6094E-3</v>
      </c>
      <c r="AG26" s="8">
        <v>1.7011513682583603</v>
      </c>
      <c r="AH26" s="8" t="str">
        <f t="shared" si="8"/>
        <v>CUMPLE</v>
      </c>
      <c r="AI26" s="8" t="str">
        <f t="shared" si="9"/>
        <v>CUMPLE</v>
      </c>
      <c r="AJ26" s="9" t="str">
        <f t="shared" si="10"/>
        <v>NICE</v>
      </c>
      <c r="AK26" s="6">
        <f t="shared" si="11"/>
        <v>1.4870710990812065E-3</v>
      </c>
      <c r="AM26" s="6" t="s">
        <v>228</v>
      </c>
    </row>
    <row r="27" spans="1:41" x14ac:dyDescent="0.45">
      <c r="AD27" s="28" t="s">
        <v>185</v>
      </c>
      <c r="AE27" s="8">
        <f>AK9</f>
        <v>1.786742846634624E-4</v>
      </c>
      <c r="AF27" s="9">
        <v>2.3281999999999999E-3</v>
      </c>
      <c r="AG27" s="8">
        <v>1.5931594833061955</v>
      </c>
      <c r="AH27" s="8" t="str">
        <f t="shared" si="8"/>
        <v>NO</v>
      </c>
      <c r="AI27" s="8" t="str">
        <f t="shared" si="9"/>
        <v>NO</v>
      </c>
      <c r="AJ27" s="9" t="str">
        <f t="shared" si="10"/>
        <v>NICE</v>
      </c>
      <c r="AK27" s="6">
        <f t="shared" si="11"/>
        <v>1.9708514306730749E-3</v>
      </c>
      <c r="AM27" s="6" t="s">
        <v>229</v>
      </c>
    </row>
    <row r="28" spans="1:41" x14ac:dyDescent="0.45">
      <c r="AD28" s="28" t="s">
        <v>186</v>
      </c>
      <c r="AE28" s="8">
        <f>X9</f>
        <v>3.1059119299598089E-4</v>
      </c>
      <c r="AF28" s="9">
        <v>1.9189999999999999E-3</v>
      </c>
      <c r="AG28" s="8">
        <v>1.735227625567771</v>
      </c>
      <c r="AH28" s="8" t="str">
        <f t="shared" si="8"/>
        <v>CUMPLE</v>
      </c>
      <c r="AI28" s="8" t="str">
        <f t="shared" si="9"/>
        <v>CUMPLE</v>
      </c>
      <c r="AJ28" s="9" t="str">
        <f t="shared" si="10"/>
        <v>NICE</v>
      </c>
      <c r="AK28" s="6">
        <f t="shared" si="11"/>
        <v>1.2978176140080381E-3</v>
      </c>
      <c r="AM28" s="6" t="s">
        <v>230</v>
      </c>
    </row>
    <row r="29" spans="1:41" x14ac:dyDescent="0.45">
      <c r="AD29" s="28" t="s">
        <v>187</v>
      </c>
      <c r="AE29" s="8">
        <f>Y9</f>
        <v>1.4042709555732707E-4</v>
      </c>
      <c r="AF29" s="9">
        <v>2.3340000000000001E-3</v>
      </c>
      <c r="AG29" s="8">
        <v>1.6758955089337426</v>
      </c>
      <c r="AH29" s="8" t="str">
        <f t="shared" si="8"/>
        <v>NO</v>
      </c>
      <c r="AI29" s="8" t="str">
        <f t="shared" si="9"/>
        <v>CUMPLE</v>
      </c>
      <c r="AJ29" s="9" t="str">
        <f t="shared" si="10"/>
        <v>PANIC</v>
      </c>
      <c r="AK29" s="6">
        <f t="shared" si="11"/>
        <v>2.053145808885346E-3</v>
      </c>
    </row>
    <row r="30" spans="1:41" x14ac:dyDescent="0.45">
      <c r="AD30" s="28" t="s">
        <v>188</v>
      </c>
      <c r="AE30" s="8">
        <f>AG9</f>
        <v>2.5213141414746403E-5</v>
      </c>
      <c r="AF30" s="9">
        <v>1.709E-3</v>
      </c>
      <c r="AG30" s="8">
        <v>1.7058170171806979</v>
      </c>
      <c r="AH30" s="8" t="str">
        <f t="shared" si="8"/>
        <v>NO</v>
      </c>
      <c r="AI30" s="8" t="str">
        <f t="shared" si="9"/>
        <v>CUMPLE</v>
      </c>
      <c r="AJ30" s="9" t="str">
        <f t="shared" si="10"/>
        <v>PANIC</v>
      </c>
      <c r="AK30" s="6">
        <f t="shared" si="11"/>
        <v>1.6585737171705072E-3</v>
      </c>
    </row>
    <row r="31" spans="1:41" x14ac:dyDescent="0.45">
      <c r="AD31" s="28" t="s">
        <v>189</v>
      </c>
      <c r="AE31" s="8">
        <f>AJ13</f>
        <v>1.5551021015538951</v>
      </c>
      <c r="AF31" s="9">
        <v>1.6992999999999999E-3</v>
      </c>
      <c r="AG31" s="8">
        <v>1.5551021015538951</v>
      </c>
      <c r="AH31" s="8" t="str">
        <f t="shared" si="8"/>
        <v>CUMPLE</v>
      </c>
      <c r="AI31" s="8" t="str">
        <f t="shared" si="9"/>
        <v>NO</v>
      </c>
      <c r="AJ31" s="9" t="str">
        <f t="shared" si="10"/>
        <v>PANIC</v>
      </c>
      <c r="AK31" s="6">
        <f t="shared" si="11"/>
        <v>-3.1085049031077903</v>
      </c>
    </row>
    <row r="32" spans="1:41" x14ac:dyDescent="0.45">
      <c r="AD32" s="28" t="s">
        <v>190</v>
      </c>
      <c r="AE32" s="8">
        <f>AB9</f>
        <v>9.4331967010128671E-5</v>
      </c>
      <c r="AF32" s="9">
        <v>1.4844000000000001E-3</v>
      </c>
      <c r="AG32" s="8">
        <v>1.7236636902406557</v>
      </c>
      <c r="AH32" s="8" t="str">
        <f t="shared" si="8"/>
        <v>CUMPLE</v>
      </c>
      <c r="AI32" s="8" t="str">
        <f t="shared" si="9"/>
        <v>CUMPLE</v>
      </c>
      <c r="AJ32" s="9" t="str">
        <f t="shared" si="10"/>
        <v>NICE</v>
      </c>
      <c r="AK32" s="6">
        <f t="shared" si="11"/>
        <v>1.2957360659797427E-3</v>
      </c>
    </row>
    <row r="34" spans="34:36" x14ac:dyDescent="0.45">
      <c r="AH34" s="28" t="s">
        <v>222</v>
      </c>
      <c r="AI34" s="28">
        <f>COUNTIF(AJ17:AJ32,"PANIC")</f>
        <v>6</v>
      </c>
      <c r="AJ34" s="28">
        <f>COUNTIF(AJ17:AJ32,"NICE")</f>
        <v>10</v>
      </c>
    </row>
  </sheetData>
  <conditionalFormatting sqref="AJ17:AJ32">
    <cfRule type="cellIs" dxfId="1" priority="1" operator="equal">
      <formula>"NICE"</formula>
    </cfRule>
    <cfRule type="cellIs" dxfId="0" priority="2" operator="equal">
      <formula>"PANIC"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61450-FEB3-46A8-B591-251A8BB5A837}">
  <dimension ref="B3:M38"/>
  <sheetViews>
    <sheetView topLeftCell="A12" zoomScaleNormal="100" workbookViewId="0">
      <selection activeCell="L13" sqref="L13"/>
    </sheetView>
  </sheetViews>
  <sheetFormatPr defaultColWidth="10.796875" defaultRowHeight="14.25" x14ac:dyDescent="0.45"/>
  <cols>
    <col min="1" max="1" width="10.796875" style="6"/>
    <col min="2" max="2" width="12.1328125" style="6" bestFit="1" customWidth="1"/>
    <col min="3" max="3" width="12.1328125" style="6" customWidth="1"/>
    <col min="4" max="4" width="13.46484375" style="6" customWidth="1"/>
    <col min="5" max="16384" width="10.796875" style="6"/>
  </cols>
  <sheetData>
    <row r="3" spans="2:7" ht="15.75" x14ac:dyDescent="0.5">
      <c r="B3" s="86" t="s">
        <v>156</v>
      </c>
      <c r="C3" s="86" t="s">
        <v>62</v>
      </c>
      <c r="D3" s="86" t="s">
        <v>157</v>
      </c>
      <c r="E3" s="86" t="s">
        <v>79</v>
      </c>
      <c r="F3" s="111"/>
    </row>
    <row r="4" spans="2:7" ht="15.75" x14ac:dyDescent="0.5">
      <c r="B4" s="164"/>
      <c r="C4" s="165"/>
      <c r="D4" s="165"/>
      <c r="E4" s="166"/>
      <c r="F4" s="126"/>
    </row>
    <row r="5" spans="2:7" x14ac:dyDescent="0.45">
      <c r="B5" s="9" t="str">
        <f>[2]Mediciones!B35</f>
        <v>M1 - Mod</v>
      </c>
      <c r="C5" s="77">
        <f>[2]Mediciones!H35</f>
        <v>1.8548437161027418</v>
      </c>
      <c r="D5" s="77">
        <f>[2]Mediciones!J35</f>
        <v>1.6584291622044007</v>
      </c>
      <c r="E5" s="9">
        <f>[2]Mediciones!AK35</f>
        <v>1.3520135201360978E-3</v>
      </c>
      <c r="F5" s="7">
        <f>LOG10(D5)</f>
        <v>0.21969692588820355</v>
      </c>
      <c r="G5" s="6">
        <f>LOG10(E5)</f>
        <v>-2.8690189654275611</v>
      </c>
    </row>
    <row r="6" spans="2:7" x14ac:dyDescent="0.45">
      <c r="B6" s="9" t="str">
        <f>[2]Mediciones!B36</f>
        <v>M1 - Mod</v>
      </c>
      <c r="C6" s="77">
        <f>[2]Mediciones!H36</f>
        <v>1.9719402208410066</v>
      </c>
      <c r="D6" s="77">
        <f>[2]Mediciones!J36</f>
        <v>1.763728134637909</v>
      </c>
      <c r="E6" s="9">
        <f>[2]Mediciones!AK36</f>
        <v>1.3460134601345421E-3</v>
      </c>
      <c r="F6" s="7">
        <f t="shared" ref="F6:G38" si="0">LOG10(D6)</f>
        <v>0.24643164274258125</v>
      </c>
      <c r="G6" s="6">
        <f t="shared" si="0"/>
        <v>-2.8709505971455274</v>
      </c>
    </row>
    <row r="7" spans="2:7" x14ac:dyDescent="0.45">
      <c r="B7" s="9" t="str">
        <f>[2]Mediciones!B37</f>
        <v>M2 - Mod</v>
      </c>
      <c r="C7" s="77">
        <f>[2]Mediciones!H37</f>
        <v>1.8449074849044513</v>
      </c>
      <c r="D7" s="77">
        <f>[2]Mediciones!J37</f>
        <v>1.6822689096024417</v>
      </c>
      <c r="E7" s="9">
        <f>[2]Mediciones!AK37</f>
        <v>1.2780127801285319E-3</v>
      </c>
      <c r="F7" s="7">
        <f t="shared" si="0"/>
        <v>0.22589541870439864</v>
      </c>
      <c r="G7" s="6">
        <f t="shared" si="0"/>
        <v>-2.8934648032108363</v>
      </c>
    </row>
    <row r="8" spans="2:7" x14ac:dyDescent="0.45">
      <c r="B8" s="9" t="str">
        <f>[2]Mediciones!B38</f>
        <v>M3 - Mod</v>
      </c>
      <c r="C8" s="77">
        <f>[2]Mediciones!H38</f>
        <v>1.7814187415561826</v>
      </c>
      <c r="D8" s="77">
        <f>[2]Mediciones!J38</f>
        <v>1.6483733962172045</v>
      </c>
      <c r="E8" s="9">
        <f>[2]Mediciones!AK38</f>
        <v>1.2380123801243302E-3</v>
      </c>
      <c r="F8" s="7">
        <f t="shared" si="0"/>
        <v>0.21705559665011087</v>
      </c>
      <c r="G8" s="6">
        <f t="shared" si="0"/>
        <v>-2.9072750123491815</v>
      </c>
    </row>
    <row r="9" spans="2:7" x14ac:dyDescent="0.45">
      <c r="B9" s="9" t="str">
        <f>[2]Mediciones!B39</f>
        <v>M1 - Est</v>
      </c>
      <c r="C9" s="77">
        <f>[2]Mediciones!H39</f>
        <v>1.6522742875839982</v>
      </c>
      <c r="D9" s="77">
        <f>[2]Mediciones!J39</f>
        <v>1.480677915463195</v>
      </c>
      <c r="E9" s="9">
        <f>[2]Mediciones!AK39</f>
        <v>1.8960189601884298E-3</v>
      </c>
      <c r="F9" s="7">
        <f t="shared" si="0"/>
        <v>0.17046059886584766</v>
      </c>
      <c r="G9" s="6">
        <f t="shared" si="0"/>
        <v>-2.722157324031687</v>
      </c>
    </row>
    <row r="10" spans="2:7" x14ac:dyDescent="0.45">
      <c r="B10" s="9" t="str">
        <f>[2]Mediciones!B40</f>
        <v>M2 - Est</v>
      </c>
      <c r="C10" s="77">
        <f>[2]Mediciones!H40</f>
        <v>1.6910926798682204</v>
      </c>
      <c r="D10" s="77">
        <f>[2]Mediciones!J40</f>
        <v>1.4904689597154233</v>
      </c>
      <c r="E10" s="9">
        <f>[2]Mediciones!AK40</f>
        <v>1.83601836018994E-3</v>
      </c>
      <c r="F10" s="7">
        <f t="shared" si="0"/>
        <v>0.17332293591062867</v>
      </c>
      <c r="G10" s="6">
        <f t="shared" si="0"/>
        <v>-2.7361229801667433</v>
      </c>
    </row>
    <row r="11" spans="2:7" x14ac:dyDescent="0.45">
      <c r="B11" s="9" t="str">
        <f>[2]Mediciones!B41</f>
        <v>M3 - Est</v>
      </c>
      <c r="C11" s="77">
        <f>[2]Mediciones!H41</f>
        <v>1.7439839744061931</v>
      </c>
      <c r="D11" s="77">
        <f>[2]Mediciones!J41</f>
        <v>1.5294344523239138</v>
      </c>
      <c r="E11" s="9">
        <f>[2]Mediciones!AK41</f>
        <v>1.4240142401433782E-3</v>
      </c>
      <c r="F11" s="7">
        <f t="shared" si="0"/>
        <v>0.18453086896108412</v>
      </c>
      <c r="G11" s="6">
        <f t="shared" si="0"/>
        <v>-2.8464856677323307</v>
      </c>
    </row>
    <row r="12" spans="2:7" x14ac:dyDescent="0.45">
      <c r="B12" s="9" t="str">
        <f>[2]Mediciones!B42</f>
        <v>M4 - Est</v>
      </c>
      <c r="C12" s="77">
        <f>[2]Mediciones!H42</f>
        <v>1.7820623952024157</v>
      </c>
      <c r="D12" s="77">
        <f>[2]Mediciones!J42</f>
        <v>1.5475074537777984</v>
      </c>
      <c r="E12" s="9">
        <f>[2]Mediciones!AK42</f>
        <v>1.6520165201640679E-3</v>
      </c>
      <c r="F12" s="7">
        <f t="shared" si="0"/>
        <v>0.18963274953498022</v>
      </c>
      <c r="G12" s="6">
        <f t="shared" si="0"/>
        <v>-2.7819856140494008</v>
      </c>
    </row>
    <row r="13" spans="2:7" x14ac:dyDescent="0.45">
      <c r="B13" s="167"/>
      <c r="C13" s="168"/>
      <c r="D13" s="168"/>
      <c r="E13" s="169"/>
      <c r="F13" s="7"/>
    </row>
    <row r="14" spans="2:7" x14ac:dyDescent="0.45">
      <c r="B14" s="9" t="str">
        <f>[2]Mediciones!B49</f>
        <v>M4 - Mod</v>
      </c>
      <c r="C14" s="77">
        <f>[2]Mediciones!H49</f>
        <v>2.0315409830870035</v>
      </c>
      <c r="D14" s="77">
        <f>[2]Mediciones!J49</f>
        <v>1.7772421994397172</v>
      </c>
      <c r="E14" s="9">
        <f>[2]Mediciones!AK49</f>
        <v>1.3240132401346459E-3</v>
      </c>
      <c r="F14" s="7">
        <f t="shared" si="0"/>
        <v>0.24974661672628651</v>
      </c>
      <c r="G14" s="6">
        <f t="shared" si="0"/>
        <v>-2.8781076719290488</v>
      </c>
    </row>
    <row r="15" spans="2:7" x14ac:dyDescent="0.45">
      <c r="B15" s="9" t="str">
        <f>[2]Mediciones!B50</f>
        <v>M5 - Mod</v>
      </c>
      <c r="C15" s="77">
        <f>[2]Mediciones!H50</f>
        <v>1.9880315619968192</v>
      </c>
      <c r="D15" s="77">
        <f>[2]Mediciones!J50</f>
        <v>1.6951263354634258</v>
      </c>
      <c r="E15" s="9">
        <f>[2]Mediciones!AK50</f>
        <v>1.484014840148264E-3</v>
      </c>
      <c r="F15" s="7">
        <f t="shared" si="0"/>
        <v>0.22920207112317759</v>
      </c>
      <c r="G15" s="6">
        <f t="shared" si="0"/>
        <v>-2.8285617560904979</v>
      </c>
    </row>
    <row r="16" spans="2:7" x14ac:dyDescent="0.45">
      <c r="B16" s="9" t="str">
        <f>[2]Mediciones!B51</f>
        <v>M6 - Mod</v>
      </c>
      <c r="C16" s="77">
        <f>[2]Mediciones!H51</f>
        <v>1.9363247190828075</v>
      </c>
      <c r="D16" s="77">
        <f>[2]Mediciones!J51</f>
        <v>1.6321784584194605</v>
      </c>
      <c r="E16" s="9">
        <f>[2]Mediciones!AK51</f>
        <v>1.5760157601505359E-3</v>
      </c>
      <c r="F16" s="7">
        <f t="shared" si="0"/>
        <v>0.21276764171541837</v>
      </c>
      <c r="G16" s="6">
        <f t="shared" si="0"/>
        <v>-2.8024394438818767</v>
      </c>
    </row>
    <row r="17" spans="2:13" x14ac:dyDescent="0.45">
      <c r="B17" s="9" t="str">
        <f>[2]Mediciones!B52</f>
        <v>M5 - Est</v>
      </c>
      <c r="C17" s="77">
        <f>[2]Mediciones!H52</f>
        <v>1.8753921739061294</v>
      </c>
      <c r="D17" s="77">
        <f>[2]Mediciones!J52</f>
        <v>1.6090048691339709</v>
      </c>
      <c r="E17" s="9">
        <f>[2]Mediciones!AK52</f>
        <v>1.686016860168494E-3</v>
      </c>
      <c r="F17" s="7">
        <f t="shared" si="0"/>
        <v>0.20655735835311007</v>
      </c>
      <c r="G17" s="6">
        <f t="shared" si="0"/>
        <v>-2.7731380867447704</v>
      </c>
    </row>
    <row r="18" spans="2:13" x14ac:dyDescent="0.45">
      <c r="B18" s="9" t="str">
        <f>[2]Mediciones!B53</f>
        <v>M6 - Est</v>
      </c>
      <c r="C18" s="77">
        <f>[2]Mediciones!H53</f>
        <v>1.9187315194191186</v>
      </c>
      <c r="D18" s="77">
        <f>[2]Mediciones!J53</f>
        <v>1.6060302554528956</v>
      </c>
      <c r="E18" s="9">
        <f>[2]Mediciones!AK53</f>
        <v>1.9700197001942142E-3</v>
      </c>
      <c r="F18" s="7">
        <f t="shared" si="0"/>
        <v>0.20575372254445004</v>
      </c>
      <c r="G18" s="6">
        <f t="shared" si="0"/>
        <v>-2.7055294308724878</v>
      </c>
    </row>
    <row r="19" spans="2:13" x14ac:dyDescent="0.45">
      <c r="B19" s="9" t="str">
        <f>[2]Mediciones!B54</f>
        <v>M2 - Mod</v>
      </c>
      <c r="C19" s="77">
        <f>[2]Mediciones!H54</f>
        <v>1.9110076756643286</v>
      </c>
      <c r="D19" s="77">
        <f>[2]Mediciones!J54</f>
        <v>1.6867190368361413</v>
      </c>
      <c r="E19" s="9">
        <f>[2]Mediciones!AK54</f>
        <v>1.4060140601390699E-3</v>
      </c>
      <c r="F19" s="7">
        <f t="shared" si="0"/>
        <v>0.22704274654060919</v>
      </c>
      <c r="G19" s="6">
        <f t="shared" si="0"/>
        <v>-2.8520103363501339</v>
      </c>
    </row>
    <row r="20" spans="2:13" x14ac:dyDescent="0.45">
      <c r="B20" s="9" t="str">
        <f>[2]Mediciones!B55</f>
        <v>M3 - Mod</v>
      </c>
      <c r="C20" s="77">
        <f>[2]Mediciones!H55</f>
        <v>1.9399720897447918</v>
      </c>
      <c r="D20" s="77">
        <f>[2]Mediciones!J55</f>
        <v>1.678484887889131</v>
      </c>
      <c r="E20" s="9">
        <f>[2]Mediciones!AK55</f>
        <v>1.516015160152762E-3</v>
      </c>
      <c r="F20" s="7">
        <f t="shared" si="0"/>
        <v>0.22491743546433784</v>
      </c>
      <c r="G20" s="6">
        <f t="shared" si="0"/>
        <v>-2.8192964557370987</v>
      </c>
    </row>
    <row r="21" spans="2:13" x14ac:dyDescent="0.45">
      <c r="B21" s="9" t="str">
        <f>[2]Mediciones!B56</f>
        <v>M4 - Mod</v>
      </c>
      <c r="C21" s="77">
        <f>[2]Mediciones!H56</f>
        <v>1.8732466617520214</v>
      </c>
      <c r="D21" s="77">
        <f>[2]Mediciones!J56</f>
        <v>1.601954608561813</v>
      </c>
      <c r="E21" s="9">
        <f>[2]Mediciones!AK56</f>
        <v>1.455014550145075E-3</v>
      </c>
      <c r="F21" s="7">
        <f t="shared" si="0"/>
        <v>0.20465020617367738</v>
      </c>
      <c r="G21" s="6">
        <f t="shared" si="0"/>
        <v>-2.8371326637116674</v>
      </c>
    </row>
    <row r="22" spans="2:13" x14ac:dyDescent="0.45">
      <c r="B22" s="167"/>
      <c r="C22" s="168"/>
      <c r="D22" s="168"/>
      <c r="E22" s="169"/>
      <c r="F22" s="7"/>
    </row>
    <row r="23" spans="2:13" x14ac:dyDescent="0.45">
      <c r="B23" s="9" t="s">
        <v>175</v>
      </c>
      <c r="C23" s="127">
        <v>2.001707489085768</v>
      </c>
      <c r="D23" s="9">
        <v>1.7192063529999999</v>
      </c>
      <c r="E23" s="9">
        <v>1.6211000000000001E-3</v>
      </c>
      <c r="F23" s="7">
        <f t="shared" si="0"/>
        <v>0.23532800733898582</v>
      </c>
      <c r="G23" s="6">
        <f t="shared" si="0"/>
        <v>-2.7901901942146208</v>
      </c>
    </row>
    <row r="24" spans="2:13" x14ac:dyDescent="0.45">
      <c r="B24" s="9" t="s">
        <v>176</v>
      </c>
      <c r="C24" s="127">
        <v>1.8919395711267837</v>
      </c>
      <c r="D24" s="9">
        <v>1.584155443</v>
      </c>
      <c r="E24" s="9">
        <v>1.7334E-3</v>
      </c>
      <c r="F24" s="7">
        <f t="shared" si="0"/>
        <v>0.19979779387277841</v>
      </c>
      <c r="G24" s="6">
        <f t="shared" si="0"/>
        <v>-2.7611012077721595</v>
      </c>
      <c r="M24" s="6" t="s">
        <v>158</v>
      </c>
    </row>
    <row r="25" spans="2:13" x14ac:dyDescent="0.45">
      <c r="B25" s="9" t="s">
        <v>177</v>
      </c>
      <c r="C25" s="127">
        <v>1.9461801186272207</v>
      </c>
      <c r="D25" s="9">
        <v>1.6813938349999999</v>
      </c>
      <c r="E25" s="9">
        <v>1.5820999999999999E-3</v>
      </c>
      <c r="F25" s="7">
        <f t="shared" si="0"/>
        <v>0.22566945069956357</v>
      </c>
      <c r="G25" s="6">
        <f t="shared" si="0"/>
        <v>-2.8007660694630983</v>
      </c>
      <c r="M25" s="6" t="s">
        <v>159</v>
      </c>
    </row>
    <row r="26" spans="2:13" x14ac:dyDescent="0.45">
      <c r="B26" s="9" t="s">
        <v>178</v>
      </c>
      <c r="C26" s="127">
        <v>1.9580542057092289</v>
      </c>
      <c r="D26" s="9">
        <v>1.6983125750000001</v>
      </c>
      <c r="E26" s="9">
        <v>1.4258000000000001E-3</v>
      </c>
      <c r="F26" s="7">
        <f t="shared" si="0"/>
        <v>0.23001762530989792</v>
      </c>
      <c r="G26" s="6">
        <f t="shared" si="0"/>
        <v>-2.8459413896230292</v>
      </c>
      <c r="M26" s="120">
        <v>0.8</v>
      </c>
    </row>
    <row r="27" spans="2:13" x14ac:dyDescent="0.45">
      <c r="B27" s="9" t="s">
        <v>179</v>
      </c>
      <c r="C27" s="127">
        <v>1.8676463039978548</v>
      </c>
      <c r="D27" s="9">
        <v>1.738761829</v>
      </c>
      <c r="E27" s="9">
        <v>1.6161999999999999E-3</v>
      </c>
      <c r="F27" s="7">
        <f t="shared" si="0"/>
        <v>0.24024009756628639</v>
      </c>
      <c r="G27" s="6">
        <f t="shared" si="0"/>
        <v>-2.7915048975701628</v>
      </c>
    </row>
    <row r="28" spans="2:13" x14ac:dyDescent="0.45">
      <c r="B28" s="9" t="s">
        <v>180</v>
      </c>
      <c r="C28" s="127">
        <v>1.9752560920461879</v>
      </c>
      <c r="D28" s="9">
        <v>1.624408437</v>
      </c>
      <c r="E28" s="9">
        <v>1.9434000000000001E-3</v>
      </c>
      <c r="F28" s="7">
        <f t="shared" si="0"/>
        <v>0.21069523650196156</v>
      </c>
      <c r="G28" s="6">
        <f t="shared" si="0"/>
        <v>-2.7114378016061793</v>
      </c>
    </row>
    <row r="29" spans="2:13" x14ac:dyDescent="0.45">
      <c r="B29" s="9" t="s">
        <v>181</v>
      </c>
      <c r="C29" s="127">
        <v>1.9145503142584703</v>
      </c>
      <c r="D29" s="9">
        <v>1.655708519</v>
      </c>
      <c r="E29" s="9">
        <v>1.9688000000000002E-3</v>
      </c>
      <c r="F29" s="7">
        <f t="shared" si="0"/>
        <v>0.21898388333537189</v>
      </c>
      <c r="G29" s="6">
        <f t="shared" si="0"/>
        <v>-2.7057983993052539</v>
      </c>
    </row>
    <row r="30" spans="2:13" x14ac:dyDescent="0.45">
      <c r="B30" s="9" t="s">
        <v>182</v>
      </c>
      <c r="C30" s="127">
        <v>1.9587817230230093</v>
      </c>
      <c r="D30" s="9"/>
      <c r="E30" s="9"/>
      <c r="F30" s="7"/>
      <c r="H30" s="9">
        <v>1.715820696</v>
      </c>
      <c r="I30" s="9">
        <v>2.5390999999999999E-3</v>
      </c>
    </row>
    <row r="31" spans="2:13" x14ac:dyDescent="0.45">
      <c r="B31" s="9" t="s">
        <v>183</v>
      </c>
      <c r="C31" s="127">
        <v>1.9247477717821611</v>
      </c>
      <c r="D31" s="9">
        <v>1.680350877</v>
      </c>
      <c r="E31" s="9">
        <v>1.5938E-3</v>
      </c>
      <c r="F31" s="7">
        <f t="shared" si="0"/>
        <v>0.22539997698422029</v>
      </c>
      <c r="G31" s="6">
        <f>LOG10(E31)</f>
        <v>-2.7975661775107672</v>
      </c>
    </row>
    <row r="32" spans="2:13" x14ac:dyDescent="0.45">
      <c r="B32" s="9" t="s">
        <v>184</v>
      </c>
      <c r="C32" s="127">
        <v>1.9058618752045113</v>
      </c>
      <c r="D32" s="9">
        <v>1.7011513680000001</v>
      </c>
      <c r="E32" s="9">
        <v>1.6094E-3</v>
      </c>
      <c r="F32" s="7">
        <f t="shared" si="0"/>
        <v>0.23074295874035403</v>
      </c>
      <c r="G32" s="6">
        <f>LOG10(E32)</f>
        <v>-2.7933360030090642</v>
      </c>
    </row>
    <row r="33" spans="2:9" x14ac:dyDescent="0.45">
      <c r="B33" s="9" t="s">
        <v>185</v>
      </c>
      <c r="C33" s="127">
        <v>1.9625142469395638</v>
      </c>
      <c r="D33" s="9"/>
      <c r="E33" s="9"/>
      <c r="F33" s="7"/>
      <c r="H33" s="9">
        <v>1.593159483</v>
      </c>
      <c r="I33" s="9">
        <v>2.3281999999999999E-3</v>
      </c>
    </row>
    <row r="34" spans="2:9" x14ac:dyDescent="0.45">
      <c r="B34" s="9" t="s">
        <v>186</v>
      </c>
      <c r="C34" s="127">
        <v>1.9721006595340227</v>
      </c>
      <c r="D34" s="9">
        <v>1.7352276259999999</v>
      </c>
      <c r="E34" s="9">
        <v>1.9189999999999999E-3</v>
      </c>
      <c r="F34" s="7">
        <f t="shared" si="0"/>
        <v>0.2393564533237082</v>
      </c>
      <c r="G34" s="6">
        <f>LOG10(E34)</f>
        <v>-2.7169250252645285</v>
      </c>
    </row>
    <row r="35" spans="2:9" x14ac:dyDescent="0.45">
      <c r="B35" s="9" t="s">
        <v>187</v>
      </c>
      <c r="C35" s="127">
        <v>1.8613978955373476</v>
      </c>
      <c r="D35" s="9"/>
      <c r="E35" s="9"/>
      <c r="F35" s="7"/>
      <c r="H35" s="9">
        <v>1.6758955090000001</v>
      </c>
      <c r="I35" s="9">
        <v>2.3340000000000001E-3</v>
      </c>
    </row>
    <row r="36" spans="2:9" x14ac:dyDescent="0.45">
      <c r="B36" s="9" t="s">
        <v>188</v>
      </c>
      <c r="C36" s="127">
        <v>1.903087988825213</v>
      </c>
      <c r="D36" s="9">
        <v>1.705817017</v>
      </c>
      <c r="E36" s="9">
        <v>1.709E-3</v>
      </c>
      <c r="F36" s="7">
        <f t="shared" si="0"/>
        <v>0.23193244255874731</v>
      </c>
      <c r="G36" s="6">
        <f>LOG10(E36)</f>
        <v>-2.7672579372792629</v>
      </c>
    </row>
    <row r="37" spans="2:9" x14ac:dyDescent="0.45">
      <c r="B37" s="9" t="s">
        <v>189</v>
      </c>
      <c r="C37" s="127">
        <v>1.8162089203859249</v>
      </c>
      <c r="D37" s="9">
        <v>1.555102102</v>
      </c>
      <c r="E37" s="9">
        <v>1.6992999999999999E-3</v>
      </c>
      <c r="F37" s="7">
        <f t="shared" si="0"/>
        <v>0.19175890839789564</v>
      </c>
      <c r="G37" s="6">
        <f>LOG10(E37)</f>
        <v>-2.7697299425887953</v>
      </c>
    </row>
    <row r="38" spans="2:9" x14ac:dyDescent="0.45">
      <c r="B38" s="9" t="s">
        <v>190</v>
      </c>
      <c r="C38" s="127">
        <v>1.8935386732123702</v>
      </c>
      <c r="D38" s="9">
        <v>1.72366369</v>
      </c>
      <c r="E38" s="9">
        <v>1.4844000000000001E-3</v>
      </c>
      <c r="F38" s="7">
        <f t="shared" si="0"/>
        <v>0.23645253305181321</v>
      </c>
      <c r="G38" s="6">
        <f>LOG10(E38)</f>
        <v>-2.8284490543232543</v>
      </c>
    </row>
  </sheetData>
  <mergeCells count="3">
    <mergeCell ref="B4:E4"/>
    <mergeCell ref="B13:E13"/>
    <mergeCell ref="B22:E22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823C7-DE93-4E97-A9CB-910FF4316B1D}">
  <dimension ref="A2:AN32"/>
  <sheetViews>
    <sheetView topLeftCell="U7" zoomScale="70" workbookViewId="0">
      <selection activeCell="Q15" sqref="Q15"/>
    </sheetView>
  </sheetViews>
  <sheetFormatPr defaultRowHeight="14.25" x14ac:dyDescent="0.45"/>
  <cols>
    <col min="1" max="1" width="9.06640625" style="6"/>
    <col min="2" max="2" width="12.59765625" style="6" bestFit="1" customWidth="1"/>
    <col min="3" max="3" width="8.1328125" style="6" bestFit="1" customWidth="1"/>
    <col min="4" max="4" width="11.3984375" style="6" hidden="1" customWidth="1"/>
    <col min="5" max="5" width="10.73046875" style="6" hidden="1" customWidth="1"/>
    <col min="6" max="6" width="13.06640625" style="6" bestFit="1" customWidth="1"/>
    <col min="7" max="7" width="9.06640625" style="6"/>
    <col min="8" max="8" width="14.46484375" style="6" bestFit="1" customWidth="1"/>
    <col min="9" max="9" width="11.6640625" style="6" bestFit="1" customWidth="1"/>
    <col min="10" max="10" width="9.06640625" style="6"/>
    <col min="11" max="11" width="7.9296875" style="6" bestFit="1" customWidth="1"/>
    <col min="12" max="12" width="9.796875" style="6" bestFit="1" customWidth="1"/>
    <col min="13" max="13" width="10.46484375" style="6" bestFit="1" customWidth="1"/>
    <col min="14" max="14" width="12.73046875" style="6" bestFit="1" customWidth="1"/>
    <col min="15" max="15" width="9.06640625" style="6"/>
    <col min="16" max="16" width="10.19921875" style="6" bestFit="1" customWidth="1"/>
    <col min="17" max="21" width="9.06640625" style="6"/>
    <col min="22" max="22" width="9.73046875" style="6" bestFit="1" customWidth="1"/>
    <col min="23" max="23" width="9.796875" style="6" bestFit="1" customWidth="1"/>
    <col min="24" max="26" width="9.73046875" style="6" bestFit="1" customWidth="1"/>
    <col min="27" max="27" width="9.796875" style="6" bestFit="1" customWidth="1"/>
    <col min="28" max="31" width="9.73046875" style="6" bestFit="1" customWidth="1"/>
    <col min="32" max="32" width="9.796875" style="6" bestFit="1" customWidth="1"/>
    <col min="33" max="33" width="9.73046875" style="6" bestFit="1" customWidth="1"/>
    <col min="34" max="34" width="11.73046875" style="6" bestFit="1" customWidth="1"/>
    <col min="35" max="35" width="9.06640625" style="6"/>
    <col min="36" max="37" width="11.73046875" style="6" bestFit="1" customWidth="1"/>
    <col min="38" max="16384" width="9.06640625" style="6"/>
  </cols>
  <sheetData>
    <row r="2" spans="1:40" x14ac:dyDescent="0.45">
      <c r="A2" s="8"/>
      <c r="B2" s="97" t="s">
        <v>191</v>
      </c>
      <c r="C2" s="97" t="s">
        <v>86</v>
      </c>
      <c r="D2" s="97" t="s">
        <v>192</v>
      </c>
      <c r="E2" s="97" t="s">
        <v>60</v>
      </c>
      <c r="F2" s="97" t="s">
        <v>193</v>
      </c>
      <c r="G2" s="97" t="s">
        <v>194</v>
      </c>
      <c r="H2" s="97" t="s">
        <v>195</v>
      </c>
      <c r="I2" s="97" t="s">
        <v>196</v>
      </c>
      <c r="J2" s="28" t="s">
        <v>197</v>
      </c>
      <c r="K2" s="28" t="s">
        <v>60</v>
      </c>
      <c r="L2" s="28" t="s">
        <v>198</v>
      </c>
      <c r="M2" s="28" t="s">
        <v>199</v>
      </c>
      <c r="N2" s="28" t="s">
        <v>200</v>
      </c>
      <c r="P2" s="97" t="s">
        <v>191</v>
      </c>
      <c r="Q2" s="97" t="s">
        <v>61</v>
      </c>
      <c r="R2" s="97" t="s">
        <v>201</v>
      </c>
      <c r="S2" s="97" t="s">
        <v>202</v>
      </c>
      <c r="T2" s="97" t="s">
        <v>60</v>
      </c>
      <c r="V2" s="128" t="s">
        <v>175</v>
      </c>
      <c r="W2" s="128" t="s">
        <v>183</v>
      </c>
      <c r="X2" s="128" t="s">
        <v>186</v>
      </c>
      <c r="Y2" s="128" t="s">
        <v>187</v>
      </c>
      <c r="Z2" s="128" t="s">
        <v>179</v>
      </c>
      <c r="AA2" s="128" t="s">
        <v>178</v>
      </c>
      <c r="AB2" s="128" t="s">
        <v>190</v>
      </c>
      <c r="AC2" s="128" t="s">
        <v>182</v>
      </c>
      <c r="AD2" s="128" t="s">
        <v>177</v>
      </c>
      <c r="AE2" s="128" t="s">
        <v>181</v>
      </c>
      <c r="AF2" s="128" t="s">
        <v>184</v>
      </c>
      <c r="AG2" s="128" t="s">
        <v>188</v>
      </c>
      <c r="AH2" s="128" t="s">
        <v>176</v>
      </c>
      <c r="AI2" s="128" t="s">
        <v>180</v>
      </c>
      <c r="AJ2" s="128" t="s">
        <v>189</v>
      </c>
      <c r="AK2" s="128" t="s">
        <v>185</v>
      </c>
      <c r="AN2" s="6" t="s">
        <v>203</v>
      </c>
    </row>
    <row r="3" spans="1:40" x14ac:dyDescent="0.45">
      <c r="A3" s="8"/>
      <c r="B3" s="97"/>
      <c r="C3" s="97"/>
      <c r="D3" s="97"/>
      <c r="E3" s="97"/>
      <c r="F3" s="97" t="s">
        <v>204</v>
      </c>
      <c r="G3" s="97" t="s">
        <v>204</v>
      </c>
      <c r="H3" s="97" t="s">
        <v>204</v>
      </c>
      <c r="I3" s="97" t="s">
        <v>204</v>
      </c>
      <c r="J3" s="28"/>
      <c r="K3" s="97" t="s">
        <v>88</v>
      </c>
      <c r="L3" s="28" t="s">
        <v>205</v>
      </c>
      <c r="M3" s="8" t="s">
        <v>206</v>
      </c>
      <c r="N3" s="8"/>
      <c r="P3" s="9" t="s">
        <v>207</v>
      </c>
      <c r="Q3" s="8">
        <v>3576.8</v>
      </c>
      <c r="R3" s="8">
        <v>101.16</v>
      </c>
      <c r="S3" s="8">
        <v>116.52</v>
      </c>
      <c r="T3" s="8">
        <f>(((R3/10)^2)*PI()/4)*(S3/10)</f>
        <v>936.5004678361762</v>
      </c>
      <c r="V3" s="6">
        <v>1.6796999999999999E-3</v>
      </c>
      <c r="W3" s="6">
        <v>1.6406999999999999E-3</v>
      </c>
      <c r="X3" s="6">
        <v>1.4649000000000001E-3</v>
      </c>
      <c r="Y3" s="6">
        <v>2.4023999999999998E-3</v>
      </c>
      <c r="Z3" s="6">
        <v>1.6406999999999999E-3</v>
      </c>
      <c r="AA3" s="6">
        <v>1.3672000000000001E-3</v>
      </c>
      <c r="AB3" s="6">
        <v>1.6211000000000001E-3</v>
      </c>
      <c r="AC3" s="6">
        <v>2.7734999999999999E-3</v>
      </c>
      <c r="AD3" s="6">
        <v>1.6015999999999999E-3</v>
      </c>
      <c r="AE3" s="6">
        <v>1.9727E-3</v>
      </c>
      <c r="AF3" s="6">
        <v>1.5039000000000001E-3</v>
      </c>
      <c r="AG3" s="6">
        <v>1.7382999999999999E-3</v>
      </c>
      <c r="AH3" s="6">
        <v>1.8163999999999999E-3</v>
      </c>
      <c r="AI3" s="6">
        <v>2.1094E-3</v>
      </c>
      <c r="AJ3" s="6">
        <v>1.7968999999999999E-3</v>
      </c>
      <c r="AK3" s="6">
        <v>2.5390999999999999E-3</v>
      </c>
      <c r="AN3" s="6">
        <v>1.6211000000000001E-3</v>
      </c>
    </row>
    <row r="4" spans="1:40" x14ac:dyDescent="0.45">
      <c r="A4" s="129">
        <v>1</v>
      </c>
      <c r="B4" s="9" t="s">
        <v>207</v>
      </c>
      <c r="C4" s="9">
        <v>29</v>
      </c>
      <c r="D4" s="9"/>
      <c r="E4" s="9"/>
      <c r="F4" s="9">
        <v>5451.4</v>
      </c>
      <c r="G4" s="9">
        <v>17.559999999999999</v>
      </c>
      <c r="H4" s="9">
        <v>62.17</v>
      </c>
      <c r="I4" s="9">
        <v>56.31</v>
      </c>
      <c r="J4" s="130">
        <f>(H4-I4)/(I4-G4)</f>
        <v>0.15122580645161288</v>
      </c>
      <c r="K4" s="131">
        <f>LOOKUP(B4,$P$3:$P$9,$T$3:$T$9)</f>
        <v>936.5004678361762</v>
      </c>
      <c r="L4" s="132">
        <f>F4-LOOKUP(B4,$P$3:$P$9,$Q$3:$Q$9)</f>
        <v>1874.5999999999995</v>
      </c>
      <c r="M4" s="133">
        <f>L4/K4</f>
        <v>2.001707489085768</v>
      </c>
      <c r="N4" s="133">
        <f>M4/(1+J4)</f>
        <v>1.7387618292327622</v>
      </c>
      <c r="O4" s="6">
        <v>1.7387618292327622</v>
      </c>
      <c r="P4" s="9" t="s">
        <v>208</v>
      </c>
      <c r="Q4" s="8">
        <v>3581.6</v>
      </c>
      <c r="R4" s="8">
        <v>101.4</v>
      </c>
      <c r="S4" s="8">
        <v>116.63</v>
      </c>
      <c r="T4" s="8">
        <f t="shared" ref="T4:T9" si="0">(((R4/10)^2)*PI()/4)*(S4/10)</f>
        <v>941.83769248969872</v>
      </c>
      <c r="V4" s="6">
        <v>1.6015999999999999E-3</v>
      </c>
      <c r="W4" s="6">
        <v>1.5625000000000001E-3</v>
      </c>
      <c r="X4" s="6">
        <v>2.1094E-3</v>
      </c>
      <c r="Y4" s="6">
        <v>2.4415000000000001E-3</v>
      </c>
      <c r="Z4" s="6">
        <v>1.6406999999999999E-3</v>
      </c>
      <c r="AA4" s="6">
        <v>1.4258000000000001E-3</v>
      </c>
      <c r="AB4" s="6">
        <v>1.4649000000000001E-3</v>
      </c>
      <c r="AC4" s="6">
        <v>2.5782000000000001E-3</v>
      </c>
      <c r="AD4" s="6">
        <v>1.4453000000000001E-3</v>
      </c>
      <c r="AE4" s="6">
        <v>1.9727E-3</v>
      </c>
      <c r="AF4" s="6">
        <v>1.6406999999999999E-3</v>
      </c>
      <c r="AG4" s="6">
        <v>1.7187999999999999E-3</v>
      </c>
      <c r="AH4" s="6">
        <v>1.7382999999999999E-3</v>
      </c>
      <c r="AI4" s="6">
        <v>1.8946E-3</v>
      </c>
      <c r="AJ4" s="6">
        <v>1.6992999999999999E-3</v>
      </c>
      <c r="AK4" s="6">
        <v>2.2656999999999998E-3</v>
      </c>
      <c r="AN4" s="6">
        <v>1.7334E-3</v>
      </c>
    </row>
    <row r="5" spans="1:40" x14ac:dyDescent="0.45">
      <c r="A5" s="8">
        <v>2</v>
      </c>
      <c r="B5" s="9" t="s">
        <v>208</v>
      </c>
      <c r="C5" s="9">
        <v>29</v>
      </c>
      <c r="D5" s="9"/>
      <c r="E5" s="9"/>
      <c r="F5" s="9">
        <v>5363.5</v>
      </c>
      <c r="G5" s="9">
        <v>17.88</v>
      </c>
      <c r="H5" s="9">
        <v>55.01</v>
      </c>
      <c r="I5" s="9">
        <v>51.21</v>
      </c>
      <c r="J5" s="130">
        <f t="shared" ref="J5:J19" si="1">(H5-I5)/(I5-G5)</f>
        <v>0.11401140114011393</v>
      </c>
      <c r="K5" s="131">
        <f t="shared" ref="K5:K19" si="2">LOOKUP(B5,$P$3:$P$9,$T$3:$T$9)</f>
        <v>941.83769248969872</v>
      </c>
      <c r="L5" s="132">
        <f t="shared" ref="L5:L19" si="3">F5-LOOKUP(B5,$P$3:$P$9,$Q$3:$Q$9)</f>
        <v>1781.9</v>
      </c>
      <c r="M5" s="133">
        <f t="shared" ref="M5:M19" si="4">L5/K5</f>
        <v>1.8919395711267837</v>
      </c>
      <c r="N5" s="133">
        <f t="shared" ref="N5:N19" si="5">M5/(1+J5)</f>
        <v>1.698312574889731</v>
      </c>
      <c r="O5" s="6">
        <v>1.698312574889731</v>
      </c>
      <c r="P5" s="9" t="s">
        <v>209</v>
      </c>
      <c r="Q5" s="8">
        <v>3838.4</v>
      </c>
      <c r="R5" s="8"/>
      <c r="S5" s="8"/>
      <c r="T5" s="8">
        <f>AVERAGE(T3:T4,T7,T9)</f>
        <v>942.35881995015461</v>
      </c>
      <c r="V5" s="6">
        <v>1.6406999999999999E-3</v>
      </c>
      <c r="W5" s="6">
        <v>1.6211000000000001E-3</v>
      </c>
      <c r="X5" s="6">
        <v>2.1289E-3</v>
      </c>
      <c r="Y5" s="6">
        <v>2.3633E-3</v>
      </c>
      <c r="Z5" s="6">
        <v>1.6211000000000001E-3</v>
      </c>
      <c r="AA5" s="6">
        <v>1.4844000000000001E-3</v>
      </c>
      <c r="AB5" s="6">
        <v>1.4063000000000001E-3</v>
      </c>
      <c r="AC5" s="6">
        <v>2.5977000000000001E-3</v>
      </c>
      <c r="AD5" s="6">
        <v>1.4453000000000001E-3</v>
      </c>
      <c r="AE5" s="6">
        <v>1.9727E-3</v>
      </c>
      <c r="AF5" s="6">
        <v>1.6601999999999999E-3</v>
      </c>
      <c r="AG5" s="6">
        <v>1.6992999999999999E-3</v>
      </c>
      <c r="AH5" s="6">
        <v>1.6992999999999999E-3</v>
      </c>
      <c r="AI5" s="6">
        <v>1.8749999999999999E-3</v>
      </c>
      <c r="AJ5" s="6">
        <v>1.6406999999999999E-3</v>
      </c>
      <c r="AK5" s="6">
        <v>2.3243000000000001E-3</v>
      </c>
      <c r="AN5" s="6">
        <v>1.5820999999999999E-3</v>
      </c>
    </row>
    <row r="6" spans="1:40" x14ac:dyDescent="0.45">
      <c r="A6" s="129">
        <v>3</v>
      </c>
      <c r="B6" s="9" t="s">
        <v>209</v>
      </c>
      <c r="C6" s="9">
        <v>29</v>
      </c>
      <c r="D6" s="9"/>
      <c r="E6" s="9"/>
      <c r="F6" s="9">
        <v>5672.4</v>
      </c>
      <c r="G6" s="9">
        <v>17.350000000000001</v>
      </c>
      <c r="H6" s="9">
        <v>52.16</v>
      </c>
      <c r="I6" s="9">
        <v>48.18</v>
      </c>
      <c r="J6" s="130">
        <f t="shared" si="1"/>
        <v>0.12909503730132979</v>
      </c>
      <c r="K6" s="131">
        <f t="shared" si="2"/>
        <v>942.35881995015461</v>
      </c>
      <c r="L6" s="132">
        <f t="shared" si="3"/>
        <v>1833.9999999999995</v>
      </c>
      <c r="M6" s="133">
        <f t="shared" si="4"/>
        <v>1.9461801186272207</v>
      </c>
      <c r="N6" s="133">
        <f t="shared" si="5"/>
        <v>1.7236636902406557</v>
      </c>
      <c r="O6" s="6">
        <v>1.7236636902406557</v>
      </c>
      <c r="P6" s="9" t="s">
        <v>210</v>
      </c>
      <c r="Q6" s="8">
        <v>3573</v>
      </c>
      <c r="R6" s="8">
        <v>101.5</v>
      </c>
      <c r="S6" s="8">
        <v>117.45</v>
      </c>
      <c r="T6" s="8">
        <f t="shared" si="0"/>
        <v>950.33119847976718</v>
      </c>
      <c r="V6" s="6">
        <v>1.5625000000000001E-3</v>
      </c>
      <c r="W6" s="6">
        <v>1.6406999999999999E-3</v>
      </c>
      <c r="X6" s="6">
        <v>1.9727E-3</v>
      </c>
      <c r="Y6" s="6">
        <v>2.1289E-3</v>
      </c>
      <c r="Z6" s="6">
        <v>1.5625000000000001E-3</v>
      </c>
      <c r="AA6" s="6">
        <v>1.4258000000000001E-3</v>
      </c>
      <c r="AB6" s="6">
        <v>1.4453000000000001E-3</v>
      </c>
      <c r="AC6" s="6">
        <v>2.5390999999999999E-3</v>
      </c>
      <c r="AD6" s="6">
        <v>1.836E-3</v>
      </c>
      <c r="AE6" s="6">
        <v>1.9532E-3</v>
      </c>
      <c r="AF6" s="6">
        <v>1.6211000000000001E-3</v>
      </c>
      <c r="AG6" s="6">
        <v>1.6796999999999999E-3</v>
      </c>
      <c r="AH6" s="6">
        <v>1.6796999999999999E-3</v>
      </c>
      <c r="AI6" s="6">
        <v>1.8946E-3</v>
      </c>
      <c r="AJ6" s="6">
        <v>1.6601999999999999E-3</v>
      </c>
      <c r="AK6" s="6">
        <v>2.4415000000000001E-3</v>
      </c>
      <c r="AN6" s="6">
        <v>1.4258000000000001E-3</v>
      </c>
    </row>
    <row r="7" spans="1:40" x14ac:dyDescent="0.45">
      <c r="A7" s="8">
        <v>4</v>
      </c>
      <c r="B7" s="9" t="s">
        <v>210</v>
      </c>
      <c r="C7" s="9">
        <v>29</v>
      </c>
      <c r="D7" s="9"/>
      <c r="E7" s="9"/>
      <c r="F7" s="9">
        <v>5433.8</v>
      </c>
      <c r="G7" s="9">
        <v>17.079999999999998</v>
      </c>
      <c r="H7" s="9">
        <v>58.79</v>
      </c>
      <c r="I7" s="9">
        <v>53.63</v>
      </c>
      <c r="J7" s="130">
        <f t="shared" si="1"/>
        <v>0.14117647058823518</v>
      </c>
      <c r="K7" s="131">
        <f t="shared" si="2"/>
        <v>950.33119847976718</v>
      </c>
      <c r="L7" s="132">
        <f t="shared" si="3"/>
        <v>1860.8000000000002</v>
      </c>
      <c r="M7" s="133">
        <f t="shared" si="4"/>
        <v>1.9580542057092289</v>
      </c>
      <c r="N7" s="133">
        <f t="shared" si="5"/>
        <v>1.7158206957245821</v>
      </c>
      <c r="O7" s="6">
        <v>1.7158206957245821</v>
      </c>
      <c r="P7" s="9" t="s">
        <v>211</v>
      </c>
      <c r="Q7" s="8">
        <v>3577.8</v>
      </c>
      <c r="R7" s="8">
        <v>101.45</v>
      </c>
      <c r="S7" s="8">
        <v>116.58</v>
      </c>
      <c r="T7" s="8">
        <f t="shared" si="0"/>
        <v>942.36258558837994</v>
      </c>
      <c r="W7" s="6">
        <v>1.5039000000000001E-3</v>
      </c>
      <c r="AE7" s="6">
        <v>1.9727E-3</v>
      </c>
      <c r="AF7" s="6">
        <v>1.6211000000000001E-3</v>
      </c>
      <c r="AK7" s="6">
        <v>2.0704E-3</v>
      </c>
      <c r="AN7" s="6">
        <v>1.6161999999999999E-3</v>
      </c>
    </row>
    <row r="8" spans="1:40" x14ac:dyDescent="0.45">
      <c r="A8" s="129">
        <v>5</v>
      </c>
      <c r="B8" s="9" t="s">
        <v>211</v>
      </c>
      <c r="C8" s="9">
        <v>22</v>
      </c>
      <c r="D8" s="9"/>
      <c r="E8" s="9"/>
      <c r="F8" s="9">
        <v>5337.8</v>
      </c>
      <c r="G8" s="9">
        <v>18.93</v>
      </c>
      <c r="H8" s="9">
        <v>68.19</v>
      </c>
      <c r="I8" s="9">
        <v>63.25</v>
      </c>
      <c r="J8" s="130">
        <f t="shared" si="1"/>
        <v>0.11146209386281583</v>
      </c>
      <c r="K8" s="131">
        <f t="shared" si="2"/>
        <v>942.36258558837994</v>
      </c>
      <c r="L8" s="132">
        <f t="shared" si="3"/>
        <v>1760</v>
      </c>
      <c r="M8" s="133">
        <f t="shared" si="4"/>
        <v>1.8676463039978548</v>
      </c>
      <c r="N8" s="133">
        <f t="shared" si="5"/>
        <v>1.6803508768409445</v>
      </c>
      <c r="O8" s="6">
        <v>1.6803508768409445</v>
      </c>
      <c r="P8" s="9" t="s">
        <v>212</v>
      </c>
      <c r="Q8" s="8">
        <v>2700</v>
      </c>
      <c r="R8" s="8"/>
      <c r="S8" s="8"/>
      <c r="T8" s="8">
        <f>T5</f>
        <v>942.35881995015461</v>
      </c>
      <c r="U8" s="6" t="s">
        <v>213</v>
      </c>
      <c r="V8" s="6">
        <f>ROUND(AVERAGE(V3:V7),7)</f>
        <v>1.6211000000000001E-3</v>
      </c>
      <c r="W8" s="6">
        <f t="shared" ref="W8:AK8" si="6">ROUND(AVERAGE(W3:W7),7)</f>
        <v>1.5938E-3</v>
      </c>
      <c r="X8" s="6">
        <f t="shared" si="6"/>
        <v>1.9189999999999999E-3</v>
      </c>
      <c r="Y8" s="6">
        <f t="shared" si="6"/>
        <v>2.3340000000000001E-3</v>
      </c>
      <c r="Z8" s="6">
        <f t="shared" si="6"/>
        <v>1.6163E-3</v>
      </c>
      <c r="AA8" s="6">
        <f t="shared" si="6"/>
        <v>1.4258000000000001E-3</v>
      </c>
      <c r="AB8" s="6">
        <f t="shared" si="6"/>
        <v>1.4844000000000001E-3</v>
      </c>
      <c r="AC8" s="6">
        <f t="shared" si="6"/>
        <v>2.6221E-3</v>
      </c>
      <c r="AD8" s="6">
        <f t="shared" si="6"/>
        <v>1.5820999999999999E-3</v>
      </c>
      <c r="AE8" s="6">
        <f t="shared" si="6"/>
        <v>1.9688000000000002E-3</v>
      </c>
      <c r="AF8" s="6">
        <f t="shared" si="6"/>
        <v>1.6094E-3</v>
      </c>
      <c r="AG8" s="6">
        <f t="shared" si="6"/>
        <v>1.709E-3</v>
      </c>
      <c r="AH8" s="6">
        <f t="shared" si="6"/>
        <v>1.7334E-3</v>
      </c>
      <c r="AI8" s="6">
        <f t="shared" si="6"/>
        <v>1.9434000000000001E-3</v>
      </c>
      <c r="AJ8" s="6">
        <f t="shared" si="6"/>
        <v>1.6992999999999999E-3</v>
      </c>
      <c r="AK8" s="6">
        <f t="shared" si="6"/>
        <v>2.3281999999999999E-3</v>
      </c>
      <c r="AN8" s="6">
        <v>1.9434000000000001E-3</v>
      </c>
    </row>
    <row r="9" spans="1:40" x14ac:dyDescent="0.45">
      <c r="A9" s="8">
        <v>6</v>
      </c>
      <c r="B9" s="9" t="s">
        <v>212</v>
      </c>
      <c r="C9" s="9">
        <v>22</v>
      </c>
      <c r="D9" s="9"/>
      <c r="E9" s="9"/>
      <c r="F9" s="9">
        <v>4561.3999999999996</v>
      </c>
      <c r="G9" s="9">
        <v>17.79</v>
      </c>
      <c r="H9" s="9">
        <v>55.48</v>
      </c>
      <c r="I9" s="9">
        <v>50.9</v>
      </c>
      <c r="J9" s="130">
        <f t="shared" si="1"/>
        <v>0.13832678948958013</v>
      </c>
      <c r="K9" s="131">
        <f t="shared" si="2"/>
        <v>942.35881995015461</v>
      </c>
      <c r="L9" s="132">
        <f>F9-LOOKUP(B9,$P$3:$P$9,$Q$3:$Q$9)</f>
        <v>1861.3999999999996</v>
      </c>
      <c r="M9" s="133">
        <f>L9/K9</f>
        <v>1.9752560920461879</v>
      </c>
      <c r="N9" s="133">
        <f>M9/(1+J9)</f>
        <v>1.735227625567771</v>
      </c>
      <c r="O9" s="6">
        <v>1.735227625567771</v>
      </c>
      <c r="P9" s="9" t="s">
        <v>214</v>
      </c>
      <c r="Q9" s="8">
        <v>3572.6</v>
      </c>
      <c r="R9" s="8">
        <v>101.35</v>
      </c>
      <c r="S9" s="8">
        <v>117.6</v>
      </c>
      <c r="T9" s="8">
        <f t="shared" si="0"/>
        <v>948.73453388636324</v>
      </c>
      <c r="AN9" s="6">
        <v>1.9688000000000002E-3</v>
      </c>
    </row>
    <row r="10" spans="1:40" x14ac:dyDescent="0.45">
      <c r="A10" s="129">
        <v>7</v>
      </c>
      <c r="B10" s="9" t="s">
        <v>214</v>
      </c>
      <c r="C10" s="9">
        <v>22</v>
      </c>
      <c r="D10" s="9"/>
      <c r="E10" s="9"/>
      <c r="F10" s="9">
        <v>5389</v>
      </c>
      <c r="G10" s="9">
        <v>18.86</v>
      </c>
      <c r="H10" s="9">
        <v>69.319999999999993</v>
      </c>
      <c r="I10" s="9">
        <v>63.03</v>
      </c>
      <c r="J10" s="130">
        <f t="shared" si="1"/>
        <v>0.1424043468417476</v>
      </c>
      <c r="K10" s="131">
        <f t="shared" si="2"/>
        <v>948.73453388636324</v>
      </c>
      <c r="L10" s="132">
        <f t="shared" si="3"/>
        <v>1816.4</v>
      </c>
      <c r="M10" s="133">
        <f t="shared" si="4"/>
        <v>1.9145503142584703</v>
      </c>
      <c r="N10" s="133">
        <f t="shared" si="5"/>
        <v>1.6758955089337426</v>
      </c>
      <c r="O10" s="6">
        <v>1.6758955089337426</v>
      </c>
      <c r="AN10" s="6">
        <v>2.6221E-3</v>
      </c>
    </row>
    <row r="11" spans="1:40" x14ac:dyDescent="0.45">
      <c r="A11" s="8">
        <v>8</v>
      </c>
      <c r="B11" s="9" t="s">
        <v>207</v>
      </c>
      <c r="C11" s="9">
        <v>22</v>
      </c>
      <c r="D11" s="9"/>
      <c r="E11" s="9"/>
      <c r="F11" s="9">
        <v>5411.2</v>
      </c>
      <c r="G11" s="9">
        <v>17.78</v>
      </c>
      <c r="H11" s="9">
        <v>64.22</v>
      </c>
      <c r="I11" s="9">
        <v>58.54</v>
      </c>
      <c r="J11" s="130">
        <f t="shared" si="1"/>
        <v>0.13935230618253189</v>
      </c>
      <c r="K11" s="131">
        <f t="shared" si="2"/>
        <v>936.5004678361762</v>
      </c>
      <c r="L11" s="132">
        <f t="shared" si="3"/>
        <v>1834.3999999999996</v>
      </c>
      <c r="M11" s="133">
        <f t="shared" si="4"/>
        <v>1.9587817230230093</v>
      </c>
      <c r="N11" s="133">
        <f t="shared" si="5"/>
        <v>1.7192063529375077</v>
      </c>
      <c r="O11" s="6">
        <v>1.7192063529375077</v>
      </c>
      <c r="V11" s="9">
        <v>1.6211000000000001E-3</v>
      </c>
      <c r="W11" s="9">
        <v>1.7334E-3</v>
      </c>
      <c r="X11" s="9">
        <v>1.5820999999999999E-3</v>
      </c>
      <c r="Y11" s="9">
        <v>1.4258000000000001E-3</v>
      </c>
      <c r="Z11" s="9">
        <v>1.6161999999999999E-3</v>
      </c>
      <c r="AA11" s="9">
        <v>1.9434000000000001E-3</v>
      </c>
      <c r="AB11" s="9">
        <v>1.9688000000000002E-3</v>
      </c>
      <c r="AC11" s="9">
        <v>2.6221E-3</v>
      </c>
      <c r="AD11" s="9">
        <v>1.5938E-3</v>
      </c>
      <c r="AE11" s="9">
        <v>1.6094E-3</v>
      </c>
      <c r="AF11" s="9">
        <v>2.3281999999999999E-3</v>
      </c>
      <c r="AG11" s="9">
        <v>1.9189999999999999E-3</v>
      </c>
      <c r="AH11" s="9">
        <v>2.3340000000000001E-3</v>
      </c>
      <c r="AI11" s="9">
        <v>1.709E-3</v>
      </c>
      <c r="AJ11" s="9">
        <v>1.6992999999999999E-3</v>
      </c>
      <c r="AK11" s="9">
        <v>1.4844000000000001E-3</v>
      </c>
      <c r="AN11" s="6">
        <v>1.5938E-3</v>
      </c>
    </row>
    <row r="12" spans="1:40" x14ac:dyDescent="0.45">
      <c r="A12" s="129">
        <v>9</v>
      </c>
      <c r="B12" s="9" t="s">
        <v>208</v>
      </c>
      <c r="C12" s="9">
        <v>18</v>
      </c>
      <c r="D12" s="9"/>
      <c r="E12" s="9"/>
      <c r="F12" s="9">
        <v>5394.4</v>
      </c>
      <c r="G12" s="9">
        <v>16.920000000000002</v>
      </c>
      <c r="H12" s="9">
        <v>61.37</v>
      </c>
      <c r="I12" s="9">
        <v>55.75</v>
      </c>
      <c r="J12" s="130">
        <f t="shared" si="1"/>
        <v>0.14473345351532316</v>
      </c>
      <c r="K12" s="131">
        <f t="shared" si="2"/>
        <v>941.83769248969872</v>
      </c>
      <c r="L12" s="132">
        <f t="shared" si="3"/>
        <v>1812.7999999999997</v>
      </c>
      <c r="M12" s="133">
        <f t="shared" si="4"/>
        <v>1.9247477717821611</v>
      </c>
      <c r="N12" s="133">
        <f t="shared" si="5"/>
        <v>1.6813938352823694</v>
      </c>
      <c r="O12" s="6">
        <v>1.6813938352823694</v>
      </c>
      <c r="V12" s="97" t="str">
        <f>V2</f>
        <v>M#1_22G</v>
      </c>
      <c r="W12" s="97" t="str">
        <f>AH2</f>
        <v>M#1_25EST</v>
      </c>
      <c r="X12" s="97" t="str">
        <f>AD2</f>
        <v>M#2_18G</v>
      </c>
      <c r="Y12" s="97" t="str">
        <f>AA2</f>
        <v>M#2_29G</v>
      </c>
      <c r="Z12" s="97" t="str">
        <f>Z2</f>
        <v>M#1_29G</v>
      </c>
      <c r="AA12" s="97" t="str">
        <f>AI2</f>
        <v>M#2_25EST</v>
      </c>
      <c r="AB12" s="97" t="str">
        <f>AE2</f>
        <v>M#4_18G</v>
      </c>
      <c r="AC12" s="97" t="str">
        <f>AC2</f>
        <v>M#4_29G</v>
      </c>
      <c r="AD12" s="97" t="str">
        <f>W2</f>
        <v>M#5_22G</v>
      </c>
      <c r="AE12" s="97" t="str">
        <f>AF2</f>
        <v>M#5_18G</v>
      </c>
      <c r="AF12" s="97" t="str">
        <f>AK2</f>
        <v>M#5_25EST</v>
      </c>
      <c r="AG12" s="97" t="str">
        <f>X2</f>
        <v>M#6_22G</v>
      </c>
      <c r="AH12" s="97" t="str">
        <f>Y2</f>
        <v>M#7_22G</v>
      </c>
      <c r="AI12" s="97" t="str">
        <f>AG2</f>
        <v>M#7_32G</v>
      </c>
      <c r="AJ12" s="97" t="str">
        <f>AJ2</f>
        <v>M#4_25EST</v>
      </c>
      <c r="AK12" s="97" t="str">
        <f>AB2</f>
        <v>M#3_29G</v>
      </c>
      <c r="AN12" s="6">
        <v>1.6094E-3</v>
      </c>
    </row>
    <row r="13" spans="1:40" x14ac:dyDescent="0.45">
      <c r="A13" s="8">
        <v>10</v>
      </c>
      <c r="B13" s="9" t="s">
        <v>210</v>
      </c>
      <c r="C13" s="9">
        <v>18</v>
      </c>
      <c r="D13" s="9"/>
      <c r="E13" s="9"/>
      <c r="F13" s="9">
        <v>5384.2</v>
      </c>
      <c r="G13" s="9">
        <v>16.61</v>
      </c>
      <c r="H13" s="9">
        <v>56.38</v>
      </c>
      <c r="I13" s="9">
        <v>51.16</v>
      </c>
      <c r="J13" s="130">
        <f t="shared" si="1"/>
        <v>0.15108538350217096</v>
      </c>
      <c r="K13" s="131">
        <f t="shared" si="2"/>
        <v>950.33119847976718</v>
      </c>
      <c r="L13" s="132">
        <f t="shared" si="3"/>
        <v>1811.1999999999998</v>
      </c>
      <c r="M13" s="133">
        <f t="shared" si="4"/>
        <v>1.9058618752045113</v>
      </c>
      <c r="N13" s="133">
        <f t="shared" si="5"/>
        <v>1.6557085186903659</v>
      </c>
      <c r="O13" s="6">
        <v>1.6557085186903659</v>
      </c>
      <c r="U13" s="52" t="s">
        <v>215</v>
      </c>
      <c r="V13" s="6">
        <v>1.7192063529375077</v>
      </c>
      <c r="W13" s="6">
        <v>1.5841554431297693</v>
      </c>
      <c r="X13" s="6">
        <v>1.6813938352823694</v>
      </c>
      <c r="Y13" s="6">
        <v>1.698312574889731</v>
      </c>
      <c r="Z13" s="6">
        <v>1.7387618292327622</v>
      </c>
      <c r="AA13" s="6">
        <v>1.6244084374750853</v>
      </c>
      <c r="AB13" s="6">
        <v>1.6557085186903659</v>
      </c>
      <c r="AC13" s="6">
        <v>1.7158206957245821</v>
      </c>
      <c r="AD13" s="6">
        <v>1.6803508768409445</v>
      </c>
      <c r="AE13" s="6">
        <v>1.7011513682583603</v>
      </c>
      <c r="AF13" s="6">
        <v>1.5931594833061955</v>
      </c>
      <c r="AG13" s="6">
        <v>1.735227625567771</v>
      </c>
      <c r="AH13" s="6">
        <v>1.6758955089337426</v>
      </c>
      <c r="AI13" s="6">
        <v>1.7058170171806979</v>
      </c>
      <c r="AJ13" s="6">
        <v>1.5551021015538951</v>
      </c>
      <c r="AK13" s="6">
        <v>1.7236636902406557</v>
      </c>
      <c r="AN13" s="6">
        <v>2.3281999999999999E-3</v>
      </c>
    </row>
    <row r="14" spans="1:40" x14ac:dyDescent="0.45">
      <c r="A14" s="129">
        <v>11</v>
      </c>
      <c r="B14" s="9" t="s">
        <v>211</v>
      </c>
      <c r="C14" s="9">
        <v>18</v>
      </c>
      <c r="D14" s="9"/>
      <c r="E14" s="9"/>
      <c r="F14" s="9">
        <v>5427.2</v>
      </c>
      <c r="G14" s="9">
        <v>19.07</v>
      </c>
      <c r="H14" s="9">
        <v>61.87</v>
      </c>
      <c r="I14" s="9">
        <v>56.17</v>
      </c>
      <c r="J14" s="130">
        <f t="shared" si="1"/>
        <v>0.15363881401617238</v>
      </c>
      <c r="K14" s="131">
        <f t="shared" si="2"/>
        <v>942.36258558837994</v>
      </c>
      <c r="L14" s="132">
        <f t="shared" si="3"/>
        <v>1849.3999999999996</v>
      </c>
      <c r="M14" s="133">
        <f t="shared" si="4"/>
        <v>1.9625142469395638</v>
      </c>
      <c r="N14" s="133">
        <f t="shared" si="5"/>
        <v>1.7011513682583603</v>
      </c>
      <c r="O14" s="6">
        <v>1.7011513682583603</v>
      </c>
      <c r="AN14" s="6">
        <v>1.9189999999999999E-3</v>
      </c>
    </row>
    <row r="15" spans="1:40" x14ac:dyDescent="0.45">
      <c r="A15" s="8">
        <v>12</v>
      </c>
      <c r="B15" s="9" t="s">
        <v>214</v>
      </c>
      <c r="C15" s="9">
        <v>32</v>
      </c>
      <c r="D15" s="9"/>
      <c r="E15" s="9"/>
      <c r="F15" s="9">
        <v>5443.6</v>
      </c>
      <c r="G15" s="9">
        <v>16.64</v>
      </c>
      <c r="H15" s="9">
        <v>65.89</v>
      </c>
      <c r="I15" s="9">
        <v>59.24</v>
      </c>
      <c r="J15" s="130">
        <f t="shared" si="1"/>
        <v>0.15610328638497648</v>
      </c>
      <c r="K15" s="131">
        <f t="shared" si="2"/>
        <v>948.73453388636324</v>
      </c>
      <c r="L15" s="132">
        <f t="shared" si="3"/>
        <v>1871.0000000000005</v>
      </c>
      <c r="M15" s="133">
        <f t="shared" si="4"/>
        <v>1.9721006595340227</v>
      </c>
      <c r="N15" s="133">
        <f t="shared" si="5"/>
        <v>1.7058170171806979</v>
      </c>
      <c r="O15" s="6">
        <v>1.7058170171806979</v>
      </c>
      <c r="AN15" s="6">
        <v>2.3340000000000001E-3</v>
      </c>
    </row>
    <row r="16" spans="1:40" x14ac:dyDescent="0.45">
      <c r="A16" s="129">
        <v>13</v>
      </c>
      <c r="B16" s="9" t="s">
        <v>207</v>
      </c>
      <c r="C16" s="9" t="s">
        <v>216</v>
      </c>
      <c r="D16" s="9"/>
      <c r="E16" s="9"/>
      <c r="F16" s="9">
        <v>5320</v>
      </c>
      <c r="G16" s="9">
        <v>18.64</v>
      </c>
      <c r="H16" s="9">
        <v>79.67</v>
      </c>
      <c r="I16" s="9">
        <v>70.58</v>
      </c>
      <c r="J16" s="130">
        <f t="shared" si="1"/>
        <v>0.17500962649210636</v>
      </c>
      <c r="K16" s="131">
        <f t="shared" si="2"/>
        <v>936.5004678361762</v>
      </c>
      <c r="L16" s="132">
        <f t="shared" si="3"/>
        <v>1743.1999999999998</v>
      </c>
      <c r="M16" s="133">
        <f t="shared" si="4"/>
        <v>1.8613978955373476</v>
      </c>
      <c r="N16" s="133">
        <f t="shared" si="5"/>
        <v>1.5841554431297693</v>
      </c>
      <c r="O16" s="6">
        <v>1.5841554431297693</v>
      </c>
      <c r="AE16" s="6" t="s">
        <v>8</v>
      </c>
      <c r="AF16" s="6" t="s">
        <v>215</v>
      </c>
      <c r="AN16" s="6">
        <v>1.709E-3</v>
      </c>
    </row>
    <row r="17" spans="1:40" x14ac:dyDescent="0.45">
      <c r="A17" s="8">
        <v>14</v>
      </c>
      <c r="B17" s="9" t="s">
        <v>208</v>
      </c>
      <c r="C17" s="9" t="s">
        <v>216</v>
      </c>
      <c r="D17" s="9"/>
      <c r="E17" s="9"/>
      <c r="F17" s="9">
        <v>5374</v>
      </c>
      <c r="G17" s="9">
        <v>18.22</v>
      </c>
      <c r="H17" s="9">
        <v>59.74</v>
      </c>
      <c r="I17" s="9">
        <v>53.66</v>
      </c>
      <c r="J17" s="130">
        <f t="shared" si="1"/>
        <v>0.1715575620767496</v>
      </c>
      <c r="K17" s="131">
        <f t="shared" si="2"/>
        <v>941.83769248969872</v>
      </c>
      <c r="L17" s="132">
        <f t="shared" si="3"/>
        <v>1792.4</v>
      </c>
      <c r="M17" s="133">
        <f t="shared" si="4"/>
        <v>1.903087988825213</v>
      </c>
      <c r="N17" s="133">
        <f t="shared" si="5"/>
        <v>1.6244084374750853</v>
      </c>
      <c r="O17" s="6">
        <v>1.6244084374750853</v>
      </c>
      <c r="AD17" s="6" t="s">
        <v>175</v>
      </c>
      <c r="AE17" s="9">
        <v>1.6211000000000001E-3</v>
      </c>
      <c r="AF17" s="6">
        <v>1.7192063529375099</v>
      </c>
      <c r="AG17" s="6">
        <f>LOOKUP(AF17,$O$4:$O$19)</f>
        <v>1.5931594833061955</v>
      </c>
      <c r="AN17" s="6">
        <v>1.6992999999999999E-3</v>
      </c>
    </row>
    <row r="18" spans="1:40" x14ac:dyDescent="0.45">
      <c r="A18" s="129">
        <v>15</v>
      </c>
      <c r="B18" s="9" t="s">
        <v>210</v>
      </c>
      <c r="C18" s="9" t="s">
        <v>216</v>
      </c>
      <c r="D18" s="9"/>
      <c r="E18" s="9"/>
      <c r="F18" s="9">
        <v>5299</v>
      </c>
      <c r="G18" s="9">
        <v>18.32</v>
      </c>
      <c r="H18" s="9">
        <v>73.41</v>
      </c>
      <c r="I18" s="9">
        <v>65.489999999999995</v>
      </c>
      <c r="J18" s="130">
        <f t="shared" si="1"/>
        <v>0.16790332838668651</v>
      </c>
      <c r="K18" s="131">
        <f t="shared" si="2"/>
        <v>950.33119847976718</v>
      </c>
      <c r="L18" s="132">
        <f t="shared" si="3"/>
        <v>1726</v>
      </c>
      <c r="M18" s="133">
        <f t="shared" si="4"/>
        <v>1.8162089203859249</v>
      </c>
      <c r="N18" s="133">
        <f t="shared" si="5"/>
        <v>1.5551021015538951</v>
      </c>
      <c r="O18" s="6">
        <v>1.5551021015538951</v>
      </c>
      <c r="V18" s="6">
        <v>1.7192063529375077</v>
      </c>
      <c r="W18" s="6">
        <v>1.5841554431297693</v>
      </c>
      <c r="X18" s="6">
        <v>1.6813938352823694</v>
      </c>
      <c r="Y18" s="6">
        <v>1.698312574889731</v>
      </c>
      <c r="AD18" s="6" t="s">
        <v>176</v>
      </c>
      <c r="AE18" s="9">
        <v>1.7334E-3</v>
      </c>
      <c r="AF18" s="6">
        <v>1.5841554431297693</v>
      </c>
      <c r="AN18" s="6">
        <v>1.4844000000000001E-3</v>
      </c>
    </row>
    <row r="19" spans="1:40" x14ac:dyDescent="0.45">
      <c r="A19" s="8">
        <v>16</v>
      </c>
      <c r="B19" s="9" t="s">
        <v>211</v>
      </c>
      <c r="C19" s="9" t="s">
        <v>216</v>
      </c>
      <c r="D19" s="9"/>
      <c r="E19" s="9"/>
      <c r="F19" s="9">
        <v>5362.2</v>
      </c>
      <c r="G19" s="9">
        <v>19</v>
      </c>
      <c r="H19" s="9">
        <v>71.7</v>
      </c>
      <c r="I19" s="9">
        <v>63.34</v>
      </c>
      <c r="J19" s="130">
        <f t="shared" si="1"/>
        <v>0.18854307622913843</v>
      </c>
      <c r="K19" s="131">
        <f t="shared" si="2"/>
        <v>942.36258558837994</v>
      </c>
      <c r="L19" s="132">
        <f t="shared" si="3"/>
        <v>1784.3999999999996</v>
      </c>
      <c r="M19" s="133">
        <f t="shared" si="4"/>
        <v>1.8935386732123702</v>
      </c>
      <c r="N19" s="133">
        <f t="shared" si="5"/>
        <v>1.5931594833061955</v>
      </c>
      <c r="O19" s="6">
        <v>1.5931594833061955</v>
      </c>
      <c r="V19" s="6">
        <v>1.7387618292327622</v>
      </c>
      <c r="W19" s="6">
        <v>1.6244084374750853</v>
      </c>
      <c r="X19" s="6">
        <v>1.6557085186903659</v>
      </c>
      <c r="Y19" s="6">
        <v>1.7158206957245821</v>
      </c>
      <c r="AD19" s="6" t="s">
        <v>177</v>
      </c>
      <c r="AE19" s="9">
        <v>1.5820999999999999E-3</v>
      </c>
      <c r="AF19" s="6">
        <v>1.6813938352823694</v>
      </c>
    </row>
    <row r="20" spans="1:40" x14ac:dyDescent="0.45">
      <c r="V20" s="6">
        <v>1.6803508768409445</v>
      </c>
      <c r="W20" s="6">
        <v>1.7011513682583603</v>
      </c>
      <c r="X20" s="6">
        <v>1.5931594833061955</v>
      </c>
      <c r="Y20" s="6">
        <v>1.735227625567771</v>
      </c>
      <c r="AD20" s="6" t="s">
        <v>178</v>
      </c>
      <c r="AE20" s="9">
        <v>1.4258000000000001E-3</v>
      </c>
      <c r="AF20" s="6">
        <v>1.698312574889731</v>
      </c>
    </row>
    <row r="21" spans="1:40" x14ac:dyDescent="0.45">
      <c r="V21" s="6">
        <v>1.6758955089337426</v>
      </c>
      <c r="W21" s="6">
        <v>1.7058170171806979</v>
      </c>
      <c r="X21" s="6">
        <v>1.5551021015538951</v>
      </c>
      <c r="Y21" s="6">
        <v>1.7236636902406557</v>
      </c>
      <c r="AD21" s="6" t="s">
        <v>179</v>
      </c>
      <c r="AE21" s="9">
        <v>1.6161999999999999E-3</v>
      </c>
      <c r="AF21" s="6">
        <v>1.7387618292327622</v>
      </c>
    </row>
    <row r="22" spans="1:40" x14ac:dyDescent="0.45">
      <c r="C22" s="134"/>
      <c r="F22" s="134"/>
      <c r="G22" s="134"/>
      <c r="H22" s="134"/>
      <c r="AD22" s="6" t="s">
        <v>180</v>
      </c>
      <c r="AE22" s="9">
        <v>1.9434000000000001E-3</v>
      </c>
      <c r="AF22" s="6">
        <v>1.6244084374750853</v>
      </c>
    </row>
    <row r="23" spans="1:40" x14ac:dyDescent="0.45">
      <c r="AD23" s="6" t="s">
        <v>181</v>
      </c>
      <c r="AE23" s="9">
        <v>1.9688000000000002E-3</v>
      </c>
      <c r="AF23" s="6">
        <v>1.6557085186903659</v>
      </c>
    </row>
    <row r="24" spans="1:40" x14ac:dyDescent="0.45">
      <c r="C24" s="134"/>
      <c r="F24" s="134"/>
      <c r="G24" s="134"/>
      <c r="H24" s="134"/>
      <c r="AD24" s="6" t="s">
        <v>182</v>
      </c>
      <c r="AE24" s="9">
        <v>2.6221E-3</v>
      </c>
      <c r="AF24" s="6">
        <v>1.7158206957245821</v>
      </c>
    </row>
    <row r="25" spans="1:40" x14ac:dyDescent="0.45">
      <c r="AD25" s="6" t="s">
        <v>183</v>
      </c>
      <c r="AE25" s="9">
        <v>1.5938E-3</v>
      </c>
      <c r="AF25" s="6">
        <v>1.6803508768409445</v>
      </c>
    </row>
    <row r="26" spans="1:40" x14ac:dyDescent="0.45">
      <c r="AD26" s="6" t="s">
        <v>184</v>
      </c>
      <c r="AE26" s="9">
        <v>1.6094E-3</v>
      </c>
      <c r="AF26" s="6">
        <v>1.7011513682583603</v>
      </c>
    </row>
    <row r="27" spans="1:40" x14ac:dyDescent="0.45">
      <c r="AD27" s="6" t="s">
        <v>185</v>
      </c>
      <c r="AE27" s="9">
        <v>2.3281999999999999E-3</v>
      </c>
      <c r="AF27" s="6">
        <v>1.5931594833061955</v>
      </c>
    </row>
    <row r="28" spans="1:40" x14ac:dyDescent="0.45">
      <c r="AD28" s="6" t="s">
        <v>186</v>
      </c>
      <c r="AE28" s="9">
        <v>1.9189999999999999E-3</v>
      </c>
      <c r="AF28" s="6">
        <v>1.735227625567771</v>
      </c>
    </row>
    <row r="29" spans="1:40" x14ac:dyDescent="0.45">
      <c r="AD29" s="6" t="s">
        <v>187</v>
      </c>
      <c r="AE29" s="9">
        <v>2.3340000000000001E-3</v>
      </c>
      <c r="AF29" s="6">
        <v>1.6758955089337426</v>
      </c>
    </row>
    <row r="30" spans="1:40" x14ac:dyDescent="0.45">
      <c r="AD30" s="6" t="s">
        <v>188</v>
      </c>
      <c r="AE30" s="9">
        <v>1.709E-3</v>
      </c>
      <c r="AF30" s="6">
        <v>1.7058170171806979</v>
      </c>
    </row>
    <row r="31" spans="1:40" x14ac:dyDescent="0.45">
      <c r="AD31" s="6" t="s">
        <v>189</v>
      </c>
      <c r="AE31" s="9">
        <v>1.6992999999999999E-3</v>
      </c>
      <c r="AF31" s="6">
        <v>1.5551021015538951</v>
      </c>
    </row>
    <row r="32" spans="1:40" x14ac:dyDescent="0.45">
      <c r="AD32" s="6" t="s">
        <v>190</v>
      </c>
      <c r="AE32" s="9">
        <v>1.4844000000000001E-3</v>
      </c>
      <c r="AF32" s="6">
        <v>1.7236636902406557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4E7B0-E8BC-444B-B963-11D11F8C10C7}">
  <dimension ref="B3:H16"/>
  <sheetViews>
    <sheetView workbookViewId="0">
      <selection activeCell="O29" sqref="O29"/>
    </sheetView>
  </sheetViews>
  <sheetFormatPr defaultRowHeight="14.25" x14ac:dyDescent="0.45"/>
  <cols>
    <col min="1" max="16384" width="9.06640625" style="6"/>
  </cols>
  <sheetData>
    <row r="3" spans="2:8" x14ac:dyDescent="0.45">
      <c r="C3" s="144" t="s">
        <v>8</v>
      </c>
      <c r="D3" s="144"/>
      <c r="E3" s="144"/>
      <c r="F3" s="144" t="s">
        <v>151</v>
      </c>
      <c r="G3" s="144"/>
      <c r="H3" s="144"/>
    </row>
    <row r="4" spans="2:8" x14ac:dyDescent="0.45">
      <c r="B4" s="8" t="s">
        <v>138</v>
      </c>
      <c r="C4" s="8">
        <v>2.5195804605555598E-3</v>
      </c>
      <c r="D4" s="8">
        <v>2.46098556612395E-3</v>
      </c>
      <c r="E4" s="8">
        <v>2.3242641457841299E-3</v>
      </c>
      <c r="F4" s="8"/>
      <c r="G4" s="8"/>
      <c r="H4" s="8"/>
    </row>
    <row r="5" spans="2:8" x14ac:dyDescent="0.45">
      <c r="B5" s="8" t="s">
        <v>139</v>
      </c>
      <c r="C5" s="8">
        <v>1.9922264106710902E-3</v>
      </c>
      <c r="D5" s="8">
        <v>1.89456825328804E-3</v>
      </c>
      <c r="E5" s="8">
        <v>1.8945682532916001E-3</v>
      </c>
      <c r="F5" s="8">
        <v>33.894326717132401</v>
      </c>
      <c r="G5" s="8">
        <v>47.714442263482702</v>
      </c>
      <c r="H5" s="8">
        <v>47.71444226298</v>
      </c>
    </row>
    <row r="6" spans="2:8" x14ac:dyDescent="0.45">
      <c r="B6" s="8" t="s">
        <v>140</v>
      </c>
      <c r="C6" s="8">
        <v>1.62112541259773E-3</v>
      </c>
      <c r="D6" s="8">
        <v>1.5429988866912899E-3</v>
      </c>
      <c r="E6" s="8">
        <v>1.5429988867054999E-3</v>
      </c>
      <c r="F6" s="8">
        <v>86.410765795777607</v>
      </c>
      <c r="G6" s="8">
        <v>97.466858232857902</v>
      </c>
      <c r="H6" s="8">
        <v>97.466858230846896</v>
      </c>
    </row>
    <row r="7" spans="2:8" x14ac:dyDescent="0.45">
      <c r="B7" s="8" t="s">
        <v>141</v>
      </c>
      <c r="C7" s="8">
        <v>2.7734916697594899E-3</v>
      </c>
      <c r="D7" s="8">
        <v>2.8516181956668202E-3</v>
      </c>
      <c r="E7" s="8">
        <v>2.9883396160101899E-3</v>
      </c>
      <c r="F7" s="8"/>
      <c r="G7" s="8"/>
      <c r="H7" s="8"/>
    </row>
    <row r="8" spans="2:8" x14ac:dyDescent="0.45">
      <c r="B8" s="8" t="s">
        <v>142</v>
      </c>
      <c r="C8" s="8">
        <v>1.79691009589966E-3</v>
      </c>
      <c r="D8" s="8">
        <v>1.7773784644212799E-3</v>
      </c>
      <c r="E8" s="8">
        <v>1.8555049903312699E-3</v>
      </c>
      <c r="F8" s="8">
        <v>61.534557810587302</v>
      </c>
      <c r="G8" s="8">
        <v>64.298580920108705</v>
      </c>
      <c r="H8" s="8">
        <v>53.242488482525602</v>
      </c>
    </row>
    <row r="9" spans="2:8" x14ac:dyDescent="0.45">
      <c r="B9" s="8" t="s">
        <v>143</v>
      </c>
      <c r="C9" s="8">
        <v>1.79691009589966E-3</v>
      </c>
      <c r="D9" s="8">
        <v>1.7773784644212799E-3</v>
      </c>
      <c r="E9" s="8">
        <v>1.8555049903312699E-3</v>
      </c>
      <c r="F9" s="8">
        <v>36.6583498264024</v>
      </c>
      <c r="G9" s="8">
        <v>31.130303607862299</v>
      </c>
      <c r="H9" s="8">
        <v>33.894326717132401</v>
      </c>
    </row>
    <row r="10" spans="2:8" x14ac:dyDescent="0.45">
      <c r="B10" s="8" t="s">
        <v>144</v>
      </c>
      <c r="C10" s="8">
        <v>2.1289478310109202E-3</v>
      </c>
      <c r="D10" s="8">
        <v>2.1094161995307602E-3</v>
      </c>
      <c r="E10" s="8">
        <v>2.1094161995307602E-3</v>
      </c>
      <c r="F10" s="8">
        <v>14.546164951739099</v>
      </c>
      <c r="G10" s="8">
        <v>17.310188061511901</v>
      </c>
      <c r="H10" s="8">
        <v>17.310188061511901</v>
      </c>
    </row>
    <row r="11" spans="2:8" x14ac:dyDescent="0.45">
      <c r="B11" s="8" t="s">
        <v>145</v>
      </c>
      <c r="C11" s="8">
        <v>2.3242641457841299E-3</v>
      </c>
      <c r="D11" s="8">
        <v>2.2656692513542999E-3</v>
      </c>
      <c r="E11" s="8">
        <v>2.2070743569209102E-3</v>
      </c>
      <c r="F11" s="8"/>
      <c r="G11" s="8"/>
      <c r="H11" s="8"/>
    </row>
    <row r="12" spans="2:8" x14ac:dyDescent="0.45">
      <c r="B12" s="8" t="s">
        <v>146</v>
      </c>
      <c r="C12" s="8">
        <v>2.4219223031671801E-3</v>
      </c>
      <c r="D12" s="8">
        <v>2.2852008828309102E-3</v>
      </c>
      <c r="E12" s="8">
        <v>2.2852008828309102E-3</v>
      </c>
      <c r="F12" s="8"/>
      <c r="G12" s="8"/>
      <c r="H12" s="8"/>
    </row>
    <row r="13" spans="2:8" x14ac:dyDescent="0.45">
      <c r="B13" s="8" t="s">
        <v>147</v>
      </c>
      <c r="C13" s="8">
        <v>1.8359733588582099E-3</v>
      </c>
      <c r="D13" s="8">
        <v>1.81644172737805E-3</v>
      </c>
      <c r="E13" s="8">
        <v>1.93363151623771E-3</v>
      </c>
      <c r="F13" s="8">
        <v>56.006511591292998</v>
      </c>
      <c r="G13" s="8">
        <v>58.770534701065799</v>
      </c>
      <c r="H13" s="8">
        <v>42.186396045445299</v>
      </c>
    </row>
    <row r="14" spans="2:8" x14ac:dyDescent="0.45">
      <c r="B14" s="8" t="s">
        <v>148</v>
      </c>
      <c r="C14" s="8">
        <v>1.8359733588511099E-3</v>
      </c>
      <c r="D14" s="8">
        <v>1.7187835699914401E-3</v>
      </c>
      <c r="E14" s="8">
        <v>1.7187835699914401E-3</v>
      </c>
      <c r="F14" s="8">
        <v>56.006511592298502</v>
      </c>
      <c r="G14" s="8">
        <v>72.590650247918902</v>
      </c>
      <c r="H14" s="8">
        <v>72.590650247918902</v>
      </c>
    </row>
    <row r="15" spans="2:8" x14ac:dyDescent="0.45">
      <c r="B15" s="8" t="s">
        <v>149</v>
      </c>
      <c r="C15" s="8">
        <v>2.3242641457841299E-3</v>
      </c>
      <c r="D15" s="8">
        <v>2.3437957772607398E-3</v>
      </c>
      <c r="E15" s="8">
        <v>2.3437957772642899E-3</v>
      </c>
      <c r="F15" s="8"/>
      <c r="G15" s="8"/>
      <c r="H15" s="8"/>
    </row>
    <row r="16" spans="2:8" x14ac:dyDescent="0.45">
      <c r="B16" s="8" t="s">
        <v>150</v>
      </c>
      <c r="C16" s="8">
        <v>2.5195804605573401E-3</v>
      </c>
      <c r="D16" s="8">
        <v>2.2852008828273501E-3</v>
      </c>
      <c r="E16" s="8">
        <v>2.30473251430396E-3</v>
      </c>
      <c r="F16" s="8"/>
      <c r="G16" s="8"/>
      <c r="H16" s="8"/>
    </row>
  </sheetData>
  <mergeCells count="2">
    <mergeCell ref="C3:E3"/>
    <mergeCell ref="F3:H3"/>
  </mergeCells>
  <phoneticPr fontId="2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E vs K</vt:lpstr>
      <vt:lpstr>SawBones_TOF</vt:lpstr>
      <vt:lpstr>ConPlaca#1</vt:lpstr>
      <vt:lpstr>SinPlaca#1 </vt:lpstr>
      <vt:lpstr>CurvasCompactación</vt:lpstr>
      <vt:lpstr>Ceramica_TOFvsOndaP</vt:lpstr>
      <vt:lpstr>RAW_Ceramica_TOFvsOndaP (2)</vt:lpstr>
      <vt:lpstr>SawBown_Calibration</vt:lpstr>
      <vt:lpstr>SSW_CalibrationCurve</vt:lpstr>
      <vt:lpstr>TOF vs density (LC)</vt:lpstr>
      <vt:lpstr>ProctorsCuadrilla</vt:lpstr>
      <vt:lpstr>TOF vs D. density</vt:lpstr>
      <vt:lpstr>MedicionesCuadrillaProctor</vt:lpstr>
      <vt:lpstr>ModMSWMalchingui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Sebastián Alvarado Sarmiento</dc:creator>
  <cp:lastModifiedBy>Pablo Sebastián Alvarado Sarmiento</cp:lastModifiedBy>
  <dcterms:created xsi:type="dcterms:W3CDTF">2024-02-01T06:10:27Z</dcterms:created>
  <dcterms:modified xsi:type="dcterms:W3CDTF">2025-04-13T05:53:01Z</dcterms:modified>
</cp:coreProperties>
</file>