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Proyectos\servaf\backend\assets\files\"/>
    </mc:Choice>
  </mc:AlternateContent>
  <xr:revisionPtr revIDLastSave="0" documentId="13_ncr:1_{30D380E8-4A32-4309-8038-4DE7D175EB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rror e Incer Q1" sheetId="1" r:id="rId1"/>
    <sheet name="Constantes y Trazabilidad" sheetId="2" r:id="rId2"/>
  </sheets>
  <definedNames>
    <definedName name="_xlnm.Print_Area" localSheetId="0">'Error e Incer Q1'!$C$8:$W$38</definedName>
    <definedName name="CMC_2">'Constantes y Trazabilidad'!$F$148:$P$159</definedName>
    <definedName name="_xlnm.Print_Titles" localSheetId="0">'Error e Incer Q1'!$9:$11</definedName>
    <definedName name="Z_454BB076_C9CB_4D45_9CEE_12C12D8EB887__wvu_PrintArea" localSheetId="0">'Error e Incer Q1'!#REF!</definedName>
    <definedName name="Z_454BB076_C9CB_4D45_9CEE_12C12D8EB887__wvu_PrintTitles" localSheetId="0">'Error e Incer Q1'!$126:$131</definedName>
    <definedName name="Z_9BA0BB8A_07EA_4416_9146_818AD1CE01E3__wvu_PrintArea" localSheetId="0">'Error e Incer Q1'!#REF!</definedName>
    <definedName name="Z_9BA0BB8A_07EA_4416_9146_818AD1CE01E3__wvu_PrintTitles" localSheetId="0">'Error e Incer Q1'!$126:$131</definedName>
    <definedName name="Z_D1943692_0A5A_44B1_9D88_C81004AF3758__wvu_PrintArea" localSheetId="0">'Error e Incer Q1'!#REF!</definedName>
    <definedName name="Z_D1943692_0A5A_44B1_9D88_C81004AF3758__wvu_PrintTitles" localSheetId="0">'Error e Incer Q1'!$126:$131</definedName>
    <definedName name="Z_EF15CB4F_156D_4025_963F_1D8988A89211__wvu_PrintArea" localSheetId="0">'Error e Incer Q1'!#REF!</definedName>
    <definedName name="Z_EF15CB4F_156D_4025_963F_1D8988A89211__wvu_PrintTitles" localSheetId="0">'Error e Incer Q1'!$126:$131</definedName>
    <definedName name="Z_F926F444_6485_4FEB_B085_C1D1BCD61DF8__wvu_PrintArea" localSheetId="0">'Error e Incer Q1'!#REF!</definedName>
    <definedName name="Z_F926F444_6485_4FEB_B085_C1D1BCD61DF8__wvu_PrintTitles" localSheetId="0">'Error e Incer Q1'!$126:$131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3" i="2" l="1"/>
  <c r="L133" i="2"/>
  <c r="P133" i="2" s="1"/>
  <c r="N129" i="2"/>
  <c r="L129" i="2"/>
  <c r="P129" i="2" s="1"/>
  <c r="L125" i="2"/>
  <c r="P125" i="2" s="1"/>
  <c r="K87" i="1" s="1"/>
  <c r="T87" i="1" s="1"/>
  <c r="L119" i="2"/>
  <c r="N106" i="2"/>
  <c r="P106" i="2" s="1"/>
  <c r="L106" i="2"/>
  <c r="N102" i="2"/>
  <c r="L102" i="2"/>
  <c r="P102" i="2" s="1"/>
  <c r="P98" i="2"/>
  <c r="K81" i="1" s="1"/>
  <c r="T81" i="1" s="1"/>
  <c r="L92" i="2"/>
  <c r="N90" i="2"/>
  <c r="P79" i="2"/>
  <c r="N79" i="2"/>
  <c r="L79" i="2"/>
  <c r="N75" i="2"/>
  <c r="L75" i="2"/>
  <c r="P75" i="2" s="1"/>
  <c r="P71" i="2"/>
  <c r="L65" i="2"/>
  <c r="N63" i="2"/>
  <c r="L50" i="2"/>
  <c r="L35" i="2"/>
  <c r="L20" i="2"/>
  <c r="F18" i="2"/>
  <c r="J14" i="2"/>
  <c r="K129" i="1"/>
  <c r="K102" i="1"/>
  <c r="K101" i="1"/>
  <c r="T98" i="1"/>
  <c r="K96" i="1"/>
  <c r="K94" i="1"/>
  <c r="K92" i="1"/>
  <c r="K91" i="1"/>
  <c r="K86" i="1"/>
  <c r="T86" i="1" s="1"/>
  <c r="T85" i="1"/>
  <c r="K85" i="1"/>
  <c r="K84" i="1"/>
  <c r="T84" i="1" s="1"/>
  <c r="T88" i="1" s="1"/>
  <c r="K97" i="1" s="1"/>
  <c r="K80" i="1"/>
  <c r="T80" i="1" s="1"/>
  <c r="T79" i="1"/>
  <c r="K79" i="1"/>
  <c r="K78" i="1"/>
  <c r="T78" i="1" s="1"/>
  <c r="K75" i="1"/>
  <c r="T75" i="1" s="1"/>
  <c r="T74" i="1"/>
  <c r="K74" i="1"/>
  <c r="K73" i="1"/>
  <c r="T73" i="1" s="1"/>
  <c r="T72" i="1"/>
  <c r="T76" i="1" s="1"/>
  <c r="K93" i="1" s="1"/>
  <c r="K72" i="1"/>
  <c r="K69" i="1"/>
  <c r="T69" i="1" s="1"/>
  <c r="T70" i="1" s="1"/>
  <c r="K90" i="1" s="1"/>
  <c r="T68" i="1"/>
  <c r="K68" i="1"/>
  <c r="S59" i="1"/>
  <c r="Q59" i="1"/>
  <c r="S58" i="1"/>
  <c r="Q58" i="1"/>
  <c r="S56" i="1"/>
  <c r="Q56" i="1"/>
  <c r="S53" i="1"/>
  <c r="Q53" i="1"/>
  <c r="O53" i="1"/>
  <c r="M53" i="1"/>
  <c r="K53" i="1"/>
  <c r="U53" i="1" s="1"/>
  <c r="S52" i="1"/>
  <c r="Q52" i="1"/>
  <c r="U51" i="1"/>
  <c r="S50" i="1"/>
  <c r="Q50" i="1"/>
  <c r="M50" i="1"/>
  <c r="K50" i="1"/>
  <c r="S49" i="1"/>
  <c r="Q49" i="1"/>
  <c r="M49" i="1"/>
  <c r="K49" i="1"/>
  <c r="S48" i="1"/>
  <c r="Q48" i="1"/>
  <c r="M48" i="1"/>
  <c r="K48" i="1"/>
  <c r="S47" i="1"/>
  <c r="Q47" i="1"/>
  <c r="O47" i="1"/>
  <c r="M47" i="1"/>
  <c r="U47" i="1" s="1"/>
  <c r="K47" i="1"/>
  <c r="S46" i="1"/>
  <c r="Q46" i="1"/>
  <c r="M46" i="1"/>
  <c r="K46" i="1"/>
  <c r="U45" i="1"/>
  <c r="S45" i="1"/>
  <c r="Q45" i="1"/>
  <c r="O45" i="1"/>
  <c r="M45" i="1"/>
  <c r="K45" i="1"/>
  <c r="S44" i="1"/>
  <c r="Q44" i="1"/>
  <c r="S43" i="1"/>
  <c r="Q43" i="1"/>
  <c r="O43" i="1"/>
  <c r="M43" i="1"/>
  <c r="M44" i="1" s="1"/>
  <c r="K43" i="1"/>
  <c r="K44" i="1" s="1"/>
  <c r="K37" i="1"/>
  <c r="O21" i="1"/>
  <c r="O48" i="1" s="1"/>
  <c r="U48" i="1" l="1"/>
  <c r="U46" i="1"/>
  <c r="K52" i="1"/>
  <c r="T82" i="1"/>
  <c r="K95" i="1" s="1"/>
  <c r="E129" i="1"/>
  <c r="E37" i="1" s="1"/>
  <c r="F38" i="1" s="1"/>
  <c r="O46" i="1"/>
  <c r="O50" i="1"/>
  <c r="U50" i="1" s="1"/>
  <c r="Q91" i="1" s="1"/>
  <c r="T91" i="1" s="1"/>
  <c r="U43" i="1"/>
  <c r="M52" i="1"/>
  <c r="M56" i="1" s="1"/>
  <c r="M58" i="1" s="1"/>
  <c r="M59" i="1" s="1"/>
  <c r="O49" i="1"/>
  <c r="U49" i="1" s="1"/>
  <c r="O44" i="1"/>
  <c r="O52" i="1" s="1"/>
  <c r="O56" i="1" s="1"/>
  <c r="O58" i="1" s="1"/>
  <c r="O59" i="1" s="1"/>
  <c r="Q90" i="1" l="1"/>
  <c r="T90" i="1" s="1"/>
  <c r="U44" i="1"/>
  <c r="Q94" i="1" s="1"/>
  <c r="T94" i="1" s="1"/>
  <c r="U52" i="1"/>
  <c r="Q97" i="1"/>
  <c r="T97" i="1" s="1"/>
  <c r="Q103" i="1"/>
  <c r="K56" i="1"/>
  <c r="K58" i="1" s="1"/>
  <c r="M133" i="1"/>
  <c r="H129" i="1"/>
  <c r="H37" i="1" s="1"/>
  <c r="Q102" i="1" l="1"/>
  <c r="T102" i="1" s="1"/>
  <c r="Q101" i="1"/>
  <c r="T101" i="1" s="1"/>
  <c r="U56" i="1"/>
  <c r="U58" i="1" s="1"/>
  <c r="U59" i="1" s="1"/>
  <c r="Q95" i="1"/>
  <c r="T95" i="1" s="1"/>
  <c r="M129" i="1"/>
  <c r="M37" i="1" s="1"/>
  <c r="I38" i="1"/>
  <c r="Q92" i="1"/>
  <c r="T92" i="1" s="1"/>
  <c r="T99" i="1" s="1"/>
  <c r="K103" i="1" s="1"/>
  <c r="T103" i="1" s="1"/>
  <c r="K59" i="1"/>
  <c r="K133" i="1" s="1"/>
  <c r="K106" i="1"/>
  <c r="T106" i="1" s="1"/>
  <c r="Q93" i="1"/>
  <c r="T93" i="1" s="1"/>
  <c r="Q96" i="1"/>
  <c r="T96" i="1" s="1"/>
  <c r="T104" i="1" l="1"/>
  <c r="K107" i="1" s="1"/>
  <c r="T107" i="1" s="1"/>
  <c r="T108" i="1"/>
  <c r="O110" i="1" s="1"/>
  <c r="S133" i="1" l="1"/>
  <c r="S110" i="1"/>
  <c r="Q133" i="1" l="1"/>
  <c r="V111" i="1"/>
  <c r="U133" i="1"/>
  <c r="S129" i="1" s="1"/>
  <c r="S37" i="1" s="1"/>
  <c r="U129" i="1"/>
  <c r="U37" i="1" s="1"/>
  <c r="Q129" i="1" l="1"/>
  <c r="Q37" i="1" s="1"/>
  <c r="O133" i="1"/>
  <c r="O129" i="1" s="1"/>
  <c r="O37" i="1" s="1"/>
  <c r="O38" i="1" s="1"/>
</calcChain>
</file>

<file path=xl/sharedStrings.xml><?xml version="1.0" encoding="utf-8"?>
<sst xmlns="http://schemas.openxmlformats.org/spreadsheetml/2006/main" count="361" uniqueCount="174">
  <si>
    <t>ERROR E INCERTIDUMBRE Q1</t>
  </si>
  <si>
    <t>CODIGO : LCM-FOR-057</t>
  </si>
  <si>
    <t>FECHA : 2016 ABRIL 30</t>
  </si>
  <si>
    <t>PAGINA :       1   de   1</t>
  </si>
  <si>
    <t xml:space="preserve">RESULTADOS DE LA MEDICIÓN </t>
  </si>
  <si>
    <t>Descripción del Instrumento</t>
  </si>
  <si>
    <t>Marca</t>
  </si>
  <si>
    <t>Q1</t>
  </si>
  <si>
    <t>Q3/Q1</t>
  </si>
  <si>
    <t>Div. Escala</t>
  </si>
  <si>
    <t>Tipo</t>
  </si>
  <si>
    <t>Modelo</t>
  </si>
  <si>
    <t>Serie</t>
  </si>
  <si>
    <t>Diámetro</t>
  </si>
  <si>
    <t>AQUAFORJAS</t>
  </si>
  <si>
    <t>C</t>
  </si>
  <si>
    <t>Volumetrico</t>
  </si>
  <si>
    <t>JSM 25</t>
  </si>
  <si>
    <t>1225HFC00667</t>
  </si>
  <si>
    <t>25 mm</t>
  </si>
  <si>
    <t>Numero de Pruebas</t>
  </si>
  <si>
    <t>Recipiente Volumétrico</t>
  </si>
  <si>
    <t>Datos de Calibración</t>
  </si>
  <si>
    <t>Lect. Final</t>
  </si>
  <si>
    <t>Lect. Inicial</t>
  </si>
  <si>
    <t>Vol. R.V.M.</t>
  </si>
  <si>
    <t>Tiempo</t>
  </si>
  <si>
    <t>Temp. Agua Inicial</t>
  </si>
  <si>
    <t>Temp. Agua Final</t>
  </si>
  <si>
    <t>Temp. Agua R.V.M.</t>
  </si>
  <si>
    <t xml:space="preserve">Presión Maxima </t>
  </si>
  <si>
    <t>Presión Minima</t>
  </si>
  <si>
    <t>RESULTADOS DE LA MEDICIÓN PROMEDIO Q1</t>
  </si>
  <si>
    <t>Vol. Indicado</t>
  </si>
  <si>
    <t>Caudal</t>
  </si>
  <si>
    <t>% de Error</t>
  </si>
  <si>
    <t>± U k=2 %</t>
  </si>
  <si>
    <t>Error Absoluto</t>
  </si>
  <si>
    <t>± U k=2</t>
  </si>
  <si>
    <t>Volumen Indicado en el cuello R.V.M.</t>
  </si>
  <si>
    <t>Vis</t>
  </si>
  <si>
    <t>Correcciòn por resoluciòn de la Escala</t>
  </si>
  <si>
    <t>ᵟVip</t>
  </si>
  <si>
    <t>Coeficiente de expanciòn termica recipiente patron</t>
  </si>
  <si>
    <t>αs</t>
  </si>
  <si>
    <t>Temperatura medida en el tanque</t>
  </si>
  <si>
    <t>ts</t>
  </si>
  <si>
    <t>Coeficiente Expanciòn Volumetrica del Agua</t>
  </si>
  <si>
    <t>αw</t>
  </si>
  <si>
    <t>Temperatura medida en la Linea de Medidores</t>
  </si>
  <si>
    <t>tx</t>
  </si>
  <si>
    <t>Factor de Compresibilidad del agua</t>
  </si>
  <si>
    <t>kw</t>
  </si>
  <si>
    <t>Presiòn a la entrada de la linea</t>
  </si>
  <si>
    <t>Px</t>
  </si>
  <si>
    <t>Presiòn a aire libre</t>
  </si>
  <si>
    <t>Ps</t>
  </si>
  <si>
    <t>Volumen suminstrado Patron</t>
  </si>
  <si>
    <t>Vx</t>
  </si>
  <si>
    <t>Volumen indicado Medidor</t>
  </si>
  <si>
    <t>∆Vix</t>
  </si>
  <si>
    <t>Correcciòn por escala</t>
  </si>
  <si>
    <t>ᵟVix1</t>
  </si>
  <si>
    <t>ᵟVix2</t>
  </si>
  <si>
    <t>Error promedio</t>
  </si>
  <si>
    <t>ex</t>
  </si>
  <si>
    <t>Correcciòn por repetibilidad</t>
  </si>
  <si>
    <t>ᵟEx</t>
  </si>
  <si>
    <t>Erorr promedio</t>
  </si>
  <si>
    <t>ExR</t>
  </si>
  <si>
    <t>Erorr promedio %</t>
  </si>
  <si>
    <t>Volver Arriba ►</t>
  </si>
  <si>
    <t>Fuente de Incertidumbre</t>
  </si>
  <si>
    <t>Incertidumbre Estandar</t>
  </si>
  <si>
    <t>Grados de Libertad</t>
  </si>
  <si>
    <t>Normalización</t>
  </si>
  <si>
    <t>Coeficientes de Sensibilidad</t>
  </si>
  <si>
    <t>Contribuciòn a la incertidumbre ui(y)</t>
  </si>
  <si>
    <t>Vis= Volumen indicado en la escala de cuello del R.V.M. recogida al final de la medición</t>
  </si>
  <si>
    <t>Incertidumbre reportada en el certificado.</t>
  </si>
  <si>
    <t>V'is</t>
  </si>
  <si>
    <t>∞</t>
  </si>
  <si>
    <t>Factor de Cobertura</t>
  </si>
  <si>
    <t>Deriva Volumen Indicado en el cuello R.V.M.</t>
  </si>
  <si>
    <t>DVe</t>
  </si>
  <si>
    <t>Rectangular</t>
  </si>
  <si>
    <t>µcVs</t>
  </si>
  <si>
    <t>ts= Temperatura del agua en el R.V.M.</t>
  </si>
  <si>
    <t>t's</t>
  </si>
  <si>
    <t>Res. Instrumento de medición de Temperatur R.V.M.</t>
  </si>
  <si>
    <t>Rts</t>
  </si>
  <si>
    <t>Deriva Inst. de medición de Temperatur R.V.M.</t>
  </si>
  <si>
    <t>Dts</t>
  </si>
  <si>
    <t>Temperatura medida en el R.V.M. Tmax-Tmin</t>
  </si>
  <si>
    <t>Δts</t>
  </si>
  <si>
    <t>µcts</t>
  </si>
  <si>
    <t xml:space="preserve">tx= Temperatura del agua a la entrada del primer medidor </t>
  </si>
  <si>
    <t>t'x</t>
  </si>
  <si>
    <t>Res. Instrumento de medición Linea de Medidores.</t>
  </si>
  <si>
    <t>Rtx</t>
  </si>
  <si>
    <t>Deriva Tem. Linea de Medidores</t>
  </si>
  <si>
    <t>Dtx</t>
  </si>
  <si>
    <t>Temperatura Linea de Medidores Tmax-Tmin</t>
  </si>
  <si>
    <t>Δtx</t>
  </si>
  <si>
    <t>µctx</t>
  </si>
  <si>
    <t>Px= Presión del agua suministrada a la entrada del primer medidor</t>
  </si>
  <si>
    <t>P'x</t>
  </si>
  <si>
    <t>Res. Inst. de med. de Presiòn a la entra de la linea</t>
  </si>
  <si>
    <t>RPx</t>
  </si>
  <si>
    <t>Deriva Presión a la entrada de la linea</t>
  </si>
  <si>
    <t>DPx</t>
  </si>
  <si>
    <t>Presiòn a la entrada de la linea Pmax-Pmin</t>
  </si>
  <si>
    <t>ΔPx</t>
  </si>
  <si>
    <t>µcPx</t>
  </si>
  <si>
    <t>Vx=Volumen que pasa por el medidor durante la medición.</t>
  </si>
  <si>
    <t>ᵟVis</t>
  </si>
  <si>
    <t>Temperatura medida en el R.V.M.</t>
  </si>
  <si>
    <t>Presión a la entrada de la linea</t>
  </si>
  <si>
    <t>µcVx</t>
  </si>
  <si>
    <t xml:space="preserve">ex= error  relativo de medición </t>
  </si>
  <si>
    <t>Incertidumbre Volumen Indicado en el cuello R.V.M.</t>
  </si>
  <si>
    <t>µCVx</t>
  </si>
  <si>
    <t>µcex</t>
  </si>
  <si>
    <t>exav= Repetibilidad de las mediciones</t>
  </si>
  <si>
    <t>Normal</t>
  </si>
  <si>
    <t>µcexav</t>
  </si>
  <si>
    <t>ELABORO</t>
  </si>
  <si>
    <t>REVISO</t>
  </si>
  <si>
    <t>APROBO</t>
  </si>
  <si>
    <t xml:space="preserve">VERSION </t>
  </si>
  <si>
    <t>LUIS HERNAN DURAN GARCIA</t>
  </si>
  <si>
    <t>EDGAR FERNANDO LOZANO CALDERON</t>
  </si>
  <si>
    <t>CARLOS ARIEL DUQUE BAENA</t>
  </si>
  <si>
    <t>COORDINADOR LABORATORIO  DE MEDIDORES</t>
  </si>
  <si>
    <t>DIRECTOR PLANEACION Y CALIDAD</t>
  </si>
  <si>
    <t>GERENTE</t>
  </si>
  <si>
    <t xml:space="preserve">CONSTANTES Y TRAZABILIDAD </t>
  </si>
  <si>
    <t>CODIGO : LCM-FOR-061</t>
  </si>
  <si>
    <t>Correciones R.V.M. Q1</t>
  </si>
  <si>
    <t>Recipiente Volumetrico Metalico</t>
  </si>
  <si>
    <t>Numero de Calibraciones</t>
  </si>
  <si>
    <t>Dos o mas</t>
  </si>
  <si>
    <t>Volumen al Trazo</t>
  </si>
  <si>
    <t>Error Vol. Trazo</t>
  </si>
  <si>
    <t>± U Volumen</t>
  </si>
  <si>
    <t xml:space="preserve">Div. Escala </t>
  </si>
  <si>
    <t>± U Div. Escala</t>
  </si>
  <si>
    <t>K</t>
  </si>
  <si>
    <t>Tref</t>
  </si>
  <si>
    <t xml:space="preserve">Deriva  </t>
  </si>
  <si>
    <t>Error Año anterior</t>
  </si>
  <si>
    <t xml:space="preserve"> Error Año Actual</t>
  </si>
  <si>
    <t>Correciones R.V.M. Q2</t>
  </si>
  <si>
    <t>Corección Vol. Trazo</t>
  </si>
  <si>
    <t>Correciones R.V.M. Q3</t>
  </si>
  <si>
    <t>Equipo de Medición  ts – RVM</t>
  </si>
  <si>
    <t xml:space="preserve">Incertidumbre equipo </t>
  </si>
  <si>
    <t xml:space="preserve">Resolución equipo </t>
  </si>
  <si>
    <t>Variación de Temperatura Durante las Pruebas Q1</t>
  </si>
  <si>
    <t>MAX</t>
  </si>
  <si>
    <t>MIN</t>
  </si>
  <si>
    <t>Δ</t>
  </si>
  <si>
    <t>Variación de Temperatura Durante las Pruebas Q2</t>
  </si>
  <si>
    <t>Variación de Temperatura Durante las Pruebas Q3</t>
  </si>
  <si>
    <t>Equipo de Medición  tx</t>
  </si>
  <si>
    <t>Equipo de Medición  Px</t>
  </si>
  <si>
    <t>Variación de Presión Durante las Pruebas Q1</t>
  </si>
  <si>
    <t>Variación de Presión Durante las Pruebas Q2</t>
  </si>
  <si>
    <t>Variación de Presión Durante las Pruebas Q3</t>
  </si>
  <si>
    <t>Constantes</t>
  </si>
  <si>
    <t>Incertidumbre de αs</t>
  </si>
  <si>
    <t>Incertidumbre de αw</t>
  </si>
  <si>
    <t>Incertidumbre de kw</t>
  </si>
  <si>
    <t>CMC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</si>
</sst>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3"/>
  <sheetViews>
    <sheetView tabSelected="1" topLeftCell="A19" workbookViewId="0">
      <selection activeCell="C31" sqref="C31"/>
    </sheetView>
  </sheetViews>
  <sheetFormatPr baseColWidth="10" defaultRowHeight="15" x14ac:dyDescent="0.25"/>
  <sheetData>
    <row r="1" spans="1:24" ht="15.75" x14ac:dyDescent="0.25">
      <c r="A1" s="1"/>
      <c r="B1" s="1"/>
      <c r="C1" s="1"/>
      <c r="D1" s="1"/>
      <c r="E1" s="1"/>
      <c r="F1" s="1"/>
      <c r="G1" s="1" t="s">
        <v>0</v>
      </c>
      <c r="H1" s="1"/>
      <c r="I1" s="1"/>
      <c r="J1" s="1"/>
      <c r="K1" s="1"/>
      <c r="L1" s="1"/>
      <c r="M1" s="1"/>
      <c r="N1" s="1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</row>
    <row r="2" spans="1:24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 t="s">
        <v>2</v>
      </c>
      <c r="Q2" s="1"/>
      <c r="R2" s="1"/>
      <c r="S2" s="1"/>
      <c r="T2" s="1"/>
      <c r="U2" s="1"/>
      <c r="V2" s="1"/>
      <c r="W2" s="1"/>
      <c r="X2" s="1"/>
    </row>
    <row r="3" spans="1:24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3</v>
      </c>
      <c r="Q3" s="1"/>
      <c r="R3" s="1"/>
      <c r="S3" s="1"/>
      <c r="T3" s="1"/>
      <c r="U3" s="1"/>
      <c r="V3" s="1"/>
      <c r="W3" s="1"/>
      <c r="X3" s="1"/>
    </row>
    <row r="4" spans="1:24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6" spans="1:24" ht="15.75" x14ac:dyDescent="0.25">
      <c r="A6">
        <v>5</v>
      </c>
    </row>
    <row r="10" spans="1:24" ht="15.75" x14ac:dyDescent="0.25">
      <c r="C10" s="1" t="s">
        <v>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5" spans="1:24" ht="15.75" x14ac:dyDescent="0.25">
      <c r="D15" s="1" t="s">
        <v>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4" ht="15.75" x14ac:dyDescent="0.25">
      <c r="D16" s="1" t="s">
        <v>6</v>
      </c>
      <c r="E16" s="1"/>
      <c r="F16" s="1"/>
      <c r="G16" s="1" t="s">
        <v>7</v>
      </c>
      <c r="H16" s="1"/>
      <c r="I16" s="1"/>
      <c r="K16" t="s">
        <v>8</v>
      </c>
      <c r="M16" s="1" t="s">
        <v>9</v>
      </c>
      <c r="N16" s="1"/>
      <c r="O16" s="1" t="s">
        <v>10</v>
      </c>
      <c r="P16" s="1"/>
      <c r="Q16" s="1" t="s">
        <v>11</v>
      </c>
      <c r="R16" s="1"/>
      <c r="S16" s="1" t="s">
        <v>12</v>
      </c>
      <c r="T16" s="1"/>
      <c r="U16" s="1" t="s">
        <v>13</v>
      </c>
      <c r="V16" s="1"/>
    </row>
    <row r="17" spans="4:22" ht="15.75" x14ac:dyDescent="0.25">
      <c r="D17" s="1" t="s">
        <v>14</v>
      </c>
      <c r="E17" s="1"/>
      <c r="F17" s="1"/>
      <c r="G17" s="1">
        <v>35</v>
      </c>
      <c r="H17" s="1"/>
      <c r="I17" s="1"/>
      <c r="J17" s="1"/>
      <c r="K17" s="1" t="s">
        <v>15</v>
      </c>
      <c r="L17" s="1"/>
      <c r="M17" s="1">
        <v>0.02</v>
      </c>
      <c r="N17" s="1"/>
      <c r="O17" s="1" t="s">
        <v>16</v>
      </c>
      <c r="P17" s="1"/>
      <c r="Q17" s="1" t="s">
        <v>17</v>
      </c>
      <c r="R17" s="1"/>
      <c r="S17" s="1" t="s">
        <v>18</v>
      </c>
      <c r="T17" s="1"/>
      <c r="U17" s="1" t="s">
        <v>19</v>
      </c>
      <c r="V17" s="1"/>
    </row>
    <row r="19" spans="4:22" ht="15.75" x14ac:dyDescent="0.25">
      <c r="D19" s="1" t="s">
        <v>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4:22" ht="15.75" x14ac:dyDescent="0.25">
      <c r="D20" s="1" t="s">
        <v>20</v>
      </c>
      <c r="E20" s="1"/>
      <c r="F20" s="1"/>
      <c r="G20" s="1"/>
      <c r="H20" s="1"/>
      <c r="I20" s="1"/>
      <c r="J20" s="1"/>
      <c r="K20" s="1" t="s">
        <v>21</v>
      </c>
      <c r="L20" s="1"/>
      <c r="M20" s="1"/>
      <c r="N20" s="1"/>
      <c r="O20" s="1">
        <v>5</v>
      </c>
      <c r="P20" s="1"/>
    </row>
    <row r="21" spans="4:22" ht="15.75" x14ac:dyDescent="0.25">
      <c r="D21" s="1">
        <v>3</v>
      </c>
      <c r="E21" s="1"/>
      <c r="F21" s="1"/>
      <c r="G21" s="1"/>
      <c r="H21" s="1"/>
      <c r="I21" s="1"/>
      <c r="J21" s="1"/>
      <c r="K21" s="1">
        <v>1</v>
      </c>
      <c r="L21" s="1"/>
      <c r="M21" s="1">
        <v>2</v>
      </c>
      <c r="N21" s="1"/>
      <c r="O21" s="1">
        <f>IF(D21&gt;=3,3,"")</f>
        <v>3</v>
      </c>
      <c r="P21" s="1"/>
      <c r="Q21" s="1"/>
      <c r="R21" s="1"/>
      <c r="S21" s="1"/>
      <c r="T21" s="1"/>
      <c r="U21" s="1">
        <v>0</v>
      </c>
      <c r="V21" s="1"/>
    </row>
    <row r="22" spans="4:22" ht="15.75" x14ac:dyDescent="0.25">
      <c r="D22" s="1" t="s">
        <v>22</v>
      </c>
      <c r="E22" s="1"/>
      <c r="F22" s="1" t="s">
        <v>23</v>
      </c>
      <c r="G22" s="1"/>
      <c r="H22" s="1"/>
      <c r="I22" s="1"/>
      <c r="J22" s="1"/>
      <c r="K22" s="1">
        <v>3</v>
      </c>
      <c r="L22" s="1"/>
      <c r="M22" s="1">
        <v>3</v>
      </c>
      <c r="N22" s="1"/>
      <c r="O22" s="1">
        <v>3</v>
      </c>
      <c r="P22" s="1"/>
      <c r="Q22" s="1"/>
      <c r="R22" s="1"/>
      <c r="S22" s="1"/>
      <c r="T22" s="1"/>
      <c r="U22" s="1"/>
      <c r="V22" s="1"/>
    </row>
    <row r="23" spans="4:22" ht="15.75" x14ac:dyDescent="0.25">
      <c r="D23" s="1"/>
      <c r="E23" s="1"/>
      <c r="F23" s="1" t="s">
        <v>24</v>
      </c>
      <c r="G23" s="1"/>
      <c r="H23" s="1"/>
      <c r="I23" s="1"/>
      <c r="J23" s="1"/>
      <c r="K23" s="1">
        <v>3</v>
      </c>
      <c r="L23" s="1"/>
      <c r="M23" s="1">
        <v>3</v>
      </c>
      <c r="N23" s="1"/>
      <c r="O23" s="1">
        <v>3</v>
      </c>
      <c r="P23" s="1"/>
      <c r="Q23" s="1"/>
      <c r="R23" s="1"/>
      <c r="S23" s="1"/>
      <c r="T23" s="1"/>
      <c r="U23" s="1"/>
      <c r="V23" s="1"/>
    </row>
    <row r="24" spans="4:22" ht="15.75" x14ac:dyDescent="0.25">
      <c r="D24" s="1"/>
      <c r="E24" s="1"/>
      <c r="F24" s="1" t="s">
        <v>25</v>
      </c>
      <c r="G24" s="1"/>
      <c r="H24" s="1"/>
      <c r="I24" s="1"/>
      <c r="J24" s="1"/>
      <c r="K24" s="1">
        <v>5.0039999999999996</v>
      </c>
      <c r="L24" s="1"/>
      <c r="M24" s="1">
        <v>5.01</v>
      </c>
      <c r="N24" s="1"/>
      <c r="O24" s="1">
        <v>5.0039999999999996</v>
      </c>
      <c r="P24" s="1"/>
      <c r="Q24" s="1"/>
      <c r="R24" s="1"/>
      <c r="S24" s="1"/>
      <c r="T24" s="1"/>
      <c r="U24" s="1"/>
      <c r="V24" s="1"/>
    </row>
    <row r="25" spans="4:22" ht="15.75" x14ac:dyDescent="0.25">
      <c r="D25" s="1"/>
      <c r="E25" s="1"/>
      <c r="F25" s="1" t="s">
        <v>26</v>
      </c>
      <c r="G25" s="1"/>
      <c r="H25" s="1"/>
      <c r="I25" s="1"/>
      <c r="J25" s="1"/>
      <c r="K25" s="1">
        <v>1177</v>
      </c>
      <c r="L25" s="1"/>
      <c r="M25" s="1">
        <v>1174</v>
      </c>
      <c r="N25" s="1"/>
      <c r="O25" s="1">
        <v>1187</v>
      </c>
      <c r="P25" s="1"/>
      <c r="Q25" s="1"/>
      <c r="R25" s="1"/>
      <c r="S25" s="1"/>
      <c r="T25" s="1"/>
      <c r="U25" s="1"/>
      <c r="V25" s="1"/>
    </row>
    <row r="26" spans="4:22" ht="15.75" x14ac:dyDescent="0.25">
      <c r="D26" s="1"/>
      <c r="E26" s="1"/>
      <c r="F26" s="1" t="s">
        <v>27</v>
      </c>
      <c r="G26" s="1"/>
      <c r="H26" s="1"/>
      <c r="I26" s="1"/>
      <c r="J26" s="1"/>
      <c r="K26" s="1">
        <v>26.1</v>
      </c>
      <c r="L26" s="1"/>
      <c r="M26" s="1">
        <v>26.26</v>
      </c>
      <c r="N26" s="1"/>
      <c r="O26" s="1">
        <v>26.35</v>
      </c>
      <c r="P26" s="1"/>
      <c r="Q26" s="1"/>
      <c r="R26" s="1"/>
      <c r="S26" s="1"/>
      <c r="T26" s="1"/>
      <c r="U26" s="1"/>
      <c r="V26" s="1"/>
    </row>
    <row r="27" spans="4:22" ht="15.75" x14ac:dyDescent="0.25">
      <c r="D27" s="1"/>
      <c r="E27" s="1"/>
      <c r="F27" s="1" t="s">
        <v>28</v>
      </c>
      <c r="G27" s="1"/>
      <c r="H27" s="1"/>
      <c r="I27" s="1"/>
      <c r="J27" s="1"/>
      <c r="K27" s="1">
        <v>26.1</v>
      </c>
      <c r="L27" s="1"/>
      <c r="M27" s="1">
        <v>26.26</v>
      </c>
      <c r="N27" s="1"/>
      <c r="O27" s="1">
        <v>26.35</v>
      </c>
      <c r="P27" s="1"/>
      <c r="Q27" s="1"/>
      <c r="R27" s="1"/>
      <c r="S27" s="1"/>
      <c r="T27" s="1"/>
      <c r="U27" s="1"/>
      <c r="V27" s="1"/>
    </row>
    <row r="28" spans="4:22" ht="15.75" x14ac:dyDescent="0.25">
      <c r="D28" s="1"/>
      <c r="E28" s="1"/>
      <c r="F28" s="1" t="s">
        <v>29</v>
      </c>
      <c r="G28" s="1"/>
      <c r="H28" s="1"/>
      <c r="I28" s="1"/>
      <c r="J28" s="1"/>
      <c r="K28" s="1">
        <v>24.68</v>
      </c>
      <c r="L28" s="1"/>
      <c r="M28" s="1">
        <v>24.72</v>
      </c>
      <c r="N28" s="1"/>
      <c r="O28" s="1">
        <v>24.7</v>
      </c>
      <c r="P28" s="1"/>
      <c r="Q28" s="1"/>
      <c r="R28" s="1"/>
      <c r="S28" s="1"/>
      <c r="T28" s="1"/>
      <c r="U28" s="1"/>
      <c r="V28" s="1"/>
    </row>
    <row r="29" spans="4:22" ht="15.75" x14ac:dyDescent="0.25">
      <c r="D29" s="1"/>
      <c r="E29" s="1"/>
      <c r="F29" s="1" t="s">
        <v>30</v>
      </c>
      <c r="G29" s="1"/>
      <c r="H29" s="1"/>
      <c r="I29" s="1"/>
      <c r="J29" s="1"/>
      <c r="K29" s="1">
        <v>89.6</v>
      </c>
      <c r="L29" s="1"/>
      <c r="M29" s="1">
        <v>89</v>
      </c>
      <c r="N29" s="1"/>
      <c r="O29" s="1">
        <v>88.1</v>
      </c>
      <c r="P29" s="1"/>
      <c r="Q29" s="1"/>
      <c r="R29" s="1"/>
      <c r="S29" s="1"/>
      <c r="T29" s="1"/>
      <c r="U29" s="1"/>
      <c r="V29" s="1"/>
    </row>
    <row r="30" spans="4:22" ht="15.75" x14ac:dyDescent="0.25">
      <c r="D30" s="1"/>
      <c r="E30" s="1"/>
      <c r="F30" s="1" t="s">
        <v>31</v>
      </c>
      <c r="G30" s="1"/>
      <c r="H30" s="1"/>
      <c r="I30" s="1"/>
      <c r="J30" s="1"/>
      <c r="K30" s="1">
        <v>84.4</v>
      </c>
      <c r="L30" s="1"/>
      <c r="M30" s="1">
        <v>83.8</v>
      </c>
      <c r="N30" s="1"/>
      <c r="O30" s="1">
        <v>82.9</v>
      </c>
      <c r="P30" s="1"/>
      <c r="Q30" s="1"/>
      <c r="R30" s="1"/>
      <c r="S30" s="1"/>
      <c r="T30" s="1"/>
      <c r="U30" s="1"/>
      <c r="V30" s="1"/>
    </row>
    <row r="33" spans="5:22" ht="15.75" x14ac:dyDescent="0.25">
      <c r="E33" s="1" t="s">
        <v>32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5" spans="5:22" ht="15.75" x14ac:dyDescent="0.25">
      <c r="E35" s="1" t="s">
        <v>33</v>
      </c>
      <c r="F35" s="1"/>
      <c r="H35" s="1" t="s">
        <v>25</v>
      </c>
      <c r="I35" s="1"/>
      <c r="K35" t="s">
        <v>26</v>
      </c>
      <c r="M35" t="s">
        <v>34</v>
      </c>
      <c r="O35" t="s">
        <v>35</v>
      </c>
      <c r="Q35" t="s">
        <v>36</v>
      </c>
      <c r="S35" t="s">
        <v>37</v>
      </c>
      <c r="U35" t="s">
        <v>38</v>
      </c>
    </row>
    <row r="37" spans="5:22" ht="15.75" x14ac:dyDescent="0.25">
      <c r="E37" s="1">
        <f>E129</f>
        <v>0</v>
      </c>
      <c r="F37" s="1"/>
      <c r="H37" s="1">
        <f>H129</f>
        <v>5.0021526929641382</v>
      </c>
      <c r="I37" s="1"/>
      <c r="K37">
        <f>K129</f>
        <v>1179.3333333333333</v>
      </c>
      <c r="M37">
        <f>M129</f>
        <v>15.269431623519699</v>
      </c>
      <c r="O37">
        <f>O129</f>
        <v>-100</v>
      </c>
      <c r="Q37">
        <f>Q129</f>
        <v>0.33</v>
      </c>
      <c r="S37">
        <f>S129</f>
        <v>5.00215269296414</v>
      </c>
      <c r="U37">
        <f>U129</f>
        <v>3.2643216113543891E-3</v>
      </c>
    </row>
    <row r="38" spans="5:22" ht="15.75" x14ac:dyDescent="0.25">
      <c r="F38">
        <f>E37</f>
        <v>0</v>
      </c>
      <c r="I38">
        <f>H37</f>
        <v>5.0021526929641382</v>
      </c>
      <c r="O38" s="2">
        <f>O37</f>
        <v>-100</v>
      </c>
    </row>
    <row r="42" spans="5:22" ht="15.75" x14ac:dyDescent="0.25">
      <c r="E42" s="1" t="s">
        <v>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5:22" ht="15.75" x14ac:dyDescent="0.25">
      <c r="E43" s="1" t="s">
        <v>39</v>
      </c>
      <c r="F43" s="1"/>
      <c r="G43" s="1"/>
      <c r="H43" s="1"/>
      <c r="I43" s="1" t="s">
        <v>40</v>
      </c>
      <c r="J43" s="1"/>
      <c r="K43" s="1">
        <f>IF(ISNUMBER(K21),'Constantes y Trazabilidad'!$F$18,"")</f>
        <v>5</v>
      </c>
      <c r="L43" s="1"/>
      <c r="M43" s="1">
        <f>IF(ISNUMBER(M21),'Constantes y Trazabilidad'!$F$18,"")</f>
        <v>5</v>
      </c>
      <c r="N43" s="1"/>
      <c r="O43" s="1">
        <f>IF(ISNUMBER(O21),'Constantes y Trazabilidad'!$F$18,"")</f>
        <v>5</v>
      </c>
      <c r="P43" s="1"/>
      <c r="Q43" s="1" t="str">
        <f>IF(ISNUMBER(Q21),'Constantes y Trazabilidad'!$F$18,"")</f>
        <v/>
      </c>
      <c r="R43" s="1"/>
      <c r="S43" s="1" t="str">
        <f>IF(ISNUMBER(S21),'Constantes y Trazabilidad'!$F$18,"")</f>
        <v/>
      </c>
      <c r="T43" s="1"/>
      <c r="U43" s="1">
        <f t="shared" ref="U43:U51" si="0">AVERAGE(K43:T43)</f>
        <v>5</v>
      </c>
      <c r="V43" s="1"/>
    </row>
    <row r="44" spans="5:22" ht="15.75" x14ac:dyDescent="0.25">
      <c r="E44" s="1" t="s">
        <v>41</v>
      </c>
      <c r="F44" s="1"/>
      <c r="G44" s="1"/>
      <c r="H44" s="1"/>
      <c r="I44" s="1" t="s">
        <v>42</v>
      </c>
      <c r="J44" s="1"/>
      <c r="K44" s="1">
        <f>IF(ISNUMBER(K21),(K24-K43)*('Constantes y Trazabilidad'!$N$18/'Constantes y Trazabilidad'!$L$18),"")</f>
        <v>0</v>
      </c>
      <c r="L44" s="1"/>
      <c r="M44" s="1">
        <f>IF(ISNUMBER(M21),(M24-M43)*('Constantes y Trazabilidad'!$N$18/'Constantes y Trazabilidad'!$L$18),"")</f>
        <v>0</v>
      </c>
      <c r="N44" s="1"/>
      <c r="O44" s="1">
        <f>IF(ISNUMBER(O21),(O24-O43)*('Constantes y Trazabilidad'!$N$18/'Constantes y Trazabilidad'!$L$18),"")</f>
        <v>0</v>
      </c>
      <c r="P44" s="1"/>
      <c r="Q44" s="1" t="str">
        <f>IF(ISNUMBER(Q21),(Q24-Q43)*('Constantes y Trazabilidad'!$N$18/'Constantes y Trazabilidad'!$L$18),"")</f>
        <v/>
      </c>
      <c r="R44" s="1"/>
      <c r="S44" s="1" t="str">
        <f>IF(ISNUMBER(S21),(S24-S43)*('Constantes y Trazabilidad'!$N$18/'Constantes y Trazabilidad'!$L$18),"")</f>
        <v/>
      </c>
      <c r="T44" s="1"/>
      <c r="U44" s="1">
        <f t="shared" si="0"/>
        <v>0</v>
      </c>
      <c r="V44" s="1"/>
    </row>
    <row r="45" spans="5:22" ht="15.75" x14ac:dyDescent="0.25">
      <c r="E45" s="1" t="s">
        <v>43</v>
      </c>
      <c r="F45" s="1"/>
      <c r="G45" s="1"/>
      <c r="H45" s="1"/>
      <c r="I45" s="1" t="s">
        <v>44</v>
      </c>
      <c r="J45" s="1"/>
      <c r="K45" s="1">
        <f>IF(ISNUMBER(K21),0.000051,"")</f>
        <v>5.1E-5</v>
      </c>
      <c r="L45" s="1"/>
      <c r="M45" s="1">
        <f>IF(ISNUMBER(M21),0.000051,"")</f>
        <v>5.1E-5</v>
      </c>
      <c r="N45" s="1"/>
      <c r="O45" s="1">
        <f>IF(ISNUMBER(O21),0.000051,"")</f>
        <v>5.1E-5</v>
      </c>
      <c r="P45" s="1"/>
      <c r="Q45" s="1" t="str">
        <f>IF(ISNUMBER(Q21),0.000051,"")</f>
        <v/>
      </c>
      <c r="R45" s="1"/>
      <c r="S45" s="1" t="str">
        <f>IF(ISNUMBER(S21),0.000051,"")</f>
        <v/>
      </c>
      <c r="T45" s="1"/>
      <c r="U45" s="1">
        <f t="shared" si="0"/>
        <v>5.1E-5</v>
      </c>
      <c r="V45" s="1"/>
    </row>
    <row r="46" spans="5:22" ht="15.75" x14ac:dyDescent="0.25">
      <c r="E46" s="1" t="s">
        <v>45</v>
      </c>
      <c r="F46" s="1"/>
      <c r="G46" s="1"/>
      <c r="H46" s="1"/>
      <c r="I46" s="1" t="s">
        <v>46</v>
      </c>
      <c r="J46" s="1"/>
      <c r="K46" s="1">
        <f>IF(ISNUMBER(K21),K28,"")</f>
        <v>24.68</v>
      </c>
      <c r="L46" s="1"/>
      <c r="M46" s="1">
        <f>IF(ISNUMBER(M21),M28,"")</f>
        <v>24.72</v>
      </c>
      <c r="N46" s="1"/>
      <c r="O46" s="1">
        <f>IF(ISNUMBER(O21),O28,"")</f>
        <v>24.7</v>
      </c>
      <c r="P46" s="1"/>
      <c r="Q46" s="1" t="str">
        <f>IF(ISNUMBER(Q21),Q28,"")</f>
        <v/>
      </c>
      <c r="R46" s="1"/>
      <c r="S46" s="1" t="str">
        <f>IF(ISNUMBER(S21),S28,"")</f>
        <v/>
      </c>
      <c r="T46" s="1"/>
      <c r="U46" s="1">
        <f t="shared" si="0"/>
        <v>24.7</v>
      </c>
      <c r="V46" s="1"/>
    </row>
    <row r="47" spans="5:22" ht="15.75" x14ac:dyDescent="0.25">
      <c r="E47" s="1" t="s">
        <v>47</v>
      </c>
      <c r="F47" s="1"/>
      <c r="G47" s="1"/>
      <c r="H47" s="1"/>
      <c r="I47" s="1" t="s">
        <v>48</v>
      </c>
      <c r="J47" s="1"/>
      <c r="K47" s="1">
        <f>IF(ISNUMBER(K21),0.00015,"")</f>
        <v>1.4999999999999999E-4</v>
      </c>
      <c r="L47" s="1"/>
      <c r="M47" s="1">
        <f>IF(ISNUMBER(M21),0.00015,"")</f>
        <v>1.4999999999999999E-4</v>
      </c>
      <c r="N47" s="1"/>
      <c r="O47" s="1">
        <f>IF(ISNUMBER(O21),0.00015,"")</f>
        <v>1.4999999999999999E-4</v>
      </c>
      <c r="P47" s="1"/>
      <c r="Q47" s="1" t="str">
        <f>IF(ISNUMBER(Q21),0.000015,"")</f>
        <v/>
      </c>
      <c r="R47" s="1"/>
      <c r="S47" s="1" t="str">
        <f>IF(ISNUMBER(S21),0.000015,"")</f>
        <v/>
      </c>
      <c r="T47" s="1"/>
      <c r="U47" s="1">
        <f t="shared" si="0"/>
        <v>1.4999999999999999E-4</v>
      </c>
      <c r="V47" s="1"/>
    </row>
    <row r="48" spans="5:22" ht="15.75" x14ac:dyDescent="0.25">
      <c r="E48" s="1" t="s">
        <v>49</v>
      </c>
      <c r="F48" s="1"/>
      <c r="G48" s="1"/>
      <c r="H48" s="1"/>
      <c r="I48" s="1" t="s">
        <v>50</v>
      </c>
      <c r="J48" s="1"/>
      <c r="K48" s="1">
        <f>IF(ISNUMBER(K21),AVERAGE(K26:L27),"")</f>
        <v>26.1</v>
      </c>
      <c r="L48" s="1"/>
      <c r="M48" s="1">
        <f>IF(ISNUMBER(M21),AVERAGE(M26:N27),"")</f>
        <v>26.26</v>
      </c>
      <c r="N48" s="1"/>
      <c r="O48" s="1">
        <f>IF(ISNUMBER(O21),AVERAGE(O26:P27),"")</f>
        <v>26.35</v>
      </c>
      <c r="P48" s="1"/>
      <c r="Q48" s="1" t="str">
        <f>IF(ISNUMBER(Q21),AVERAGE(Q26:R27),"")</f>
        <v/>
      </c>
      <c r="R48" s="1"/>
      <c r="S48" s="1" t="str">
        <f>IF(ISNUMBER(S21),AVERAGE(S26:T27),"")</f>
        <v/>
      </c>
      <c r="T48" s="1"/>
      <c r="U48" s="1">
        <f t="shared" si="0"/>
        <v>26.236666666666668</v>
      </c>
      <c r="V48" s="1"/>
    </row>
    <row r="49" spans="3:22" ht="15.75" x14ac:dyDescent="0.25">
      <c r="E49" s="1" t="s">
        <v>51</v>
      </c>
      <c r="F49" s="1"/>
      <c r="G49" s="1"/>
      <c r="H49" s="1"/>
      <c r="I49" s="1" t="s">
        <v>52</v>
      </c>
      <c r="J49" s="1"/>
      <c r="K49" s="1">
        <f>IF(ISNUMBER(K21),0.00000046,"")</f>
        <v>4.5999999999999999E-7</v>
      </c>
      <c r="L49" s="1"/>
      <c r="M49" s="1">
        <f>IF(ISNUMBER(M21),0.00000046,"")</f>
        <v>4.5999999999999999E-7</v>
      </c>
      <c r="N49" s="1"/>
      <c r="O49" s="1">
        <f>IF(ISNUMBER(O21),0.00000046,"")</f>
        <v>4.5999999999999999E-7</v>
      </c>
      <c r="P49" s="1"/>
      <c r="Q49" s="1" t="str">
        <f>IF(ISNUMBER(Q21),0.0000046,"")</f>
        <v/>
      </c>
      <c r="R49" s="1"/>
      <c r="S49" s="1" t="str">
        <f>IF(ISNUMBER(S21),0.0000046,"")</f>
        <v/>
      </c>
      <c r="T49" s="1"/>
      <c r="U49" s="1">
        <f t="shared" si="0"/>
        <v>4.5999999999999999E-7</v>
      </c>
      <c r="V49" s="1"/>
    </row>
    <row r="50" spans="3:22" ht="15.75" x14ac:dyDescent="0.25">
      <c r="E50" s="1" t="s">
        <v>53</v>
      </c>
      <c r="F50" s="1"/>
      <c r="G50" s="1"/>
      <c r="H50" s="1"/>
      <c r="I50" s="1" t="s">
        <v>54</v>
      </c>
      <c r="J50" s="1"/>
      <c r="K50" s="1">
        <f>IF(ISNUMBER(K21),AVERAGE(K29:L30),"")</f>
        <v>87</v>
      </c>
      <c r="L50" s="1"/>
      <c r="M50" s="1">
        <f>IF(ISNUMBER(M21),AVERAGE(M29:N30),"")</f>
        <v>86.4</v>
      </c>
      <c r="N50" s="1"/>
      <c r="O50" s="1">
        <f>IF(ISNUMBER(O21),AVERAGE(O29:P30),"")</f>
        <v>85.5</v>
      </c>
      <c r="P50" s="1"/>
      <c r="Q50" s="1" t="str">
        <f>IF(ISNUMBER(Q21),AVERAGE(Q29:R30),"")</f>
        <v/>
      </c>
      <c r="R50" s="1"/>
      <c r="S50" s="1" t="str">
        <f>IF(ISNUMBER(S21),AVERAGE(S29:T30),"")</f>
        <v/>
      </c>
      <c r="T50" s="1"/>
      <c r="U50" s="1">
        <f t="shared" si="0"/>
        <v>86.3</v>
      </c>
      <c r="V50" s="1"/>
    </row>
    <row r="51" spans="3:22" ht="15.75" x14ac:dyDescent="0.25">
      <c r="E51" s="1" t="s">
        <v>55</v>
      </c>
      <c r="F51" s="1"/>
      <c r="G51" s="1"/>
      <c r="H51" s="1"/>
      <c r="I51" s="1" t="s">
        <v>56</v>
      </c>
      <c r="J51" s="1"/>
      <c r="K51" s="1">
        <v>0</v>
      </c>
      <c r="L51" s="1"/>
      <c r="M51" s="1">
        <v>0</v>
      </c>
      <c r="N51" s="1"/>
      <c r="O51" s="1">
        <v>0</v>
      </c>
      <c r="P51" s="1"/>
      <c r="Q51" s="1">
        <v>0</v>
      </c>
      <c r="R51" s="1"/>
      <c r="S51" s="1">
        <v>0</v>
      </c>
      <c r="T51" s="1"/>
      <c r="U51" s="1">
        <f t="shared" si="0"/>
        <v>0</v>
      </c>
      <c r="V51" s="1"/>
    </row>
    <row r="52" spans="3:22" ht="15.75" x14ac:dyDescent="0.25">
      <c r="E52" s="1" t="s">
        <v>57</v>
      </c>
      <c r="F52" s="1"/>
      <c r="G52" s="1"/>
      <c r="H52" s="1"/>
      <c r="I52" s="1" t="s">
        <v>58</v>
      </c>
      <c r="J52" s="1"/>
      <c r="K52" s="1">
        <f>(K43+K44)*(1+K45*(K46-20))*(1+K47*(K48-K46))*(1-K49*(K50-K51))</f>
        <v>5.0020584638028591</v>
      </c>
      <c r="L52" s="1"/>
      <c r="M52" s="1">
        <f>(M43+M44)*(1+M45*(M46-20))*(1+M47*(M48-M46))*(1-M49*(M50-M51))</f>
        <v>5.0021600642803525</v>
      </c>
      <c r="N52" s="1"/>
      <c r="O52" s="1">
        <f>IF(ISNUMBER(O21),(O43+O44)*(1+O45*(O46-20))*(1+O47*(O48-O46))*(1-O49*(O50-O51)),"")</f>
        <v>5.002239550809203</v>
      </c>
      <c r="P52" s="1"/>
      <c r="Q52" s="1" t="str">
        <f>IF(ISNUMBER(Q21),(Q43+Q44)*(1+Q45*(Q46-20))*(1+Q47*(Q48-Q46))*(1-Q49*(Q50-Q51)),"")</f>
        <v/>
      </c>
      <c r="R52" s="1"/>
      <c r="S52" s="1" t="str">
        <f>IF(ISNUMBER(S21),(S43+S44)*(1+S45*(S46-20))*(1+S47*(S48-S46))*(1-S49*(S50-S51)),"")</f>
        <v/>
      </c>
      <c r="T52" s="1"/>
      <c r="U52" s="1">
        <f>IF(ISNUMBER(U21),(U43+U44)*(1+U45*(U46-20))*(1+U47*(U48-U46))*(1+U49*(U50-U51)),"")</f>
        <v>5.0025498595952147</v>
      </c>
      <c r="V52" s="1"/>
    </row>
    <row r="53" spans="3:22" ht="15.75" x14ac:dyDescent="0.25">
      <c r="E53" s="1" t="s">
        <v>59</v>
      </c>
      <c r="F53" s="1"/>
      <c r="G53" s="1"/>
      <c r="H53" s="1"/>
      <c r="I53" s="1" t="s">
        <v>60</v>
      </c>
      <c r="J53" s="1"/>
      <c r="K53" s="1">
        <f>IF(ISNUMBER(K21),K22-K23,"")</f>
        <v>0</v>
      </c>
      <c r="L53" s="1"/>
      <c r="M53" s="1">
        <f>IF(ISNUMBER(M21),M22-M23,"")</f>
        <v>0</v>
      </c>
      <c r="N53" s="1"/>
      <c r="O53" s="1">
        <f>IF(ISNUMBER(O21),O22-O23,"")</f>
        <v>0</v>
      </c>
      <c r="P53" s="1"/>
      <c r="Q53" s="1" t="str">
        <f>IF(ISNUMBER(Q21),Q22-Q23,"")</f>
        <v/>
      </c>
      <c r="R53" s="1"/>
      <c r="S53" s="1" t="str">
        <f>IF(ISNUMBER(S21),S22-S23,"")</f>
        <v/>
      </c>
      <c r="T53" s="1"/>
      <c r="U53" s="1">
        <f>AVERAGE(K53:T53)</f>
        <v>0</v>
      </c>
      <c r="V53" s="1"/>
    </row>
    <row r="54" spans="3:22" ht="15.75" x14ac:dyDescent="0.25">
      <c r="E54" s="1" t="s">
        <v>61</v>
      </c>
      <c r="F54" s="1"/>
      <c r="G54" s="1"/>
      <c r="H54" s="1"/>
      <c r="I54" s="1" t="s">
        <v>62</v>
      </c>
      <c r="J54" s="1"/>
      <c r="K54" s="1">
        <v>0</v>
      </c>
      <c r="L54" s="1"/>
      <c r="M54" s="1">
        <v>0</v>
      </c>
      <c r="N54" s="1"/>
      <c r="O54" s="1">
        <v>0</v>
      </c>
      <c r="P54" s="1"/>
      <c r="Q54" s="1">
        <v>0</v>
      </c>
      <c r="R54" s="1"/>
      <c r="S54" s="1">
        <v>0</v>
      </c>
      <c r="T54" s="1"/>
      <c r="U54" s="1">
        <v>0</v>
      </c>
      <c r="V54" s="1"/>
    </row>
    <row r="55" spans="3:22" ht="15.75" x14ac:dyDescent="0.25">
      <c r="E55" s="1" t="s">
        <v>61</v>
      </c>
      <c r="F55" s="1"/>
      <c r="G55" s="1"/>
      <c r="H55" s="1"/>
      <c r="I55" s="1" t="s">
        <v>63</v>
      </c>
      <c r="J55" s="1"/>
      <c r="K55" s="1">
        <v>0</v>
      </c>
      <c r="L55" s="1"/>
      <c r="M55" s="1">
        <v>0</v>
      </c>
      <c r="N55" s="1"/>
      <c r="O55" s="1">
        <v>0</v>
      </c>
      <c r="P55" s="1"/>
      <c r="Q55" s="1">
        <v>0</v>
      </c>
      <c r="R55" s="1"/>
      <c r="S55" s="1">
        <v>0</v>
      </c>
      <c r="T55" s="1"/>
      <c r="U55" s="1">
        <v>0</v>
      </c>
      <c r="V55" s="1"/>
    </row>
    <row r="56" spans="3:22" ht="15.75" x14ac:dyDescent="0.25">
      <c r="E56" s="1" t="s">
        <v>64</v>
      </c>
      <c r="F56" s="1"/>
      <c r="G56" s="1"/>
      <c r="H56" s="1"/>
      <c r="I56" s="1" t="s">
        <v>65</v>
      </c>
      <c r="J56" s="1"/>
      <c r="K56" s="1">
        <f>((K53+K55-K54)/K52)-1</f>
        <v>-1</v>
      </c>
      <c r="L56" s="1"/>
      <c r="M56" s="1">
        <f>((M53+M55-M54)/M52)-1</f>
        <v>-1</v>
      </c>
      <c r="N56" s="1"/>
      <c r="O56" s="1">
        <f>IF(ISNUMBER(O21),((O53+O55-O54)/O52)-1,"")</f>
        <v>-1</v>
      </c>
      <c r="P56" s="1"/>
      <c r="Q56" s="1" t="str">
        <f>IF(ISNUMBER(Q21),((Q53+Q55-Q54)/Q52)-1,"")</f>
        <v/>
      </c>
      <c r="R56" s="1"/>
      <c r="S56" s="1" t="str">
        <f>IF(ISNUMBER(S21),((S53+S55-S54)/S52)-1,"")</f>
        <v/>
      </c>
      <c r="T56" s="1"/>
      <c r="U56" s="1">
        <f>IF(ISNUMBER(U21),((U53+U55-U54)/U52)-1,"")</f>
        <v>-1</v>
      </c>
      <c r="V56" s="1"/>
    </row>
    <row r="57" spans="3:22" ht="15.75" x14ac:dyDescent="0.25">
      <c r="E57" s="1" t="s">
        <v>66</v>
      </c>
      <c r="F57" s="1"/>
      <c r="G57" s="1"/>
      <c r="H57" s="1"/>
      <c r="I57" s="1" t="s">
        <v>67</v>
      </c>
      <c r="J57" s="1"/>
      <c r="K57" s="1">
        <v>0</v>
      </c>
      <c r="L57" s="1"/>
      <c r="M57" s="1">
        <v>0</v>
      </c>
      <c r="N57" s="1"/>
      <c r="O57" s="1">
        <v>0</v>
      </c>
      <c r="P57" s="1"/>
      <c r="Q57" s="1">
        <v>0</v>
      </c>
      <c r="R57" s="1"/>
      <c r="S57" s="1">
        <v>0</v>
      </c>
      <c r="T57" s="1"/>
      <c r="U57" s="1">
        <v>0</v>
      </c>
      <c r="V57" s="1"/>
    </row>
    <row r="58" spans="3:22" ht="15.75" x14ac:dyDescent="0.25">
      <c r="E58" s="1" t="s">
        <v>68</v>
      </c>
      <c r="F58" s="1"/>
      <c r="G58" s="1"/>
      <c r="H58" s="1"/>
      <c r="I58" s="1" t="s">
        <v>69</v>
      </c>
      <c r="J58" s="1"/>
      <c r="K58" s="1">
        <f>K56+K57</f>
        <v>-1</v>
      </c>
      <c r="L58" s="1"/>
      <c r="M58" s="1">
        <f>M56+M57</f>
        <v>-1</v>
      </c>
      <c r="N58" s="1"/>
      <c r="O58" s="1">
        <f>IF(ISNUMBER(O21),O56+O57,"")</f>
        <v>-1</v>
      </c>
      <c r="P58" s="1"/>
      <c r="Q58" s="1" t="str">
        <f>IF(ISNUMBER(Q21),Q56+Q57,"")</f>
        <v/>
      </c>
      <c r="R58" s="1"/>
      <c r="S58" s="1" t="str">
        <f>IF(ISNUMBER(S21),S56+S57,"")</f>
        <v/>
      </c>
      <c r="T58" s="1"/>
      <c r="U58" s="1">
        <f>IF(ISNUMBER(U21),U56+U57,"")</f>
        <v>-1</v>
      </c>
      <c r="V58" s="1"/>
    </row>
    <row r="59" spans="3:22" ht="15.75" x14ac:dyDescent="0.25">
      <c r="E59" s="1" t="s">
        <v>70</v>
      </c>
      <c r="F59" s="1"/>
      <c r="G59" s="1"/>
      <c r="H59" s="1"/>
      <c r="I59" s="1"/>
      <c r="J59" s="1"/>
      <c r="K59" s="1">
        <f>K58</f>
        <v>-1</v>
      </c>
      <c r="L59" s="1"/>
      <c r="M59" s="1">
        <f>M58</f>
        <v>-1</v>
      </c>
      <c r="N59" s="1"/>
      <c r="O59" s="1">
        <f>O58</f>
        <v>-1</v>
      </c>
      <c r="P59" s="1"/>
      <c r="Q59" s="1" t="str">
        <f>IF(ISNUMBER(Q21),Q58,"")</f>
        <v/>
      </c>
      <c r="R59" s="1"/>
      <c r="S59" s="1" t="str">
        <f>IF(ISNUMBER(S21),S58,"")</f>
        <v/>
      </c>
      <c r="T59" s="1"/>
      <c r="U59" s="1">
        <f>U58</f>
        <v>-1</v>
      </c>
      <c r="V59" s="1"/>
    </row>
    <row r="62" spans="3:22" ht="15.75" x14ac:dyDescent="0.25">
      <c r="C62" s="1" t="s">
        <v>71</v>
      </c>
      <c r="D62" s="1"/>
      <c r="E62" s="1"/>
      <c r="F62" s="1"/>
      <c r="G62" s="1"/>
      <c r="H62" s="1"/>
      <c r="I62" s="1"/>
    </row>
    <row r="65" spans="5:22" ht="15.75" x14ac:dyDescent="0.25">
      <c r="E65" s="1" t="s">
        <v>7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5:22" ht="15.75" x14ac:dyDescent="0.25">
      <c r="E66" s="1" t="s">
        <v>72</v>
      </c>
      <c r="F66" s="1"/>
      <c r="G66" s="1"/>
      <c r="H66" s="1"/>
      <c r="I66" s="1"/>
      <c r="J66" s="1"/>
      <c r="K66" s="1" t="s">
        <v>73</v>
      </c>
      <c r="L66" s="1"/>
      <c r="M66" s="1" t="s">
        <v>74</v>
      </c>
      <c r="N66" s="1"/>
      <c r="O66" s="1" t="s">
        <v>75</v>
      </c>
      <c r="P66" s="1"/>
      <c r="Q66" s="1" t="s">
        <v>76</v>
      </c>
      <c r="R66" s="1"/>
      <c r="S66" s="1"/>
      <c r="T66" s="1" t="s">
        <v>77</v>
      </c>
      <c r="U66" s="1"/>
      <c r="V66" s="1"/>
    </row>
    <row r="67" spans="5:22" ht="15.75" x14ac:dyDescent="0.25">
      <c r="E67" s="1" t="s">
        <v>78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5:22" ht="15.75" x14ac:dyDescent="0.25">
      <c r="E68" s="1" t="s">
        <v>79</v>
      </c>
      <c r="F68" s="1"/>
      <c r="G68" s="1"/>
      <c r="H68" s="1"/>
      <c r="I68" s="1" t="s">
        <v>80</v>
      </c>
      <c r="J68" s="1"/>
      <c r="K68" s="1">
        <f>'Constantes y Trazabilidad'!$J$18/'Constantes y Trazabilidad'!$F$22</f>
        <v>6.4999999999999997E-4</v>
      </c>
      <c r="L68" s="1"/>
      <c r="M68" s="1" t="s">
        <v>81</v>
      </c>
      <c r="N68" s="1"/>
      <c r="O68" s="1" t="s">
        <v>82</v>
      </c>
      <c r="P68" s="1"/>
      <c r="Q68" s="1">
        <v>1</v>
      </c>
      <c r="R68" s="1"/>
      <c r="S68" s="1"/>
      <c r="T68" s="1">
        <f>K68*Q68</f>
        <v>6.4999999999999997E-4</v>
      </c>
      <c r="U68" s="1"/>
      <c r="V68" s="1"/>
    </row>
    <row r="69" spans="5:22" ht="15.75" x14ac:dyDescent="0.25">
      <c r="E69" s="1" t="s">
        <v>83</v>
      </c>
      <c r="F69" s="1"/>
      <c r="G69" s="1"/>
      <c r="H69" s="1"/>
      <c r="I69" s="1" t="s">
        <v>84</v>
      </c>
      <c r="J69" s="1"/>
      <c r="K69" s="1">
        <f>'Constantes y Trazabilidad'!$L$20/(2*SQRT(3))</f>
        <v>2.886751345948129E-4</v>
      </c>
      <c r="L69" s="1"/>
      <c r="M69" s="1" t="s">
        <v>81</v>
      </c>
      <c r="N69" s="1"/>
      <c r="O69" s="1" t="s">
        <v>85</v>
      </c>
      <c r="P69" s="1"/>
      <c r="Q69" s="1">
        <v>1</v>
      </c>
      <c r="R69" s="1"/>
      <c r="S69" s="1"/>
      <c r="T69" s="1">
        <f>K69*Q69</f>
        <v>2.886751345948129E-4</v>
      </c>
      <c r="U69" s="1"/>
      <c r="V69" s="1"/>
    </row>
    <row r="70" spans="5:22" ht="15.75" x14ac:dyDescent="0.25">
      <c r="Q70" s="1" t="s">
        <v>86</v>
      </c>
      <c r="R70" s="1"/>
      <c r="S70" s="1"/>
      <c r="T70" s="1">
        <f>SQRT(SUMSQ(T68:V69))</f>
        <v>7.1121960977839555E-4</v>
      </c>
      <c r="U70" s="1"/>
      <c r="V70" s="1"/>
    </row>
    <row r="71" spans="5:22" ht="15.75" x14ac:dyDescent="0.25">
      <c r="E71" s="1" t="s">
        <v>87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5:22" ht="15.75" x14ac:dyDescent="0.25">
      <c r="E72" s="1" t="s">
        <v>79</v>
      </c>
      <c r="F72" s="1"/>
      <c r="G72" s="1"/>
      <c r="H72" s="1"/>
      <c r="I72" s="1" t="s">
        <v>88</v>
      </c>
      <c r="J72" s="1"/>
      <c r="K72" s="1">
        <f>'Constantes y Trazabilidad'!$N$61/'Constantes y Trazabilidad'!F67</f>
        <v>3.5499999999999997E-2</v>
      </c>
      <c r="L72" s="1"/>
      <c r="M72" s="1" t="s">
        <v>81</v>
      </c>
      <c r="N72" s="1"/>
      <c r="O72" s="1" t="s">
        <v>82</v>
      </c>
      <c r="P72" s="1"/>
      <c r="Q72" s="1">
        <v>1</v>
      </c>
      <c r="R72" s="1"/>
      <c r="S72" s="1"/>
      <c r="T72" s="1">
        <f>K72*Q72</f>
        <v>3.5499999999999997E-2</v>
      </c>
      <c r="U72" s="1"/>
      <c r="V72" s="1"/>
    </row>
    <row r="73" spans="5:22" ht="15.75" x14ac:dyDescent="0.25">
      <c r="E73" s="1" t="s">
        <v>89</v>
      </c>
      <c r="F73" s="1"/>
      <c r="G73" s="1"/>
      <c r="H73" s="1"/>
      <c r="I73" s="1" t="s">
        <v>90</v>
      </c>
      <c r="J73" s="1"/>
      <c r="K73" s="1">
        <f>'Constantes y Trazabilidad'!$N$63/SQRT(3)</f>
        <v>2.886751345948129E-3</v>
      </c>
      <c r="L73" s="1"/>
      <c r="M73" s="1" t="s">
        <v>81</v>
      </c>
      <c r="N73" s="1"/>
      <c r="O73" s="1" t="s">
        <v>85</v>
      </c>
      <c r="P73" s="1"/>
      <c r="Q73" s="1">
        <v>1</v>
      </c>
      <c r="R73" s="1"/>
      <c r="S73" s="1"/>
      <c r="T73" s="1">
        <f>K73*Q73</f>
        <v>2.886751345948129E-3</v>
      </c>
      <c r="U73" s="1"/>
      <c r="V73" s="1"/>
    </row>
    <row r="74" spans="5:22" ht="15.75" x14ac:dyDescent="0.25">
      <c r="E74" s="1" t="s">
        <v>91</v>
      </c>
      <c r="F74" s="1"/>
      <c r="G74" s="1"/>
      <c r="H74" s="1"/>
      <c r="I74" s="1" t="s">
        <v>92</v>
      </c>
      <c r="J74" s="1"/>
      <c r="K74" s="1">
        <f>'Constantes y Trazabilidad'!$L$65/(2*SQRT(3))</f>
        <v>0.35680246635918866</v>
      </c>
      <c r="L74" s="1"/>
      <c r="M74" s="1" t="s">
        <v>81</v>
      </c>
      <c r="N74" s="1"/>
      <c r="O74" s="1" t="s">
        <v>85</v>
      </c>
      <c r="P74" s="1"/>
      <c r="Q74" s="1">
        <v>1</v>
      </c>
      <c r="R74" s="1"/>
      <c r="S74" s="1"/>
      <c r="T74" s="1">
        <f>K74*Q74</f>
        <v>0.35680246635918866</v>
      </c>
      <c r="U74" s="1"/>
      <c r="V74" s="1"/>
    </row>
    <row r="75" spans="5:22" ht="15.75" x14ac:dyDescent="0.25">
      <c r="E75" s="1" t="s">
        <v>93</v>
      </c>
      <c r="F75" s="1"/>
      <c r="G75" s="1"/>
      <c r="H75" s="1"/>
      <c r="I75" s="1" t="s">
        <v>94</v>
      </c>
      <c r="J75" s="1"/>
      <c r="K75" s="1">
        <f>('Constantes y Trazabilidad'!$P$71/(2*SQRT(3)))</f>
        <v>0.14433756729740646</v>
      </c>
      <c r="L75" s="1"/>
      <c r="M75" s="1" t="s">
        <v>81</v>
      </c>
      <c r="N75" s="1"/>
      <c r="O75" s="1" t="s">
        <v>85</v>
      </c>
      <c r="P75" s="1"/>
      <c r="Q75" s="1">
        <v>1</v>
      </c>
      <c r="R75" s="1"/>
      <c r="S75" s="1"/>
      <c r="T75" s="1">
        <f>K75*Q75</f>
        <v>0.14433756729740646</v>
      </c>
      <c r="U75" s="1"/>
      <c r="V75" s="1"/>
    </row>
    <row r="76" spans="5:22" ht="15.75" x14ac:dyDescent="0.25">
      <c r="Q76" s="1" t="s">
        <v>95</v>
      </c>
      <c r="R76" s="1"/>
      <c r="S76" s="1"/>
      <c r="T76" s="1">
        <f>SQRT(SUMSQ(T72:V75))</f>
        <v>0.38653578963230123</v>
      </c>
      <c r="U76" s="1"/>
      <c r="V76" s="1"/>
    </row>
    <row r="77" spans="5:22" ht="15.75" x14ac:dyDescent="0.25">
      <c r="E77" s="1" t="s">
        <v>96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5:22" ht="15.75" x14ac:dyDescent="0.25">
      <c r="E78" s="1" t="s">
        <v>79</v>
      </c>
      <c r="F78" s="1"/>
      <c r="G78" s="1"/>
      <c r="H78" s="1"/>
      <c r="I78" s="1" t="s">
        <v>97</v>
      </c>
      <c r="J78" s="1"/>
      <c r="K78" s="1">
        <f>'Constantes y Trazabilidad'!$N$88/'Constantes y Trazabilidad'!F94</f>
        <v>0.115</v>
      </c>
      <c r="L78" s="1"/>
      <c r="M78" s="1" t="s">
        <v>81</v>
      </c>
      <c r="N78" s="1"/>
      <c r="O78" s="1" t="s">
        <v>82</v>
      </c>
      <c r="P78" s="1"/>
      <c r="Q78" s="1">
        <v>1</v>
      </c>
      <c r="R78" s="1"/>
      <c r="S78" s="1"/>
      <c r="T78" s="1">
        <f>K78*Q78</f>
        <v>0.115</v>
      </c>
      <c r="U78" s="1"/>
      <c r="V78" s="1"/>
    </row>
    <row r="79" spans="5:22" ht="15.75" x14ac:dyDescent="0.25">
      <c r="E79" s="1" t="s">
        <v>98</v>
      </c>
      <c r="F79" s="1"/>
      <c r="G79" s="1"/>
      <c r="H79" s="1"/>
      <c r="I79" s="1" t="s">
        <v>99</v>
      </c>
      <c r="J79" s="1"/>
      <c r="K79" s="1">
        <f>'Constantes y Trazabilidad'!$N$90/SQRT(3)</f>
        <v>2.886751345948129E-3</v>
      </c>
      <c r="L79" s="1"/>
      <c r="M79" s="1" t="s">
        <v>81</v>
      </c>
      <c r="N79" s="1"/>
      <c r="O79" s="1" t="s">
        <v>85</v>
      </c>
      <c r="P79" s="1"/>
      <c r="Q79" s="1">
        <v>1</v>
      </c>
      <c r="R79" s="1"/>
      <c r="S79" s="1"/>
      <c r="T79" s="1">
        <f>K79*Q79</f>
        <v>2.886751345948129E-3</v>
      </c>
      <c r="U79" s="1"/>
      <c r="V79" s="1"/>
    </row>
    <row r="80" spans="5:22" ht="15.75" x14ac:dyDescent="0.25">
      <c r="E80" s="1" t="s">
        <v>100</v>
      </c>
      <c r="F80" s="1"/>
      <c r="G80" s="1"/>
      <c r="H80" s="1"/>
      <c r="I80" s="1" t="s">
        <v>101</v>
      </c>
      <c r="J80" s="1"/>
      <c r="K80" s="1">
        <f>'Constantes y Trazabilidad'!$L$92/(2*SQRT(3))</f>
        <v>6.43745550146433E-2</v>
      </c>
      <c r="L80" s="1"/>
      <c r="M80" s="1" t="s">
        <v>81</v>
      </c>
      <c r="N80" s="1"/>
      <c r="O80" s="1" t="s">
        <v>85</v>
      </c>
      <c r="P80" s="1"/>
      <c r="Q80" s="1">
        <v>1</v>
      </c>
      <c r="R80" s="1"/>
      <c r="S80" s="1"/>
      <c r="T80" s="1">
        <f>K80*Q80</f>
        <v>6.43745550146433E-2</v>
      </c>
      <c r="U80" s="1"/>
      <c r="V80" s="1"/>
    </row>
    <row r="81" spans="5:22" ht="15.75" x14ac:dyDescent="0.25">
      <c r="E81" s="1" t="s">
        <v>102</v>
      </c>
      <c r="F81" s="1"/>
      <c r="G81" s="1"/>
      <c r="H81" s="1"/>
      <c r="I81" s="1" t="s">
        <v>103</v>
      </c>
      <c r="J81" s="1"/>
      <c r="K81" s="1">
        <f>('Constantes y Trazabilidad'!P98/(2*SQRT(3)))</f>
        <v>6.0621778264910955E-2</v>
      </c>
      <c r="L81" s="1"/>
      <c r="M81" s="1" t="s">
        <v>81</v>
      </c>
      <c r="N81" s="1"/>
      <c r="O81" s="1" t="s">
        <v>85</v>
      </c>
      <c r="P81" s="1"/>
      <c r="Q81" s="1">
        <v>1</v>
      </c>
      <c r="R81" s="1"/>
      <c r="S81" s="1"/>
      <c r="T81" s="1">
        <f>K81*Q81</f>
        <v>6.0621778264910955E-2</v>
      </c>
      <c r="U81" s="1"/>
      <c r="V81" s="1"/>
    </row>
    <row r="82" spans="5:22" ht="15.75" x14ac:dyDescent="0.25">
      <c r="Q82" s="1" t="s">
        <v>104</v>
      </c>
      <c r="R82" s="1"/>
      <c r="S82" s="1"/>
      <c r="T82" s="1">
        <f>SQRT(SUMSQ(T78:V81))</f>
        <v>0.14509450942977375</v>
      </c>
      <c r="U82" s="1"/>
      <c r="V82" s="1"/>
    </row>
    <row r="83" spans="5:22" ht="15.75" x14ac:dyDescent="0.25">
      <c r="E83" s="1" t="s">
        <v>105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5:22" ht="15.75" x14ac:dyDescent="0.25">
      <c r="E84" s="1" t="s">
        <v>79</v>
      </c>
      <c r="F84" s="1"/>
      <c r="G84" s="1"/>
      <c r="H84" s="1"/>
      <c r="I84" s="1" t="s">
        <v>106</v>
      </c>
      <c r="J84" s="1"/>
      <c r="K84" s="1">
        <f>'Constantes y Trazabilidad'!$N$115/'Constantes y Trazabilidad'!F121</f>
        <v>0.96969696969696983</v>
      </c>
      <c r="L84" s="1"/>
      <c r="M84" s="1" t="s">
        <v>81</v>
      </c>
      <c r="N84" s="1"/>
      <c r="O84" s="1" t="s">
        <v>82</v>
      </c>
      <c r="P84" s="1"/>
      <c r="Q84" s="1">
        <v>1</v>
      </c>
      <c r="R84" s="1"/>
      <c r="S84" s="1"/>
      <c r="T84" s="1">
        <f>K84*Q84</f>
        <v>0.96969696969696983</v>
      </c>
      <c r="U84" s="1"/>
      <c r="V84" s="1"/>
    </row>
    <row r="85" spans="5:22" ht="15.75" x14ac:dyDescent="0.25">
      <c r="E85" s="1" t="s">
        <v>107</v>
      </c>
      <c r="F85" s="1"/>
      <c r="G85" s="1"/>
      <c r="H85" s="1"/>
      <c r="I85" s="1" t="s">
        <v>108</v>
      </c>
      <c r="J85" s="1"/>
      <c r="K85" s="1">
        <f>'Constantes y Trazabilidad'!$N$117/SQRT(3)</f>
        <v>2.8867513459481291E-2</v>
      </c>
      <c r="L85" s="1"/>
      <c r="M85" s="1" t="s">
        <v>81</v>
      </c>
      <c r="N85" s="1"/>
      <c r="O85" s="1" t="s">
        <v>85</v>
      </c>
      <c r="P85" s="1"/>
      <c r="Q85" s="1">
        <v>1</v>
      </c>
      <c r="R85" s="1"/>
      <c r="S85" s="1"/>
      <c r="T85" s="1">
        <f>K85*Q85</f>
        <v>2.8867513459481291E-2</v>
      </c>
      <c r="U85" s="1"/>
      <c r="V85" s="1"/>
    </row>
    <row r="86" spans="5:22" ht="15.75" x14ac:dyDescent="0.25">
      <c r="E86" s="1" t="s">
        <v>109</v>
      </c>
      <c r="F86" s="1"/>
      <c r="G86" s="1"/>
      <c r="H86" s="1"/>
      <c r="I86" s="1" t="s">
        <v>110</v>
      </c>
      <c r="J86" s="1"/>
      <c r="K86" s="1">
        <f>'Constantes y Trazabilidad'!$L$119/(2*SQRT(3))</f>
        <v>0.11547005383792515</v>
      </c>
      <c r="L86" s="1"/>
      <c r="M86" s="1" t="s">
        <v>81</v>
      </c>
      <c r="N86" s="1"/>
      <c r="O86" s="1" t="s">
        <v>85</v>
      </c>
      <c r="P86" s="1"/>
      <c r="Q86" s="1">
        <v>1</v>
      </c>
      <c r="R86" s="1"/>
      <c r="S86" s="1"/>
      <c r="T86" s="1">
        <f>K86*Q86</f>
        <v>0.11547005383792515</v>
      </c>
      <c r="U86" s="1"/>
      <c r="V86" s="1"/>
    </row>
    <row r="87" spans="5:22" ht="15.75" x14ac:dyDescent="0.25">
      <c r="E87" s="1" t="s">
        <v>111</v>
      </c>
      <c r="F87" s="1"/>
      <c r="G87" s="1"/>
      <c r="H87" s="1"/>
      <c r="I87" s="1" t="s">
        <v>112</v>
      </c>
      <c r="J87" s="1"/>
      <c r="K87" s="1">
        <f>('Constantes y Trazabilidad'!$P$125/(2*SQRT(3)))</f>
        <v>-36.142126851270582</v>
      </c>
      <c r="L87" s="1"/>
      <c r="M87" s="1" t="s">
        <v>81</v>
      </c>
      <c r="N87" s="1"/>
      <c r="O87" s="1" t="s">
        <v>85</v>
      </c>
      <c r="P87" s="1"/>
      <c r="Q87" s="1">
        <v>1</v>
      </c>
      <c r="R87" s="1"/>
      <c r="S87" s="1"/>
      <c r="T87" s="1">
        <f>K87*Q87</f>
        <v>-36.142126851270582</v>
      </c>
      <c r="U87" s="1"/>
      <c r="V87" s="1"/>
    </row>
    <row r="88" spans="5:22" ht="15.75" x14ac:dyDescent="0.25">
      <c r="Q88" s="1" t="s">
        <v>113</v>
      </c>
      <c r="R88" s="1"/>
      <c r="S88" s="1"/>
      <c r="T88" s="1">
        <f>SQRT(SUMSQ(T84:V87))</f>
        <v>36.155328960099922</v>
      </c>
      <c r="U88" s="1"/>
      <c r="V88" s="1"/>
    </row>
    <row r="89" spans="5:22" ht="15.75" x14ac:dyDescent="0.25">
      <c r="E89" s="1" t="s">
        <v>114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5:22" ht="15.75" x14ac:dyDescent="0.25">
      <c r="E90" s="1" t="s">
        <v>39</v>
      </c>
      <c r="F90" s="1"/>
      <c r="G90" s="1"/>
      <c r="H90" s="1"/>
      <c r="I90" s="1" t="s">
        <v>58</v>
      </c>
      <c r="J90" s="1"/>
      <c r="K90" s="1">
        <f>T70</f>
        <v>7.1121960977839555E-4</v>
      </c>
      <c r="L90" s="1"/>
      <c r="M90" s="1" t="s">
        <v>81</v>
      </c>
      <c r="N90" s="1"/>
      <c r="O90" s="1" t="s">
        <v>82</v>
      </c>
      <c r="P90" s="1"/>
      <c r="Q90" s="1">
        <f>(1+U45*(U46-20))*(1+U47*(U48-U46))*(1-U49*(U50-U51))</f>
        <v>1.0004305385826571</v>
      </c>
      <c r="R90" s="1"/>
      <c r="S90" s="1"/>
      <c r="T90" s="1">
        <f t="shared" ref="T90:T98" si="1">K90*Q90</f>
        <v>7.115258172611475E-4</v>
      </c>
      <c r="U90" s="1"/>
      <c r="V90" s="1"/>
    </row>
    <row r="91" spans="5:22" ht="15.75" x14ac:dyDescent="0.25">
      <c r="E91" s="1" t="s">
        <v>41</v>
      </c>
      <c r="F91" s="1"/>
      <c r="G91" s="1"/>
      <c r="H91" s="1"/>
      <c r="I91" s="1" t="s">
        <v>115</v>
      </c>
      <c r="J91" s="1"/>
      <c r="K91" s="1">
        <f>SQRT((ABS(('Constantes y Trazabilidad'!$F$18-(AVERAGE(K24:V24)))/'Constantes y Trazabilidad'!$L$18))*(POWER('Constantes y Trazabilidad'!$P$18/SQRT(3),2)))</f>
        <v>0</v>
      </c>
      <c r="L91" s="1"/>
      <c r="M91" s="1" t="s">
        <v>81</v>
      </c>
      <c r="N91" s="1"/>
      <c r="O91" s="1" t="s">
        <v>85</v>
      </c>
      <c r="P91" s="1"/>
      <c r="Q91" s="1">
        <f>(1+U45*(U46-20))*(1+U47*(U48-U46))*(1-U49*(U50-U51))</f>
        <v>1.0004305385826571</v>
      </c>
      <c r="R91" s="1"/>
      <c r="S91" s="1"/>
      <c r="T91" s="1">
        <f t="shared" si="1"/>
        <v>0</v>
      </c>
      <c r="U91" s="1"/>
      <c r="V91" s="1"/>
    </row>
    <row r="92" spans="5:22" ht="15.75" x14ac:dyDescent="0.25">
      <c r="E92" s="1" t="s">
        <v>43</v>
      </c>
      <c r="F92" s="1"/>
      <c r="G92" s="1"/>
      <c r="H92" s="1"/>
      <c r="I92" s="1" t="s">
        <v>44</v>
      </c>
      <c r="J92" s="1"/>
      <c r="K92" s="1">
        <f>'Constantes y Trazabilidad'!$N$140/SQRT(3)</f>
        <v>2.8867513459481289E-7</v>
      </c>
      <c r="L92" s="1"/>
      <c r="M92" s="1" t="s">
        <v>81</v>
      </c>
      <c r="N92" s="1"/>
      <c r="O92" s="1" t="s">
        <v>85</v>
      </c>
      <c r="P92" s="1"/>
      <c r="Q92" s="1">
        <f>(U43+U44)*(U46-20)*(1+U47*(U48-U46))*(1-U49*(U50-U51))</f>
        <v>23.504483631965858</v>
      </c>
      <c r="R92" s="1"/>
      <c r="S92" s="1"/>
      <c r="T92" s="1">
        <f t="shared" si="1"/>
        <v>6.7851599760393205E-6</v>
      </c>
      <c r="U92" s="1"/>
      <c r="V92" s="1"/>
    </row>
    <row r="93" spans="5:22" ht="15.75" x14ac:dyDescent="0.25">
      <c r="E93" s="1" t="s">
        <v>116</v>
      </c>
      <c r="F93" s="1"/>
      <c r="G93" s="1"/>
      <c r="H93" s="1"/>
      <c r="I93" s="1" t="s">
        <v>46</v>
      </c>
      <c r="J93" s="1"/>
      <c r="K93" s="1">
        <f>T76</f>
        <v>0.38653578963230123</v>
      </c>
      <c r="L93" s="1"/>
      <c r="M93" s="1" t="s">
        <v>81</v>
      </c>
      <c r="N93" s="1"/>
      <c r="O93" s="1" t="s">
        <v>82</v>
      </c>
      <c r="P93" s="1"/>
      <c r="Q93" s="1">
        <f>(U43+U44)*(1-U49*(U50-U51))*(-U47+U45*(1+U47*(U48-(2*U46)+20)))</f>
        <v>-4.9510134218664118E-4</v>
      </c>
      <c r="R93" s="1"/>
      <c r="S93" s="1"/>
      <c r="T93" s="1">
        <f t="shared" si="1"/>
        <v>-1.9137438825012553E-4</v>
      </c>
      <c r="U93" s="1"/>
      <c r="V93" s="1"/>
    </row>
    <row r="94" spans="5:22" ht="15.75" x14ac:dyDescent="0.25">
      <c r="E94" s="1" t="s">
        <v>47</v>
      </c>
      <c r="F94" s="1"/>
      <c r="G94" s="1"/>
      <c r="H94" s="1"/>
      <c r="I94" s="1" t="s">
        <v>48</v>
      </c>
      <c r="J94" s="1"/>
      <c r="K94" s="1">
        <f>'Constantes y Trazabilidad'!$N$142/SQRT(3)</f>
        <v>2.8867513459481293E-5</v>
      </c>
      <c r="L94" s="1"/>
      <c r="M94" s="1" t="s">
        <v>81</v>
      </c>
      <c r="N94" s="1"/>
      <c r="O94" s="1" t="s">
        <v>85</v>
      </c>
      <c r="P94" s="1"/>
      <c r="Q94" s="1">
        <f>(U43+U44)*(1+U45*(U46-20))*(U48-U46)*(1-U49*(U50-U51))</f>
        <v>7.6848699422550695</v>
      </c>
      <c r="R94" s="1"/>
      <c r="S94" s="1"/>
      <c r="T94" s="1">
        <f t="shared" si="1"/>
        <v>2.2184308649241143E-4</v>
      </c>
      <c r="U94" s="1"/>
      <c r="V94" s="1"/>
    </row>
    <row r="95" spans="5:22" ht="15.75" x14ac:dyDescent="0.25">
      <c r="E95" s="1" t="s">
        <v>49</v>
      </c>
      <c r="F95" s="1"/>
      <c r="G95" s="1"/>
      <c r="H95" s="1"/>
      <c r="I95" s="1" t="s">
        <v>50</v>
      </c>
      <c r="J95" s="1"/>
      <c r="K95" s="1">
        <f>T82</f>
        <v>0.14509450942977375</v>
      </c>
      <c r="L95" s="1"/>
      <c r="M95" s="1" t="s">
        <v>81</v>
      </c>
      <c r="N95" s="1"/>
      <c r="O95" s="1" t="s">
        <v>82</v>
      </c>
      <c r="P95" s="1"/>
      <c r="Q95" s="1">
        <f>(U43+U44)*(1+U45*(U46-20))*(U47)*(1-U49*(U50-U51))</f>
        <v>7.5014999436329199E-4</v>
      </c>
      <c r="R95" s="1"/>
      <c r="S95" s="1"/>
      <c r="T95" s="1">
        <f t="shared" si="1"/>
        <v>1.088426454308894E-4</v>
      </c>
      <c r="U95" s="1"/>
      <c r="V95" s="1"/>
    </row>
    <row r="96" spans="5:22" ht="15.75" x14ac:dyDescent="0.25">
      <c r="E96" s="1" t="s">
        <v>51</v>
      </c>
      <c r="F96" s="1"/>
      <c r="G96" s="1"/>
      <c r="H96" s="1"/>
      <c r="I96" s="1" t="s">
        <v>52</v>
      </c>
      <c r="J96" s="1"/>
      <c r="K96" s="1">
        <f>'Constantes y Trazabilidad'!$N$144/SQRT(3)</f>
        <v>2.8867513459481292E-9</v>
      </c>
      <c r="L96" s="1"/>
      <c r="M96" s="1" t="s">
        <v>81</v>
      </c>
      <c r="N96" s="1"/>
      <c r="O96" s="1" t="s">
        <v>85</v>
      </c>
      <c r="P96" s="1"/>
      <c r="Q96" s="1">
        <f>(U43+U44)*(1+U45*(U46-20))*(1+U47*(U48-U46))*(-(U50-U51))</f>
        <v>-431.70291514074182</v>
      </c>
      <c r="R96" s="1"/>
      <c r="S96" s="1"/>
      <c r="T96" s="1">
        <f t="shared" si="1"/>
        <v>-1.2462189713322674E-6</v>
      </c>
      <c r="U96" s="1"/>
      <c r="V96" s="1"/>
    </row>
    <row r="97" spans="5:22" ht="15.75" x14ac:dyDescent="0.25">
      <c r="E97" s="1" t="s">
        <v>117</v>
      </c>
      <c r="F97" s="1"/>
      <c r="G97" s="1"/>
      <c r="H97" s="1"/>
      <c r="I97" s="1" t="s">
        <v>54</v>
      </c>
      <c r="J97" s="1"/>
      <c r="K97" s="1">
        <f>T88</f>
        <v>36.155328960099922</v>
      </c>
      <c r="L97" s="1"/>
      <c r="M97" s="1" t="s">
        <v>81</v>
      </c>
      <c r="N97" s="1"/>
      <c r="O97" s="1" t="s">
        <v>82</v>
      </c>
      <c r="P97" s="1"/>
      <c r="Q97" s="1">
        <f>(U43+U44)*(1+U45*(U46-20))*(1+U47*(U48-U46))*(-U49)</f>
        <v>-2.3010815870769552E-6</v>
      </c>
      <c r="R97" s="1"/>
      <c r="S97" s="1"/>
      <c r="T97" s="1">
        <f t="shared" si="1"/>
        <v>-8.3196361744796127E-5</v>
      </c>
      <c r="U97" s="1"/>
      <c r="V97" s="1"/>
    </row>
    <row r="98" spans="5:22" ht="15.75" x14ac:dyDescent="0.25">
      <c r="E98" s="1" t="s">
        <v>55</v>
      </c>
      <c r="F98" s="1"/>
      <c r="G98" s="1"/>
      <c r="H98" s="1"/>
      <c r="I98" s="1" t="s">
        <v>56</v>
      </c>
      <c r="J98" s="1"/>
      <c r="K98" s="1">
        <v>0</v>
      </c>
      <c r="L98" s="1"/>
      <c r="M98" s="1" t="s">
        <v>81</v>
      </c>
      <c r="N98" s="1"/>
      <c r="O98" s="1" t="s">
        <v>85</v>
      </c>
      <c r="P98" s="1"/>
      <c r="Q98" s="1">
        <v>0</v>
      </c>
      <c r="R98" s="1"/>
      <c r="S98" s="1"/>
      <c r="T98" s="1">
        <f t="shared" si="1"/>
        <v>0</v>
      </c>
      <c r="U98" s="1"/>
      <c r="V98" s="1"/>
    </row>
    <row r="99" spans="5:22" ht="15.75" x14ac:dyDescent="0.25">
      <c r="Q99" s="1" t="s">
        <v>118</v>
      </c>
      <c r="R99" s="1"/>
      <c r="S99" s="1"/>
      <c r="T99" s="1">
        <f>SQRT(SUMSQ(T90:V98))</f>
        <v>7.8161592080850262E-4</v>
      </c>
      <c r="U99" s="1"/>
      <c r="V99" s="1"/>
    </row>
    <row r="100" spans="5:22" ht="15.75" x14ac:dyDescent="0.25">
      <c r="E100" s="1" t="s">
        <v>119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5:22" ht="15.75" x14ac:dyDescent="0.25">
      <c r="E101" s="1" t="s">
        <v>61</v>
      </c>
      <c r="F101" s="1"/>
      <c r="G101" s="1"/>
      <c r="H101" s="1"/>
      <c r="I101" s="1" t="s">
        <v>62</v>
      </c>
      <c r="J101" s="1"/>
      <c r="K101" s="1">
        <f>$M$17/(2*SQRT(3))</f>
        <v>5.773502691896258E-3</v>
      </c>
      <c r="L101" s="1"/>
      <c r="M101" s="1" t="s">
        <v>81</v>
      </c>
      <c r="N101" s="1"/>
      <c r="O101" s="1" t="s">
        <v>85</v>
      </c>
      <c r="P101" s="1"/>
      <c r="Q101" s="1">
        <f>1/U52</f>
        <v>0.19989805760395077</v>
      </c>
      <c r="R101" s="1"/>
      <c r="S101" s="1"/>
      <c r="T101" s="1">
        <f>K101*Q101</f>
        <v>1.154111973681243E-3</v>
      </c>
      <c r="U101" s="1"/>
      <c r="V101" s="1"/>
    </row>
    <row r="102" spans="5:22" ht="15.75" x14ac:dyDescent="0.25">
      <c r="E102" s="1" t="s">
        <v>61</v>
      </c>
      <c r="F102" s="1"/>
      <c r="G102" s="1"/>
      <c r="H102" s="1"/>
      <c r="I102" s="1" t="s">
        <v>63</v>
      </c>
      <c r="J102" s="1"/>
      <c r="K102" s="1">
        <f>$M$17/(2*SQRT(3))</f>
        <v>5.773502691896258E-3</v>
      </c>
      <c r="L102" s="1"/>
      <c r="M102" s="1" t="s">
        <v>81</v>
      </c>
      <c r="N102" s="1"/>
      <c r="O102" s="1" t="s">
        <v>85</v>
      </c>
      <c r="P102" s="1"/>
      <c r="Q102" s="1">
        <f>-1/U52</f>
        <v>-0.19989805760395077</v>
      </c>
      <c r="R102" s="1"/>
      <c r="S102" s="1"/>
      <c r="T102" s="1">
        <f>K102*Q102</f>
        <v>-1.154111973681243E-3</v>
      </c>
      <c r="U102" s="1"/>
      <c r="V102" s="1"/>
    </row>
    <row r="103" spans="5:22" ht="15.75" x14ac:dyDescent="0.25">
      <c r="E103" s="1" t="s">
        <v>120</v>
      </c>
      <c r="F103" s="1"/>
      <c r="G103" s="1"/>
      <c r="H103" s="1"/>
      <c r="I103" s="1" t="s">
        <v>121</v>
      </c>
      <c r="J103" s="1"/>
      <c r="K103" s="1">
        <f>T99</f>
        <v>7.8161592080850262E-4</v>
      </c>
      <c r="L103" s="1"/>
      <c r="M103" s="1" t="s">
        <v>81</v>
      </c>
      <c r="N103" s="1"/>
      <c r="O103" s="1" t="s">
        <v>85</v>
      </c>
      <c r="P103" s="1"/>
      <c r="Q103" s="1">
        <f>AVERAGE(K53:S53)/POWER(K52,2)</f>
        <v>0</v>
      </c>
      <c r="R103" s="1"/>
      <c r="S103" s="1"/>
      <c r="T103" s="1">
        <f>K103*Q103</f>
        <v>0</v>
      </c>
      <c r="U103" s="1"/>
      <c r="V103" s="1"/>
    </row>
    <row r="104" spans="5:22" ht="15.75" x14ac:dyDescent="0.25">
      <c r="Q104" s="1" t="s">
        <v>122</v>
      </c>
      <c r="R104" s="1"/>
      <c r="S104" s="1"/>
      <c r="T104" s="1">
        <f>SQRT(SUMSQ(T101:V103))</f>
        <v>1.6321608056771946E-3</v>
      </c>
      <c r="U104" s="1"/>
      <c r="V104" s="1"/>
    </row>
    <row r="105" spans="5:22" ht="15.75" x14ac:dyDescent="0.25">
      <c r="E105" s="1" t="s">
        <v>123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5:22" ht="15.75" x14ac:dyDescent="0.25">
      <c r="E106" s="1" t="s">
        <v>64</v>
      </c>
      <c r="F106" s="1"/>
      <c r="G106" s="1"/>
      <c r="H106" s="1"/>
      <c r="I106" s="1" t="s">
        <v>65</v>
      </c>
      <c r="J106" s="1"/>
      <c r="K106" s="1">
        <f>IF(D21=2,STDEV(K58:N58),IF(D21=3,STDEV(K58:P58),IF(D21=4,STDEV(K58:R58),IF(D21=5,STDEV(K58:T58),IF(D21=6,STDEV(K58:V58))))))/SQRT(D21)</f>
        <v>0</v>
      </c>
      <c r="L106" s="1"/>
      <c r="M106" s="1">
        <v>2</v>
      </c>
      <c r="N106" s="1"/>
      <c r="O106" s="1" t="s">
        <v>124</v>
      </c>
      <c r="P106" s="1"/>
      <c r="Q106" s="1">
        <v>1</v>
      </c>
      <c r="R106" s="1"/>
      <c r="S106" s="1"/>
      <c r="T106" s="1">
        <f>K106*Q106</f>
        <v>0</v>
      </c>
      <c r="U106" s="1"/>
      <c r="V106" s="1"/>
    </row>
    <row r="107" spans="5:22" ht="15.75" x14ac:dyDescent="0.25">
      <c r="E107" s="1" t="s">
        <v>66</v>
      </c>
      <c r="F107" s="1"/>
      <c r="G107" s="1"/>
      <c r="H107" s="1"/>
      <c r="I107" s="1" t="s">
        <v>67</v>
      </c>
      <c r="J107" s="1"/>
      <c r="K107" s="1">
        <f>T104</f>
        <v>1.6321608056771946E-3</v>
      </c>
      <c r="L107" s="1"/>
      <c r="M107" s="1" t="s">
        <v>81</v>
      </c>
      <c r="N107" s="1"/>
      <c r="O107" s="1" t="s">
        <v>124</v>
      </c>
      <c r="P107" s="1"/>
      <c r="Q107" s="1">
        <v>1</v>
      </c>
      <c r="R107" s="1"/>
      <c r="S107" s="1"/>
      <c r="T107" s="1">
        <f>K107*Q107</f>
        <v>1.6321608056771946E-3</v>
      </c>
      <c r="U107" s="1"/>
      <c r="V107" s="1"/>
    </row>
    <row r="108" spans="5:22" ht="15.75" x14ac:dyDescent="0.25">
      <c r="Q108" s="1" t="s">
        <v>125</v>
      </c>
      <c r="R108" s="1"/>
      <c r="S108" s="1"/>
      <c r="T108" s="1">
        <f>SQRT(SUMSQ(T106:V107))</f>
        <v>1.6321608056771946E-3</v>
      </c>
      <c r="U108" s="1"/>
      <c r="V108" s="1"/>
    </row>
    <row r="110" spans="5:22" ht="15.75" x14ac:dyDescent="0.25">
      <c r="M110" s="1">
        <v>2</v>
      </c>
      <c r="N110" s="1"/>
      <c r="O110" s="1">
        <f>T108*M110</f>
        <v>3.2643216113543891E-3</v>
      </c>
      <c r="P110" s="1"/>
      <c r="Q110" s="1"/>
      <c r="R110" s="1"/>
      <c r="S110" s="1">
        <f>O110</f>
        <v>3.2643216113543891E-3</v>
      </c>
      <c r="T110" s="1"/>
      <c r="U110" s="1"/>
      <c r="V110" s="1"/>
    </row>
    <row r="111" spans="5:22" ht="15.75" x14ac:dyDescent="0.25">
      <c r="V111">
        <f>S110</f>
        <v>3.2643216113543891E-3</v>
      </c>
    </row>
    <row r="113" spans="3:21" ht="15.75" x14ac:dyDescent="0.25">
      <c r="C113" s="1" t="s">
        <v>71</v>
      </c>
      <c r="D113" s="1"/>
      <c r="E113" s="1"/>
      <c r="F113" s="1"/>
      <c r="G113" s="1"/>
      <c r="H113" s="1"/>
      <c r="I113" s="1"/>
    </row>
    <row r="119" spans="3:21" ht="15.75" x14ac:dyDescent="0.25">
      <c r="C119">
        <v>1</v>
      </c>
    </row>
    <row r="120" spans="3:21" ht="15.75" x14ac:dyDescent="0.25">
      <c r="C120">
        <v>2</v>
      </c>
    </row>
    <row r="121" spans="3:21" ht="15.75" x14ac:dyDescent="0.25">
      <c r="C121">
        <v>3</v>
      </c>
    </row>
    <row r="122" spans="3:21" ht="15.75" x14ac:dyDescent="0.25">
      <c r="C122">
        <v>4</v>
      </c>
    </row>
    <row r="123" spans="3:21" ht="15.75" x14ac:dyDescent="0.25">
      <c r="C123">
        <v>5</v>
      </c>
    </row>
    <row r="124" spans="3:21" ht="15.75" x14ac:dyDescent="0.25">
      <c r="C124">
        <v>6</v>
      </c>
    </row>
    <row r="127" spans="3:21" ht="15.75" x14ac:dyDescent="0.25">
      <c r="E127" s="1" t="s">
        <v>33</v>
      </c>
      <c r="F127" s="1"/>
      <c r="H127" s="1" t="s">
        <v>25</v>
      </c>
      <c r="I127" s="1"/>
      <c r="K127" t="s">
        <v>26</v>
      </c>
      <c r="M127" t="s">
        <v>34</v>
      </c>
      <c r="O127" t="s">
        <v>35</v>
      </c>
      <c r="Q127" t="s">
        <v>36</v>
      </c>
      <c r="S127" t="s">
        <v>37</v>
      </c>
      <c r="U127" t="s">
        <v>38</v>
      </c>
    </row>
    <row r="129" spans="1:24" ht="15.75" x14ac:dyDescent="0.25">
      <c r="E129" s="1">
        <f>IF(D21=2,AVERAGE(K53:N53),IF(D21=3,AVERAGE(K53:P53),IF(D21=4,AVERAGE(K53:R53),IF(D21=5,AVERAGE(K53:T53),IF(D21=6,AVERAGE(K53:V53))))))</f>
        <v>0</v>
      </c>
      <c r="F129" s="1"/>
      <c r="H129" s="1">
        <f>IF(D21=2,AVERAGE(K52:N52),IF(D21=3,AVERAGE(K52:P52),IF(D21=4,AVERAGE(K52:R52),IF(D21=5,AVERAGE(K52:T52),IF(D21=6,AVERAGE(K52:V52))))))</f>
        <v>5.0021526929641382</v>
      </c>
      <c r="I129" s="1"/>
      <c r="K129">
        <f>IF(D21=2,AVERAGE(K25:N25),IF(D21=3,AVERAGE(K25:P25),IF(D21=4,AVERAGE(K25:R25),IF(D21=5,AVERAGE(K25:T25),IF(D21=6,AVERAGE(K25:V25))))))</f>
        <v>1179.3333333333333</v>
      </c>
      <c r="M129">
        <f>(H37/(K37/60))*60</f>
        <v>15.269431623519699</v>
      </c>
      <c r="O129">
        <f>ROUND(K133,LEN(O133)-IF(ISERROR(FIND(",",K133)),LEN(K133),FIND(",",K133)))</f>
        <v>-100</v>
      </c>
      <c r="Q129">
        <f>Q133</f>
        <v>0.33</v>
      </c>
      <c r="S129">
        <f>ROUND(M133,LEN(U133)-IF(ISERROR(FIND(",",U133)),LEN(U133),FIND(",",U133)))</f>
        <v>5.00215269296414</v>
      </c>
      <c r="U129">
        <f>S133</f>
        <v>3.2643216113543891E-3</v>
      </c>
    </row>
    <row r="131" spans="1:24" ht="15.75" x14ac:dyDescent="0.25">
      <c r="K131" t="s">
        <v>35</v>
      </c>
      <c r="M131" t="s">
        <v>37</v>
      </c>
      <c r="O131" t="s">
        <v>38</v>
      </c>
      <c r="Q131" t="s">
        <v>38</v>
      </c>
      <c r="S131" t="s">
        <v>38</v>
      </c>
      <c r="U131" t="s">
        <v>38</v>
      </c>
    </row>
    <row r="133" spans="1:24" ht="15.75" x14ac:dyDescent="0.25">
      <c r="K133">
        <f>IF(D21=2,AVERAGE(K59:N59),IF(D21=3,AVERAGE(K59:P59),IF(D21=4,AVERAGE(K59:R59),IF(D21=5,AVERAGE(K59:T59),IF(D21=6,AVERAGE(K59:V59))))))*100</f>
        <v>-100</v>
      </c>
      <c r="M133">
        <f>AVERAGE(ABS(K52-K53),ABS(M52-M53),ABS(O52-O53))</f>
        <v>5.0021526929641382</v>
      </c>
      <c r="O133">
        <f>Q133</f>
        <v>0.33</v>
      </c>
      <c r="Q133">
        <f>IF((S110*100)&lt;VLOOKUP(O20,CMC_2,9,FALSE),VLOOKUP(O20,CMC_2,9,FALSE),S110*100)</f>
        <v>0.33</v>
      </c>
      <c r="S133">
        <f>O110</f>
        <v>3.2643216113543891E-3</v>
      </c>
      <c r="U133">
        <f>S133</f>
        <v>3.2643216113543891E-3</v>
      </c>
    </row>
    <row r="138" spans="1:24" ht="15.75" x14ac:dyDescent="0.25">
      <c r="A138" s="1" t="s">
        <v>126</v>
      </c>
      <c r="B138" s="1"/>
      <c r="C138" s="1"/>
      <c r="D138" s="1"/>
      <c r="E138" s="1"/>
      <c r="F138" s="1"/>
      <c r="G138" s="1"/>
      <c r="H138" s="1"/>
      <c r="I138" s="1" t="s">
        <v>127</v>
      </c>
      <c r="J138" s="1"/>
      <c r="K138" s="1"/>
      <c r="L138" s="1"/>
      <c r="M138" s="1"/>
      <c r="N138" s="1"/>
      <c r="O138" s="1" t="s">
        <v>128</v>
      </c>
      <c r="P138" s="1"/>
      <c r="Q138" s="1"/>
      <c r="R138" s="1"/>
      <c r="S138" s="1"/>
      <c r="T138" s="1"/>
      <c r="U138" s="1" t="s">
        <v>129</v>
      </c>
      <c r="V138" s="1"/>
      <c r="W138" s="1"/>
      <c r="X138" s="1"/>
    </row>
    <row r="139" spans="1:24" ht="15.75" x14ac:dyDescent="0.25">
      <c r="A139" s="1" t="s">
        <v>130</v>
      </c>
      <c r="B139" s="1"/>
      <c r="C139" s="1"/>
      <c r="D139" s="1"/>
      <c r="E139" s="1"/>
      <c r="F139" s="1"/>
      <c r="G139" s="1"/>
      <c r="H139" s="1"/>
      <c r="I139" s="1" t="s">
        <v>131</v>
      </c>
      <c r="J139" s="1"/>
      <c r="K139" s="1"/>
      <c r="L139" s="1"/>
      <c r="M139" s="1"/>
      <c r="N139" s="1"/>
      <c r="O139" s="1" t="s">
        <v>132</v>
      </c>
      <c r="P139" s="1"/>
      <c r="Q139" s="1"/>
      <c r="R139" s="1"/>
      <c r="S139" s="1"/>
      <c r="T139" s="1"/>
      <c r="U139" s="1">
        <v>1</v>
      </c>
      <c r="V139" s="1"/>
      <c r="W139" s="1"/>
      <c r="X139" s="1"/>
    </row>
    <row r="140" spans="1:24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 t="s">
        <v>133</v>
      </c>
      <c r="B142" s="1"/>
      <c r="C142" s="1"/>
      <c r="D142" s="1"/>
      <c r="E142" s="1"/>
      <c r="F142" s="1"/>
      <c r="G142" s="1"/>
      <c r="H142" s="1"/>
      <c r="I142" s="1" t="s">
        <v>134</v>
      </c>
      <c r="J142" s="1"/>
      <c r="K142" s="1"/>
      <c r="L142" s="1"/>
      <c r="M142" s="1"/>
      <c r="N142" s="1"/>
      <c r="O142" s="1" t="s">
        <v>135</v>
      </c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</sheetData>
  <mergeCells count="482">
    <mergeCell ref="U16:V16"/>
    <mergeCell ref="O17:P17"/>
    <mergeCell ref="Q17:R17"/>
    <mergeCell ref="C10:W10"/>
    <mergeCell ref="D15:V15"/>
    <mergeCell ref="D16:F16"/>
    <mergeCell ref="G16:I16"/>
    <mergeCell ref="M16:N16"/>
    <mergeCell ref="O16:P16"/>
    <mergeCell ref="Q16:R16"/>
    <mergeCell ref="S16:T16"/>
    <mergeCell ref="S17:T17"/>
    <mergeCell ref="U17:V17"/>
    <mergeCell ref="D19:V19"/>
    <mergeCell ref="D20:J20"/>
    <mergeCell ref="K20:N20"/>
    <mergeCell ref="O20:P20"/>
    <mergeCell ref="D17:F17"/>
    <mergeCell ref="G17:J17"/>
    <mergeCell ref="K17:L17"/>
    <mergeCell ref="M17:N17"/>
    <mergeCell ref="D21:J21"/>
    <mergeCell ref="K21:L21"/>
    <mergeCell ref="M21:N21"/>
    <mergeCell ref="O21:P21"/>
    <mergeCell ref="Q21:R21"/>
    <mergeCell ref="S23:T23"/>
    <mergeCell ref="S21:T21"/>
    <mergeCell ref="U23:V23"/>
    <mergeCell ref="U21:V21"/>
    <mergeCell ref="S22:T22"/>
    <mergeCell ref="U22:V22"/>
    <mergeCell ref="S25:T25"/>
    <mergeCell ref="U25:V25"/>
    <mergeCell ref="F24:J24"/>
    <mergeCell ref="K24:L24"/>
    <mergeCell ref="M24:N24"/>
    <mergeCell ref="O24:P24"/>
    <mergeCell ref="Q24:R24"/>
    <mergeCell ref="S24:T24"/>
    <mergeCell ref="Q25:R25"/>
    <mergeCell ref="F23:J23"/>
    <mergeCell ref="F22:J22"/>
    <mergeCell ref="K22:L22"/>
    <mergeCell ref="M22:N22"/>
    <mergeCell ref="O22:P22"/>
    <mergeCell ref="Q22:R22"/>
    <mergeCell ref="K23:L23"/>
    <mergeCell ref="M23:N23"/>
    <mergeCell ref="O23:P23"/>
    <mergeCell ref="K28:L28"/>
    <mergeCell ref="M28:N28"/>
    <mergeCell ref="O28:P28"/>
    <mergeCell ref="Q28:R28"/>
    <mergeCell ref="S26:T26"/>
    <mergeCell ref="U24:V24"/>
    <mergeCell ref="F25:J25"/>
    <mergeCell ref="K25:L25"/>
    <mergeCell ref="M25:N25"/>
    <mergeCell ref="O25:P25"/>
    <mergeCell ref="U26:V26"/>
    <mergeCell ref="F27:J27"/>
    <mergeCell ref="K27:L27"/>
    <mergeCell ref="M27:N27"/>
    <mergeCell ref="O27:P27"/>
    <mergeCell ref="Q27:R27"/>
    <mergeCell ref="S27:T27"/>
    <mergeCell ref="U27:V27"/>
    <mergeCell ref="F26:J26"/>
    <mergeCell ref="K26:L26"/>
    <mergeCell ref="M26:N26"/>
    <mergeCell ref="O26:P26"/>
    <mergeCell ref="Q26:R26"/>
    <mergeCell ref="E33:U33"/>
    <mergeCell ref="E35:F35"/>
    <mergeCell ref="H35:I35"/>
    <mergeCell ref="E37:F37"/>
    <mergeCell ref="H37:I37"/>
    <mergeCell ref="F30:J30"/>
    <mergeCell ref="K30:L30"/>
    <mergeCell ref="M30:N30"/>
    <mergeCell ref="O30:P30"/>
    <mergeCell ref="D22:E30"/>
    <mergeCell ref="Q23:R23"/>
    <mergeCell ref="S28:T28"/>
    <mergeCell ref="Q30:R30"/>
    <mergeCell ref="S30:T30"/>
    <mergeCell ref="U28:V28"/>
    <mergeCell ref="F29:J29"/>
    <mergeCell ref="K29:L29"/>
    <mergeCell ref="M29:N29"/>
    <mergeCell ref="O29:P29"/>
    <mergeCell ref="Q29:R29"/>
    <mergeCell ref="S29:T29"/>
    <mergeCell ref="U29:V29"/>
    <mergeCell ref="U30:V30"/>
    <mergeCell ref="F28:J28"/>
    <mergeCell ref="E42:V42"/>
    <mergeCell ref="E43:H43"/>
    <mergeCell ref="I43:J43"/>
    <mergeCell ref="K43:L43"/>
    <mergeCell ref="M43:N43"/>
    <mergeCell ref="O43:P43"/>
    <mergeCell ref="Q43:R43"/>
    <mergeCell ref="S43:T43"/>
    <mergeCell ref="U43:V43"/>
    <mergeCell ref="E44:H44"/>
    <mergeCell ref="I44:J44"/>
    <mergeCell ref="K44:L44"/>
    <mergeCell ref="M44:N44"/>
    <mergeCell ref="O44:P44"/>
    <mergeCell ref="Q44:R44"/>
    <mergeCell ref="S44:T44"/>
    <mergeCell ref="U44:V44"/>
    <mergeCell ref="E45:H45"/>
    <mergeCell ref="I45:J45"/>
    <mergeCell ref="K45:L45"/>
    <mergeCell ref="M45:N45"/>
    <mergeCell ref="O45:P45"/>
    <mergeCell ref="Q45:R45"/>
    <mergeCell ref="S45:T45"/>
    <mergeCell ref="U45:V45"/>
    <mergeCell ref="E46:H46"/>
    <mergeCell ref="I46:J46"/>
    <mergeCell ref="K46:L46"/>
    <mergeCell ref="M46:N46"/>
    <mergeCell ref="O46:P46"/>
    <mergeCell ref="Q46:R46"/>
    <mergeCell ref="S46:T46"/>
    <mergeCell ref="U46:V46"/>
    <mergeCell ref="E47:H47"/>
    <mergeCell ref="I47:J47"/>
    <mergeCell ref="K47:L47"/>
    <mergeCell ref="M47:N47"/>
    <mergeCell ref="O47:P47"/>
    <mergeCell ref="Q47:R47"/>
    <mergeCell ref="S47:T47"/>
    <mergeCell ref="U47:V47"/>
    <mergeCell ref="E48:H48"/>
    <mergeCell ref="I48:J48"/>
    <mergeCell ref="K48:L48"/>
    <mergeCell ref="M48:N48"/>
    <mergeCell ref="O48:P48"/>
    <mergeCell ref="Q48:R48"/>
    <mergeCell ref="S48:T48"/>
    <mergeCell ref="U48:V48"/>
    <mergeCell ref="E49:H49"/>
    <mergeCell ref="I49:J49"/>
    <mergeCell ref="K49:L49"/>
    <mergeCell ref="M49:N49"/>
    <mergeCell ref="O49:P49"/>
    <mergeCell ref="Q49:R49"/>
    <mergeCell ref="S49:T49"/>
    <mergeCell ref="U49:V49"/>
    <mergeCell ref="E50:H50"/>
    <mergeCell ref="I50:J50"/>
    <mergeCell ref="K50:L50"/>
    <mergeCell ref="M50:N50"/>
    <mergeCell ref="O50:P50"/>
    <mergeCell ref="Q50:R50"/>
    <mergeCell ref="S50:T50"/>
    <mergeCell ref="U50:V50"/>
    <mergeCell ref="E51:H51"/>
    <mergeCell ref="I51:J51"/>
    <mergeCell ref="K51:L51"/>
    <mergeCell ref="M51:N51"/>
    <mergeCell ref="O51:P51"/>
    <mergeCell ref="Q51:R51"/>
    <mergeCell ref="S51:T51"/>
    <mergeCell ref="U51:V51"/>
    <mergeCell ref="E52:H52"/>
    <mergeCell ref="I52:J52"/>
    <mergeCell ref="K52:L52"/>
    <mergeCell ref="M52:N52"/>
    <mergeCell ref="O52:P52"/>
    <mergeCell ref="Q52:R52"/>
    <mergeCell ref="S52:T52"/>
    <mergeCell ref="U52:V52"/>
    <mergeCell ref="E53:H53"/>
    <mergeCell ref="I53:J53"/>
    <mergeCell ref="K53:L53"/>
    <mergeCell ref="M53:N53"/>
    <mergeCell ref="O53:P53"/>
    <mergeCell ref="Q53:R53"/>
    <mergeCell ref="S53:T53"/>
    <mergeCell ref="U53:V53"/>
    <mergeCell ref="U57:V57"/>
    <mergeCell ref="E56:H56"/>
    <mergeCell ref="U55:V55"/>
    <mergeCell ref="E54:H54"/>
    <mergeCell ref="I54:J54"/>
    <mergeCell ref="K54:L54"/>
    <mergeCell ref="M54:N54"/>
    <mergeCell ref="O54:P54"/>
    <mergeCell ref="Q54:R54"/>
    <mergeCell ref="Q56:R56"/>
    <mergeCell ref="S54:T54"/>
    <mergeCell ref="U54:V54"/>
    <mergeCell ref="E55:H55"/>
    <mergeCell ref="I55:J55"/>
    <mergeCell ref="K55:L55"/>
    <mergeCell ref="M55:N55"/>
    <mergeCell ref="O55:P55"/>
    <mergeCell ref="Q55:R55"/>
    <mergeCell ref="S55:T55"/>
    <mergeCell ref="U56:V56"/>
    <mergeCell ref="S56:T56"/>
    <mergeCell ref="I56:J56"/>
    <mergeCell ref="K56:L56"/>
    <mergeCell ref="M56:N56"/>
    <mergeCell ref="O56:P56"/>
    <mergeCell ref="S58:T58"/>
    <mergeCell ref="E57:H57"/>
    <mergeCell ref="I57:J57"/>
    <mergeCell ref="K57:L57"/>
    <mergeCell ref="M57:N57"/>
    <mergeCell ref="O57:P57"/>
    <mergeCell ref="Q57:R57"/>
    <mergeCell ref="S57:T57"/>
    <mergeCell ref="U58:V58"/>
    <mergeCell ref="E59:H59"/>
    <mergeCell ref="K59:L59"/>
    <mergeCell ref="M59:N59"/>
    <mergeCell ref="O59:P59"/>
    <mergeCell ref="Q59:R59"/>
    <mergeCell ref="S59:T59"/>
    <mergeCell ref="U59:V59"/>
    <mergeCell ref="E58:H58"/>
    <mergeCell ref="I58:J59"/>
    <mergeCell ref="K58:L58"/>
    <mergeCell ref="M58:N58"/>
    <mergeCell ref="O58:P58"/>
    <mergeCell ref="Q58:R58"/>
    <mergeCell ref="C62:I62"/>
    <mergeCell ref="E65:V65"/>
    <mergeCell ref="E66:J66"/>
    <mergeCell ref="K66:L66"/>
    <mergeCell ref="M66:N66"/>
    <mergeCell ref="O66:P66"/>
    <mergeCell ref="Q66:S66"/>
    <mergeCell ref="T66:V66"/>
    <mergeCell ref="E67:V67"/>
    <mergeCell ref="E68:H68"/>
    <mergeCell ref="I68:J68"/>
    <mergeCell ref="K68:L68"/>
    <mergeCell ref="M68:N68"/>
    <mergeCell ref="O68:P68"/>
    <mergeCell ref="Q68:S68"/>
    <mergeCell ref="T68:V68"/>
    <mergeCell ref="E69:H69"/>
    <mergeCell ref="I69:J69"/>
    <mergeCell ref="K69:L69"/>
    <mergeCell ref="M69:N69"/>
    <mergeCell ref="O69:P69"/>
    <mergeCell ref="Q69:S69"/>
    <mergeCell ref="T69:V69"/>
    <mergeCell ref="Q70:S70"/>
    <mergeCell ref="T70:V70"/>
    <mergeCell ref="E71:V71"/>
    <mergeCell ref="E72:H72"/>
    <mergeCell ref="I72:J72"/>
    <mergeCell ref="K72:L72"/>
    <mergeCell ref="M72:N72"/>
    <mergeCell ref="O72:P72"/>
    <mergeCell ref="Q72:S72"/>
    <mergeCell ref="T72:V72"/>
    <mergeCell ref="T74:V74"/>
    <mergeCell ref="E75:H75"/>
    <mergeCell ref="I75:J75"/>
    <mergeCell ref="K75:L75"/>
    <mergeCell ref="M75:N75"/>
    <mergeCell ref="O75:P75"/>
    <mergeCell ref="E73:H73"/>
    <mergeCell ref="I73:J73"/>
    <mergeCell ref="K73:L73"/>
    <mergeCell ref="M73:N73"/>
    <mergeCell ref="O73:P73"/>
    <mergeCell ref="Q73:S73"/>
    <mergeCell ref="T73:V73"/>
    <mergeCell ref="Q75:S75"/>
    <mergeCell ref="T75:V75"/>
    <mergeCell ref="E74:H74"/>
    <mergeCell ref="I74:J74"/>
    <mergeCell ref="K74:L74"/>
    <mergeCell ref="M74:N74"/>
    <mergeCell ref="O74:P74"/>
    <mergeCell ref="Q74:S74"/>
    <mergeCell ref="Q76:S76"/>
    <mergeCell ref="T76:V76"/>
    <mergeCell ref="E77:V77"/>
    <mergeCell ref="E78:H78"/>
    <mergeCell ref="I78:J78"/>
    <mergeCell ref="K78:L78"/>
    <mergeCell ref="T79:V79"/>
    <mergeCell ref="M78:N78"/>
    <mergeCell ref="O78:P78"/>
    <mergeCell ref="Q78:S78"/>
    <mergeCell ref="T78:V78"/>
    <mergeCell ref="E80:H80"/>
    <mergeCell ref="I80:J80"/>
    <mergeCell ref="K80:L80"/>
    <mergeCell ref="M80:N80"/>
    <mergeCell ref="O80:P80"/>
    <mergeCell ref="Q80:S80"/>
    <mergeCell ref="T80:V80"/>
    <mergeCell ref="E79:H79"/>
    <mergeCell ref="I79:J79"/>
    <mergeCell ref="K79:L79"/>
    <mergeCell ref="M79:N79"/>
    <mergeCell ref="O79:P79"/>
    <mergeCell ref="Q79:S79"/>
    <mergeCell ref="T85:V85"/>
    <mergeCell ref="T81:V81"/>
    <mergeCell ref="Q82:S82"/>
    <mergeCell ref="T82:V82"/>
    <mergeCell ref="E83:V83"/>
    <mergeCell ref="E84:H84"/>
    <mergeCell ref="I84:J84"/>
    <mergeCell ref="K84:L84"/>
    <mergeCell ref="M84:N84"/>
    <mergeCell ref="O84:P84"/>
    <mergeCell ref="Q84:S84"/>
    <mergeCell ref="E81:H81"/>
    <mergeCell ref="I81:J81"/>
    <mergeCell ref="K81:L81"/>
    <mergeCell ref="M81:N81"/>
    <mergeCell ref="O81:P81"/>
    <mergeCell ref="Q81:S81"/>
    <mergeCell ref="Q85:S85"/>
    <mergeCell ref="T84:V84"/>
    <mergeCell ref="E85:H85"/>
    <mergeCell ref="I85:J85"/>
    <mergeCell ref="K85:L85"/>
    <mergeCell ref="M85:N85"/>
    <mergeCell ref="O85:P85"/>
    <mergeCell ref="E87:H87"/>
    <mergeCell ref="I87:J87"/>
    <mergeCell ref="K87:L87"/>
    <mergeCell ref="M87:N87"/>
    <mergeCell ref="O87:P87"/>
    <mergeCell ref="Q87:S87"/>
    <mergeCell ref="T87:V87"/>
    <mergeCell ref="E86:H86"/>
    <mergeCell ref="I86:J86"/>
    <mergeCell ref="K86:L86"/>
    <mergeCell ref="M86:N86"/>
    <mergeCell ref="O86:P86"/>
    <mergeCell ref="Q86:S86"/>
    <mergeCell ref="T86:V86"/>
    <mergeCell ref="Q88:S88"/>
    <mergeCell ref="T88:V88"/>
    <mergeCell ref="E89:V89"/>
    <mergeCell ref="E90:H90"/>
    <mergeCell ref="I90:J90"/>
    <mergeCell ref="K90:L90"/>
    <mergeCell ref="M90:N90"/>
    <mergeCell ref="O90:P90"/>
    <mergeCell ref="Q90:S90"/>
    <mergeCell ref="T90:V90"/>
    <mergeCell ref="Q92:S92"/>
    <mergeCell ref="T92:V92"/>
    <mergeCell ref="E91:H91"/>
    <mergeCell ref="I91:J91"/>
    <mergeCell ref="K91:L91"/>
    <mergeCell ref="M91:N91"/>
    <mergeCell ref="O91:P91"/>
    <mergeCell ref="Q91:S91"/>
    <mergeCell ref="K93:L93"/>
    <mergeCell ref="M93:N93"/>
    <mergeCell ref="O93:P93"/>
    <mergeCell ref="Q93:S93"/>
    <mergeCell ref="T91:V91"/>
    <mergeCell ref="E92:H92"/>
    <mergeCell ref="I92:J92"/>
    <mergeCell ref="K92:L92"/>
    <mergeCell ref="M92:N92"/>
    <mergeCell ref="O92:P92"/>
    <mergeCell ref="T93:V93"/>
    <mergeCell ref="E94:H94"/>
    <mergeCell ref="I94:J94"/>
    <mergeCell ref="K94:L94"/>
    <mergeCell ref="M94:N94"/>
    <mergeCell ref="O94:P94"/>
    <mergeCell ref="Q94:S94"/>
    <mergeCell ref="T94:V94"/>
    <mergeCell ref="E93:H93"/>
    <mergeCell ref="I93:J93"/>
    <mergeCell ref="Q96:S96"/>
    <mergeCell ref="T96:V96"/>
    <mergeCell ref="E95:H95"/>
    <mergeCell ref="I95:J95"/>
    <mergeCell ref="K95:L95"/>
    <mergeCell ref="M95:N95"/>
    <mergeCell ref="O95:P95"/>
    <mergeCell ref="Q95:S95"/>
    <mergeCell ref="K97:L97"/>
    <mergeCell ref="M97:N97"/>
    <mergeCell ref="O97:P97"/>
    <mergeCell ref="Q97:S97"/>
    <mergeCell ref="T95:V95"/>
    <mergeCell ref="E96:H96"/>
    <mergeCell ref="I96:J96"/>
    <mergeCell ref="K96:L96"/>
    <mergeCell ref="M96:N96"/>
    <mergeCell ref="O96:P96"/>
    <mergeCell ref="T97:V97"/>
    <mergeCell ref="E98:H98"/>
    <mergeCell ref="I98:J98"/>
    <mergeCell ref="K98:L98"/>
    <mergeCell ref="M98:N98"/>
    <mergeCell ref="O98:P98"/>
    <mergeCell ref="Q98:S98"/>
    <mergeCell ref="T98:V98"/>
    <mergeCell ref="E97:H97"/>
    <mergeCell ref="I97:J97"/>
    <mergeCell ref="Q99:S99"/>
    <mergeCell ref="T99:V99"/>
    <mergeCell ref="E100:V100"/>
    <mergeCell ref="E101:H101"/>
    <mergeCell ref="I101:J101"/>
    <mergeCell ref="K101:L101"/>
    <mergeCell ref="M101:N101"/>
    <mergeCell ref="O101:P101"/>
    <mergeCell ref="Q101:S101"/>
    <mergeCell ref="T101:V101"/>
    <mergeCell ref="Q104:S104"/>
    <mergeCell ref="T104:V104"/>
    <mergeCell ref="E105:V105"/>
    <mergeCell ref="E106:H106"/>
    <mergeCell ref="I106:J106"/>
    <mergeCell ref="K106:L106"/>
    <mergeCell ref="Q103:S103"/>
    <mergeCell ref="T103:V103"/>
    <mergeCell ref="E102:H102"/>
    <mergeCell ref="I102:J102"/>
    <mergeCell ref="K102:L102"/>
    <mergeCell ref="M102:N102"/>
    <mergeCell ref="O102:P102"/>
    <mergeCell ref="Q102:S102"/>
    <mergeCell ref="M106:N106"/>
    <mergeCell ref="O106:P106"/>
    <mergeCell ref="Q106:S106"/>
    <mergeCell ref="T106:V106"/>
    <mergeCell ref="T102:V102"/>
    <mergeCell ref="E103:H103"/>
    <mergeCell ref="I103:J103"/>
    <mergeCell ref="K103:L103"/>
    <mergeCell ref="M103:N103"/>
    <mergeCell ref="O103:P103"/>
    <mergeCell ref="M110:N110"/>
    <mergeCell ref="O110:R110"/>
    <mergeCell ref="S110:V110"/>
    <mergeCell ref="E107:H107"/>
    <mergeCell ref="I107:J107"/>
    <mergeCell ref="K107:L107"/>
    <mergeCell ref="M107:N107"/>
    <mergeCell ref="O107:P107"/>
    <mergeCell ref="Q107:S107"/>
    <mergeCell ref="U138:X138"/>
    <mergeCell ref="U139:X143"/>
    <mergeCell ref="P3:X4"/>
    <mergeCell ref="G1:O4"/>
    <mergeCell ref="A1:F4"/>
    <mergeCell ref="P1:X1"/>
    <mergeCell ref="P2:X2"/>
    <mergeCell ref="C113:I113"/>
    <mergeCell ref="E127:F127"/>
    <mergeCell ref="H127:I127"/>
    <mergeCell ref="O142:T143"/>
    <mergeCell ref="O138:T138"/>
    <mergeCell ref="I138:N138"/>
    <mergeCell ref="A138:H138"/>
    <mergeCell ref="A139:H141"/>
    <mergeCell ref="A142:H143"/>
    <mergeCell ref="I139:N141"/>
    <mergeCell ref="O139:T141"/>
    <mergeCell ref="I142:N143"/>
    <mergeCell ref="E129:F129"/>
    <mergeCell ref="H129:I129"/>
    <mergeCell ref="T107:V107"/>
    <mergeCell ref="Q108:S108"/>
    <mergeCell ref="T108:V108"/>
  </mergeCells>
  <pageMargins left="0.19652777777777777" right="0.19652777777777777" top="0.19652777777777777" bottom="0.19652777777777777" header="0.51180555555555551" footer="0.19652777777777777"/>
  <ignoredErrors>
    <ignoredError sqref="A1:X14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73"/>
  <sheetViews>
    <sheetView workbookViewId="0"/>
  </sheetViews>
  <sheetFormatPr baseColWidth="10" defaultRowHeight="15" x14ac:dyDescent="0.25"/>
  <sheetData>
    <row r="1" spans="2:20" ht="15.75" x14ac:dyDescent="0.25">
      <c r="B1" s="1"/>
      <c r="C1" s="1"/>
      <c r="D1" s="1"/>
      <c r="E1" s="1"/>
      <c r="F1" s="1"/>
      <c r="H1" s="1" t="s">
        <v>136</v>
      </c>
      <c r="I1" s="1"/>
      <c r="J1" s="1"/>
      <c r="K1" s="1"/>
      <c r="L1" s="1"/>
      <c r="M1" s="1"/>
      <c r="N1" s="1"/>
      <c r="O1" t="s">
        <v>137</v>
      </c>
    </row>
    <row r="2" spans="2:20" ht="15.75" x14ac:dyDescent="0.25">
      <c r="B2" s="1"/>
      <c r="C2" s="1"/>
      <c r="D2" s="1"/>
      <c r="E2" s="1"/>
      <c r="F2" s="1"/>
      <c r="H2" s="1"/>
      <c r="I2" s="1"/>
      <c r="J2" s="1"/>
      <c r="K2" s="1"/>
      <c r="L2" s="1"/>
      <c r="M2" s="1"/>
      <c r="N2" s="1"/>
      <c r="O2" t="s">
        <v>2</v>
      </c>
    </row>
    <row r="3" spans="2:20" ht="15.75" x14ac:dyDescent="0.25">
      <c r="B3" s="1"/>
      <c r="C3" s="1"/>
      <c r="D3" s="1"/>
      <c r="E3" s="1"/>
      <c r="F3" s="1"/>
      <c r="H3" s="1"/>
      <c r="I3" s="1"/>
      <c r="J3" s="1"/>
      <c r="K3" s="1"/>
      <c r="L3" s="1"/>
      <c r="M3" s="1"/>
      <c r="N3" s="1"/>
      <c r="O3" s="1" t="s">
        <v>3</v>
      </c>
      <c r="P3" s="1"/>
      <c r="Q3" s="1"/>
      <c r="R3" s="1"/>
      <c r="S3" s="1"/>
      <c r="T3" s="1"/>
    </row>
    <row r="4" spans="2:20" ht="15.75" x14ac:dyDescent="0.25">
      <c r="B4" s="1"/>
      <c r="C4" s="1"/>
      <c r="D4" s="1"/>
      <c r="E4" s="1"/>
      <c r="F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11" spans="2:20" ht="15.75" x14ac:dyDescent="0.25">
      <c r="F11" s="1" t="s">
        <v>138</v>
      </c>
      <c r="G11" s="1"/>
      <c r="H11" s="1"/>
      <c r="I11" s="1"/>
      <c r="J11" s="1"/>
      <c r="K11" s="1"/>
      <c r="L11" s="1"/>
      <c r="M11" s="1"/>
      <c r="N11" s="1"/>
      <c r="O11" s="1"/>
      <c r="P11" s="1"/>
    </row>
    <row r="14" spans="2:20" ht="15.75" x14ac:dyDescent="0.25">
      <c r="F14" s="1" t="s">
        <v>139</v>
      </c>
      <c r="G14" s="1"/>
      <c r="H14" s="1"/>
      <c r="J14">
        <f>F18</f>
        <v>5</v>
      </c>
      <c r="L14" t="s">
        <v>140</v>
      </c>
      <c r="N14" s="1" t="s">
        <v>141</v>
      </c>
      <c r="O14" s="1"/>
      <c r="P14" s="1"/>
    </row>
    <row r="16" spans="2:20" ht="15.75" x14ac:dyDescent="0.25">
      <c r="F16" t="s">
        <v>142</v>
      </c>
      <c r="H16" t="s">
        <v>143</v>
      </c>
      <c r="J16" t="s">
        <v>144</v>
      </c>
      <c r="L16" t="s">
        <v>9</v>
      </c>
      <c r="N16" t="s">
        <v>145</v>
      </c>
      <c r="P16" t="s">
        <v>146</v>
      </c>
    </row>
    <row r="18" spans="6:16" ht="15.75" x14ac:dyDescent="0.25">
      <c r="F18">
        <f>'Error e Incer Q1'!A6</f>
        <v>5</v>
      </c>
      <c r="H18">
        <v>0</v>
      </c>
      <c r="J18">
        <v>1.2999999999999999E-3</v>
      </c>
      <c r="L18">
        <v>2E-3</v>
      </c>
      <c r="N18">
        <v>0</v>
      </c>
      <c r="P18">
        <v>0</v>
      </c>
    </row>
    <row r="20" spans="6:16" ht="15.75" x14ac:dyDescent="0.25">
      <c r="F20" t="s">
        <v>147</v>
      </c>
      <c r="H20" t="s">
        <v>148</v>
      </c>
      <c r="J20" s="1" t="s">
        <v>149</v>
      </c>
      <c r="L20" s="1">
        <f>IF(N14="Primera",0,(ABS(P22-N22)))</f>
        <v>1E-3</v>
      </c>
      <c r="N20" t="s">
        <v>150</v>
      </c>
      <c r="P20" t="s">
        <v>151</v>
      </c>
    </row>
    <row r="21" spans="6:16" ht="15.75" x14ac:dyDescent="0.25">
      <c r="J21" s="1"/>
      <c r="L21" s="1"/>
    </row>
    <row r="22" spans="6:16" ht="15.75" x14ac:dyDescent="0.25">
      <c r="F22">
        <v>2</v>
      </c>
      <c r="H22">
        <v>20</v>
      </c>
      <c r="J22" s="1"/>
      <c r="L22" s="1"/>
      <c r="N22">
        <v>2E-3</v>
      </c>
      <c r="P22">
        <v>1E-3</v>
      </c>
    </row>
    <row r="26" spans="6:16" ht="15.75" x14ac:dyDescent="0.25">
      <c r="F26" s="1" t="s">
        <v>152</v>
      </c>
      <c r="G26" s="1"/>
      <c r="H26" s="1"/>
      <c r="I26" s="1"/>
      <c r="J26" s="1"/>
      <c r="K26" s="1"/>
      <c r="L26" s="1"/>
      <c r="M26" s="1"/>
      <c r="N26" s="1"/>
      <c r="O26" s="1"/>
      <c r="P26" s="1"/>
    </row>
    <row r="29" spans="6:16" ht="15.75" x14ac:dyDescent="0.25">
      <c r="F29" s="1" t="s">
        <v>139</v>
      </c>
      <c r="G29" s="1"/>
      <c r="H29" s="1"/>
      <c r="J29">
        <v>10</v>
      </c>
      <c r="L29" t="s">
        <v>140</v>
      </c>
      <c r="N29" s="1" t="s">
        <v>141</v>
      </c>
      <c r="O29" s="1"/>
      <c r="P29" s="1"/>
    </row>
    <row r="31" spans="6:16" ht="15.75" x14ac:dyDescent="0.25">
      <c r="F31" t="s">
        <v>142</v>
      </c>
      <c r="H31" t="s">
        <v>153</v>
      </c>
      <c r="J31" t="s">
        <v>144</v>
      </c>
      <c r="L31" t="s">
        <v>9</v>
      </c>
      <c r="N31" t="s">
        <v>145</v>
      </c>
      <c r="P31" t="s">
        <v>146</v>
      </c>
    </row>
    <row r="33" spans="6:16" ht="15.75" x14ac:dyDescent="0.25">
      <c r="F33">
        <v>10</v>
      </c>
      <c r="H33">
        <v>0</v>
      </c>
      <c r="J33">
        <v>2.7E-2</v>
      </c>
      <c r="L33">
        <v>0.01</v>
      </c>
      <c r="N33">
        <v>0</v>
      </c>
      <c r="P33">
        <v>0</v>
      </c>
    </row>
    <row r="35" spans="6:16" ht="15.75" x14ac:dyDescent="0.25">
      <c r="F35" t="s">
        <v>147</v>
      </c>
      <c r="H35" t="s">
        <v>148</v>
      </c>
      <c r="J35" s="1" t="s">
        <v>149</v>
      </c>
      <c r="L35" s="1">
        <f>IF(N29="Primera",0,(ABS(P37-N37)))</f>
        <v>7.0000000000000001E-3</v>
      </c>
      <c r="N35" t="s">
        <v>150</v>
      </c>
      <c r="P35" t="s">
        <v>151</v>
      </c>
    </row>
    <row r="36" spans="6:16" ht="15.75" x14ac:dyDescent="0.25">
      <c r="J36" s="1"/>
      <c r="L36" s="1"/>
    </row>
    <row r="37" spans="6:16" ht="15.75" x14ac:dyDescent="0.25">
      <c r="F37">
        <v>2</v>
      </c>
      <c r="H37">
        <v>20</v>
      </c>
      <c r="J37" s="1"/>
      <c r="L37" s="1"/>
      <c r="N37">
        <v>7.0000000000000001E-3</v>
      </c>
      <c r="P37">
        <v>0</v>
      </c>
    </row>
    <row r="41" spans="6:16" ht="15.75" x14ac:dyDescent="0.25">
      <c r="F41" s="1" t="s">
        <v>154</v>
      </c>
      <c r="G41" s="1"/>
      <c r="H41" s="1"/>
      <c r="I41" s="1"/>
      <c r="J41" s="1"/>
      <c r="K41" s="1"/>
      <c r="L41" s="1"/>
      <c r="M41" s="1"/>
      <c r="N41" s="1"/>
      <c r="O41" s="1"/>
      <c r="P41" s="1"/>
    </row>
    <row r="44" spans="6:16" ht="15.75" x14ac:dyDescent="0.25">
      <c r="F44" s="1" t="s">
        <v>139</v>
      </c>
      <c r="G44" s="1"/>
      <c r="H44" s="1"/>
      <c r="J44">
        <v>50</v>
      </c>
      <c r="L44" t="s">
        <v>140</v>
      </c>
      <c r="N44" s="1" t="s">
        <v>141</v>
      </c>
      <c r="O44" s="1"/>
      <c r="P44" s="1"/>
    </row>
    <row r="46" spans="6:16" ht="15.75" x14ac:dyDescent="0.25">
      <c r="F46" t="s">
        <v>142</v>
      </c>
      <c r="H46" t="s">
        <v>153</v>
      </c>
      <c r="J46" t="s">
        <v>144</v>
      </c>
      <c r="L46" t="s">
        <v>9</v>
      </c>
      <c r="N46" t="s">
        <v>145</v>
      </c>
      <c r="P46" t="s">
        <v>146</v>
      </c>
    </row>
    <row r="48" spans="6:16" ht="15.75" x14ac:dyDescent="0.25">
      <c r="F48">
        <v>50</v>
      </c>
      <c r="H48">
        <v>0</v>
      </c>
      <c r="J48">
        <v>1.0999999999999999E-2</v>
      </c>
      <c r="L48">
        <v>0.05</v>
      </c>
      <c r="N48">
        <v>0</v>
      </c>
      <c r="P48">
        <v>0</v>
      </c>
    </row>
    <row r="50" spans="6:16" ht="15.75" x14ac:dyDescent="0.25">
      <c r="F50" t="s">
        <v>147</v>
      </c>
      <c r="H50" t="s">
        <v>148</v>
      </c>
      <c r="J50" s="1" t="s">
        <v>149</v>
      </c>
      <c r="L50" s="1">
        <f>IF(N44="Primera",0,(ABS(P52-N52)))</f>
        <v>3.2000000000000001E-2</v>
      </c>
      <c r="N50" t="s">
        <v>150</v>
      </c>
      <c r="P50" t="s">
        <v>151</v>
      </c>
    </row>
    <row r="51" spans="6:16" ht="15.75" x14ac:dyDescent="0.25">
      <c r="J51" s="1"/>
      <c r="L51" s="1"/>
    </row>
    <row r="52" spans="6:16" ht="15.75" x14ac:dyDescent="0.25">
      <c r="F52">
        <v>2</v>
      </c>
      <c r="H52">
        <v>20</v>
      </c>
      <c r="J52" s="1"/>
      <c r="L52" s="1"/>
      <c r="N52">
        <v>3.3000000000000002E-2</v>
      </c>
      <c r="P52">
        <v>1E-3</v>
      </c>
    </row>
    <row r="56" spans="6:16" ht="15.75" x14ac:dyDescent="0.25">
      <c r="F56" s="1" t="s">
        <v>155</v>
      </c>
      <c r="G56" s="1"/>
      <c r="H56" s="1"/>
      <c r="I56" s="1"/>
      <c r="J56" s="1"/>
      <c r="K56" s="1"/>
      <c r="L56" s="1"/>
      <c r="M56" s="1"/>
      <c r="N56" s="1"/>
      <c r="O56" s="1"/>
      <c r="P56" s="1"/>
    </row>
    <row r="59" spans="6:16" ht="15.75" x14ac:dyDescent="0.25">
      <c r="F59" s="1" t="s">
        <v>140</v>
      </c>
      <c r="G59" s="1"/>
      <c r="H59" s="1"/>
      <c r="I59" s="1"/>
      <c r="J59" s="1"/>
      <c r="K59" s="1"/>
      <c r="L59" s="1"/>
      <c r="N59" s="1" t="s">
        <v>141</v>
      </c>
      <c r="O59" s="1"/>
      <c r="P59" s="1"/>
    </row>
    <row r="61" spans="6:16" ht="15.75" x14ac:dyDescent="0.25">
      <c r="F61" s="1" t="s">
        <v>156</v>
      </c>
      <c r="G61" s="1"/>
      <c r="H61" s="1"/>
      <c r="I61" s="1"/>
      <c r="J61" s="1"/>
      <c r="K61" s="1"/>
      <c r="L61" s="1"/>
      <c r="N61" s="1">
        <v>7.0999999999999994E-2</v>
      </c>
      <c r="O61" s="1"/>
      <c r="P61" s="1"/>
    </row>
    <row r="63" spans="6:16" ht="15.75" x14ac:dyDescent="0.25">
      <c r="F63" s="1" t="s">
        <v>157</v>
      </c>
      <c r="G63" s="1"/>
      <c r="H63" s="1"/>
      <c r="I63" s="1"/>
      <c r="J63" s="1"/>
      <c r="K63" s="1"/>
      <c r="L63" s="1"/>
      <c r="N63" s="1">
        <f>0.01/2</f>
        <v>5.0000000000000001E-3</v>
      </c>
      <c r="O63" s="1"/>
      <c r="P63" s="1"/>
    </row>
    <row r="65" spans="6:16" ht="15.75" x14ac:dyDescent="0.25">
      <c r="F65" t="s">
        <v>147</v>
      </c>
      <c r="J65" s="1" t="s">
        <v>149</v>
      </c>
      <c r="L65" s="1">
        <f>IF(N59="Primera",0,(ABS(P67-N67)))</f>
        <v>1.2359999999999998</v>
      </c>
      <c r="N65" t="s">
        <v>150</v>
      </c>
      <c r="P65" t="s">
        <v>151</v>
      </c>
    </row>
    <row r="66" spans="6:16" ht="15.75" x14ac:dyDescent="0.25">
      <c r="J66" s="1"/>
      <c r="L66" s="1"/>
    </row>
    <row r="67" spans="6:16" ht="15.75" x14ac:dyDescent="0.25">
      <c r="F67">
        <v>2</v>
      </c>
      <c r="J67" s="1"/>
      <c r="L67" s="1"/>
      <c r="N67">
        <v>3.0779999999999998</v>
      </c>
      <c r="P67">
        <v>1.8420000000000001</v>
      </c>
    </row>
    <row r="69" spans="6:16" ht="15.75" x14ac:dyDescent="0.25">
      <c r="F69" s="1" t="s">
        <v>158</v>
      </c>
      <c r="G69" s="1"/>
      <c r="H69" s="1"/>
      <c r="I69" s="1"/>
      <c r="J69" s="1"/>
      <c r="L69" t="s">
        <v>159</v>
      </c>
      <c r="N69" t="s">
        <v>160</v>
      </c>
      <c r="P69" t="s">
        <v>161</v>
      </c>
    </row>
    <row r="70" spans="6:16" ht="15.75" x14ac:dyDescent="0.25">
      <c r="F70" s="1"/>
      <c r="G70" s="1"/>
      <c r="H70" s="1"/>
      <c r="I70" s="1"/>
      <c r="J70" s="1"/>
    </row>
    <row r="71" spans="6:16" ht="15.75" x14ac:dyDescent="0.25">
      <c r="F71" s="1"/>
      <c r="G71" s="1"/>
      <c r="H71" s="1"/>
      <c r="I71" s="1"/>
      <c r="J71" s="1"/>
      <c r="L71">
        <v>21.52</v>
      </c>
      <c r="N71">
        <v>21.02</v>
      </c>
      <c r="P71">
        <f>L71-N71</f>
        <v>0.5</v>
      </c>
    </row>
    <row r="73" spans="6:16" ht="15.75" x14ac:dyDescent="0.25">
      <c r="F73" s="1" t="s">
        <v>162</v>
      </c>
      <c r="G73" s="1"/>
      <c r="H73" s="1"/>
      <c r="I73" s="1"/>
      <c r="J73" s="1"/>
      <c r="L73" t="s">
        <v>159</v>
      </c>
      <c r="N73" t="s">
        <v>160</v>
      </c>
      <c r="P73" t="s">
        <v>161</v>
      </c>
    </row>
    <row r="74" spans="6:16" ht="15.75" x14ac:dyDescent="0.25">
      <c r="F74" s="1"/>
      <c r="G74" s="1"/>
      <c r="H74" s="1"/>
      <c r="I74" s="1"/>
      <c r="J74" s="1"/>
    </row>
    <row r="75" spans="6:16" ht="15.75" x14ac:dyDescent="0.25">
      <c r="F75" s="1"/>
      <c r="G75" s="1"/>
      <c r="H75" s="1"/>
      <c r="I75" s="1"/>
      <c r="J75" s="1"/>
      <c r="L75" t="e">
        <f>MAX(#REF!)</f>
        <v>#REF!</v>
      </c>
      <c r="N75" t="e">
        <f>MIN(#REF!)</f>
        <v>#REF!</v>
      </c>
      <c r="P75" t="e">
        <f>L75-N75</f>
        <v>#REF!</v>
      </c>
    </row>
    <row r="77" spans="6:16" ht="15.75" x14ac:dyDescent="0.25">
      <c r="F77" s="1" t="s">
        <v>163</v>
      </c>
      <c r="G77" s="1"/>
      <c r="H77" s="1"/>
      <c r="I77" s="1"/>
      <c r="J77" s="1"/>
      <c r="L77" t="s">
        <v>159</v>
      </c>
      <c r="N77" t="s">
        <v>160</v>
      </c>
      <c r="P77" t="s">
        <v>161</v>
      </c>
    </row>
    <row r="78" spans="6:16" ht="15.75" x14ac:dyDescent="0.25">
      <c r="F78" s="1"/>
      <c r="G78" s="1"/>
      <c r="H78" s="1"/>
      <c r="I78" s="1"/>
      <c r="J78" s="1"/>
    </row>
    <row r="79" spans="6:16" ht="15.75" x14ac:dyDescent="0.25">
      <c r="F79" s="1"/>
      <c r="G79" s="1"/>
      <c r="H79" s="1"/>
      <c r="I79" s="1"/>
      <c r="J79" s="1"/>
      <c r="L79" t="e">
        <f>MAX(#REF!)</f>
        <v>#REF!</v>
      </c>
      <c r="N79" t="e">
        <f>MIN(#REF!)</f>
        <v>#REF!</v>
      </c>
      <c r="P79" t="e">
        <f>L79-N79</f>
        <v>#REF!</v>
      </c>
    </row>
    <row r="83" spans="6:16" ht="15.75" x14ac:dyDescent="0.25">
      <c r="F83" s="1" t="s">
        <v>164</v>
      </c>
      <c r="G83" s="1"/>
      <c r="H83" s="1"/>
      <c r="I83" s="1"/>
      <c r="J83" s="1"/>
      <c r="K83" s="1"/>
      <c r="L83" s="1"/>
      <c r="M83" s="1"/>
      <c r="N83" s="1"/>
      <c r="O83" s="1"/>
      <c r="P83" s="1"/>
    </row>
    <row r="86" spans="6:16" ht="15.75" x14ac:dyDescent="0.25">
      <c r="F86" s="1" t="s">
        <v>140</v>
      </c>
      <c r="G86" s="1"/>
      <c r="H86" s="1"/>
      <c r="I86" s="1"/>
      <c r="J86" s="1"/>
      <c r="K86" s="1"/>
      <c r="L86" s="1"/>
      <c r="N86" s="1" t="s">
        <v>141</v>
      </c>
      <c r="O86" s="1"/>
      <c r="P86" s="1"/>
    </row>
    <row r="88" spans="6:16" ht="15.75" x14ac:dyDescent="0.25">
      <c r="F88" s="1" t="s">
        <v>156</v>
      </c>
      <c r="G88" s="1"/>
      <c r="H88" s="1"/>
      <c r="I88" s="1"/>
      <c r="J88" s="1"/>
      <c r="K88" s="1"/>
      <c r="L88" s="1"/>
      <c r="N88" s="1">
        <v>0.23</v>
      </c>
      <c r="O88" s="1"/>
      <c r="P88" s="1"/>
    </row>
    <row r="90" spans="6:16" ht="15.75" x14ac:dyDescent="0.25">
      <c r="F90" s="1" t="s">
        <v>157</v>
      </c>
      <c r="G90" s="1"/>
      <c r="H90" s="1"/>
      <c r="I90" s="1"/>
      <c r="J90" s="1"/>
      <c r="K90" s="1"/>
      <c r="L90" s="1"/>
      <c r="N90" s="1">
        <f>0.01/2</f>
        <v>5.0000000000000001E-3</v>
      </c>
      <c r="O90" s="1"/>
      <c r="P90" s="1"/>
    </row>
    <row r="92" spans="6:16" ht="15.75" x14ac:dyDescent="0.25">
      <c r="F92" t="s">
        <v>147</v>
      </c>
      <c r="J92" s="1" t="s">
        <v>149</v>
      </c>
      <c r="L92" s="1">
        <f>IF(N86="Primera",0,(ABS(P94-N94)))</f>
        <v>0.22300000000000009</v>
      </c>
      <c r="N92" t="s">
        <v>150</v>
      </c>
      <c r="P92" t="s">
        <v>151</v>
      </c>
    </row>
    <row r="93" spans="6:16" ht="15.75" x14ac:dyDescent="0.25">
      <c r="J93" s="1"/>
      <c r="L93" s="1"/>
    </row>
    <row r="94" spans="6:16" ht="15.75" x14ac:dyDescent="0.25">
      <c r="F94">
        <v>2</v>
      </c>
      <c r="J94" s="1"/>
      <c r="L94" s="1"/>
      <c r="N94">
        <v>-1.1930000000000001</v>
      </c>
      <c r="P94">
        <v>-0.97</v>
      </c>
    </row>
    <row r="96" spans="6:16" ht="15.75" x14ac:dyDescent="0.25">
      <c r="F96" s="1" t="s">
        <v>158</v>
      </c>
      <c r="G96" s="1"/>
      <c r="H96" s="1"/>
      <c r="I96" s="1"/>
      <c r="J96" s="1"/>
      <c r="L96" t="s">
        <v>159</v>
      </c>
      <c r="N96" t="s">
        <v>160</v>
      </c>
      <c r="P96" t="s">
        <v>161</v>
      </c>
    </row>
    <row r="97" spans="6:16" ht="15.75" x14ac:dyDescent="0.25">
      <c r="F97" s="1"/>
      <c r="G97" s="1"/>
      <c r="H97" s="1"/>
      <c r="I97" s="1"/>
      <c r="J97" s="1"/>
    </row>
    <row r="98" spans="6:16" ht="15.75" x14ac:dyDescent="0.25">
      <c r="F98" s="1"/>
      <c r="G98" s="1"/>
      <c r="H98" s="1"/>
      <c r="I98" s="1"/>
      <c r="J98" s="1"/>
      <c r="L98">
        <v>23.77</v>
      </c>
      <c r="N98">
        <v>23.56</v>
      </c>
      <c r="P98">
        <f>L98-N98</f>
        <v>0.21000000000000085</v>
      </c>
    </row>
    <row r="100" spans="6:16" ht="15.75" x14ac:dyDescent="0.25">
      <c r="F100" s="1" t="s">
        <v>162</v>
      </c>
      <c r="G100" s="1"/>
      <c r="H100" s="1"/>
      <c r="I100" s="1"/>
      <c r="J100" s="1"/>
      <c r="L100" t="s">
        <v>159</v>
      </c>
      <c r="N100" t="s">
        <v>160</v>
      </c>
      <c r="P100" t="s">
        <v>161</v>
      </c>
    </row>
    <row r="101" spans="6:16" ht="15.75" x14ac:dyDescent="0.25">
      <c r="F101" s="1"/>
      <c r="G101" s="1"/>
      <c r="H101" s="1"/>
      <c r="I101" s="1"/>
      <c r="J101" s="1"/>
    </row>
    <row r="102" spans="6:16" ht="15.75" x14ac:dyDescent="0.25">
      <c r="F102" s="1"/>
      <c r="G102" s="1"/>
      <c r="H102" s="1"/>
      <c r="I102" s="1"/>
      <c r="J102" s="1"/>
      <c r="L102" t="e">
        <f>MAX(#REF!)</f>
        <v>#REF!</v>
      </c>
      <c r="N102" t="e">
        <f>MIN(#REF!)</f>
        <v>#REF!</v>
      </c>
      <c r="P102" t="e">
        <f>L102-N102</f>
        <v>#REF!</v>
      </c>
    </row>
    <row r="104" spans="6:16" ht="15.75" x14ac:dyDescent="0.25">
      <c r="F104" s="1" t="s">
        <v>163</v>
      </c>
      <c r="G104" s="1"/>
      <c r="H104" s="1"/>
      <c r="I104" s="1"/>
      <c r="J104" s="1"/>
      <c r="L104" t="s">
        <v>159</v>
      </c>
      <c r="N104" t="s">
        <v>160</v>
      </c>
      <c r="P104" t="s">
        <v>161</v>
      </c>
    </row>
    <row r="105" spans="6:16" ht="15.75" x14ac:dyDescent="0.25">
      <c r="F105" s="1"/>
      <c r="G105" s="1"/>
      <c r="H105" s="1"/>
      <c r="I105" s="1"/>
      <c r="J105" s="1"/>
    </row>
    <row r="106" spans="6:16" ht="15.75" x14ac:dyDescent="0.25">
      <c r="F106" s="1"/>
      <c r="G106" s="1"/>
      <c r="H106" s="1"/>
      <c r="I106" s="1"/>
      <c r="J106" s="1"/>
      <c r="L106" t="e">
        <f>MAX(#REF!)</f>
        <v>#REF!</v>
      </c>
      <c r="N106" t="e">
        <f>MIN(#REF!)</f>
        <v>#REF!</v>
      </c>
      <c r="P106" t="e">
        <f>L106-N106</f>
        <v>#REF!</v>
      </c>
    </row>
    <row r="110" spans="6:16" ht="15.75" x14ac:dyDescent="0.25">
      <c r="F110" s="1" t="s">
        <v>165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3" spans="6:16" ht="15.75" x14ac:dyDescent="0.25">
      <c r="F113" s="1" t="s">
        <v>140</v>
      </c>
      <c r="G113" s="1"/>
      <c r="H113" s="1"/>
      <c r="I113" s="1"/>
      <c r="J113" s="1"/>
      <c r="K113" s="1"/>
      <c r="L113" s="1"/>
      <c r="N113" s="1" t="s">
        <v>141</v>
      </c>
      <c r="O113" s="1"/>
      <c r="P113" s="1"/>
    </row>
    <row r="115" spans="6:16" ht="15.75" x14ac:dyDescent="0.25">
      <c r="F115" s="1" t="s">
        <v>156</v>
      </c>
      <c r="G115" s="1"/>
      <c r="H115" s="1"/>
      <c r="I115" s="1"/>
      <c r="J115" s="1"/>
      <c r="K115" s="1"/>
      <c r="L115" s="1"/>
      <c r="N115" s="1">
        <v>1.6</v>
      </c>
      <c r="O115" s="1"/>
      <c r="P115" s="1"/>
    </row>
    <row r="117" spans="6:16" ht="15.75" x14ac:dyDescent="0.25">
      <c r="F117" s="1" t="s">
        <v>157</v>
      </c>
      <c r="G117" s="1"/>
      <c r="H117" s="1"/>
      <c r="I117" s="1"/>
      <c r="J117" s="1"/>
      <c r="K117" s="1"/>
      <c r="L117" s="1"/>
      <c r="N117" s="1">
        <v>0.05</v>
      </c>
      <c r="O117" s="1"/>
      <c r="P117" s="1"/>
    </row>
    <row r="119" spans="6:16" ht="15.75" x14ac:dyDescent="0.25">
      <c r="F119" t="s">
        <v>147</v>
      </c>
      <c r="J119" s="1" t="s">
        <v>149</v>
      </c>
      <c r="L119" s="1">
        <f>IF(N113="Primera",0,(ABS(P121-N121)))</f>
        <v>0.39999999999999997</v>
      </c>
      <c r="N119" t="s">
        <v>150</v>
      </c>
      <c r="P119" t="s">
        <v>151</v>
      </c>
    </row>
    <row r="120" spans="6:16" ht="15.75" x14ac:dyDescent="0.25">
      <c r="J120" s="1"/>
      <c r="L120" s="1"/>
    </row>
    <row r="121" spans="6:16" ht="15.75" x14ac:dyDescent="0.25">
      <c r="F121">
        <v>1.65</v>
      </c>
      <c r="J121" s="1"/>
      <c r="L121" s="1"/>
      <c r="N121">
        <v>-0.6</v>
      </c>
      <c r="P121">
        <v>-0.2</v>
      </c>
    </row>
    <row r="123" spans="6:16" ht="15.75" x14ac:dyDescent="0.25">
      <c r="F123" s="1" t="s">
        <v>166</v>
      </c>
      <c r="G123" s="1"/>
      <c r="H123" s="1"/>
      <c r="I123" s="1"/>
      <c r="J123" s="1"/>
      <c r="L123" t="s">
        <v>159</v>
      </c>
      <c r="N123" t="s">
        <v>160</v>
      </c>
      <c r="P123" t="s">
        <v>161</v>
      </c>
    </row>
    <row r="124" spans="6:16" ht="15.75" x14ac:dyDescent="0.25">
      <c r="F124" s="1"/>
      <c r="G124" s="1"/>
      <c r="H124" s="1"/>
      <c r="I124" s="1"/>
      <c r="J124" s="1"/>
    </row>
    <row r="125" spans="6:16" ht="15.75" x14ac:dyDescent="0.25">
      <c r="F125" s="1"/>
      <c r="G125" s="1"/>
      <c r="H125" s="1"/>
      <c r="I125" s="1"/>
      <c r="J125" s="1"/>
      <c r="L125">
        <f>MAX('Error e Incer Q1'!K29:U30)</f>
        <v>89.6</v>
      </c>
      <c r="N125">
        <v>214.8</v>
      </c>
      <c r="P125">
        <f>L125-N125</f>
        <v>-125.20000000000002</v>
      </c>
    </row>
    <row r="127" spans="6:16" ht="15.75" x14ac:dyDescent="0.25">
      <c r="F127" s="1" t="s">
        <v>167</v>
      </c>
      <c r="G127" s="1"/>
      <c r="H127" s="1"/>
      <c r="I127" s="1"/>
      <c r="J127" s="1"/>
      <c r="L127" t="s">
        <v>159</v>
      </c>
      <c r="N127" t="s">
        <v>160</v>
      </c>
      <c r="P127" t="s">
        <v>161</v>
      </c>
    </row>
    <row r="128" spans="6:16" ht="15.75" x14ac:dyDescent="0.25">
      <c r="F128" s="1"/>
      <c r="G128" s="1"/>
      <c r="H128" s="1"/>
      <c r="I128" s="1"/>
      <c r="J128" s="1"/>
    </row>
    <row r="129" spans="6:16" ht="15.75" x14ac:dyDescent="0.25">
      <c r="F129" s="1"/>
      <c r="G129" s="1"/>
      <c r="H129" s="1"/>
      <c r="I129" s="1"/>
      <c r="J129" s="1"/>
      <c r="L129" t="e">
        <f>MAX(#REF!)</f>
        <v>#REF!</v>
      </c>
      <c r="N129" t="e">
        <f>MIN(#REF!)</f>
        <v>#REF!</v>
      </c>
      <c r="P129" t="e">
        <f>L129-N129</f>
        <v>#REF!</v>
      </c>
    </row>
    <row r="131" spans="6:16" ht="15.75" x14ac:dyDescent="0.25">
      <c r="F131" s="1" t="s">
        <v>168</v>
      </c>
      <c r="G131" s="1"/>
      <c r="H131" s="1"/>
      <c r="I131" s="1"/>
      <c r="J131" s="1"/>
      <c r="L131" t="s">
        <v>159</v>
      </c>
      <c r="N131" t="s">
        <v>160</v>
      </c>
      <c r="P131" t="s">
        <v>161</v>
      </c>
    </row>
    <row r="132" spans="6:16" ht="15.75" x14ac:dyDescent="0.25">
      <c r="F132" s="1"/>
      <c r="G132" s="1"/>
      <c r="H132" s="1"/>
      <c r="I132" s="1"/>
      <c r="J132" s="1"/>
    </row>
    <row r="133" spans="6:16" ht="15.75" x14ac:dyDescent="0.25">
      <c r="F133" s="1"/>
      <c r="G133" s="1"/>
      <c r="H133" s="1"/>
      <c r="I133" s="1"/>
      <c r="J133" s="1"/>
      <c r="L133" t="e">
        <f>MAX(#REF!)</f>
        <v>#REF!</v>
      </c>
      <c r="N133" t="e">
        <f>MIN(#REF!)</f>
        <v>#REF!</v>
      </c>
      <c r="P133" t="e">
        <f>L133-N133</f>
        <v>#REF!</v>
      </c>
    </row>
    <row r="137" spans="6:16" ht="15.75" x14ac:dyDescent="0.25">
      <c r="F137" s="1" t="s">
        <v>169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40" spans="6:16" ht="15.75" x14ac:dyDescent="0.25">
      <c r="F140" s="1" t="s">
        <v>170</v>
      </c>
      <c r="G140" s="1"/>
      <c r="H140" s="1"/>
      <c r="I140" s="1"/>
      <c r="J140" s="1"/>
      <c r="K140" s="1"/>
      <c r="L140" s="1"/>
      <c r="N140" s="1">
        <v>4.9999999999999998E-7</v>
      </c>
      <c r="O140" s="1"/>
      <c r="P140" s="1"/>
    </row>
    <row r="142" spans="6:16" ht="15.75" x14ac:dyDescent="0.25">
      <c r="F142" s="1" t="s">
        <v>171</v>
      </c>
      <c r="G142" s="1"/>
      <c r="H142" s="1"/>
      <c r="I142" s="1"/>
      <c r="J142" s="1"/>
      <c r="K142" s="1"/>
      <c r="L142" s="1"/>
      <c r="N142" s="1">
        <v>5.0000000000000002E-5</v>
      </c>
      <c r="O142" s="1"/>
      <c r="P142" s="1"/>
    </row>
    <row r="144" spans="6:16" ht="15.75" x14ac:dyDescent="0.25">
      <c r="F144" s="1" t="s">
        <v>172</v>
      </c>
      <c r="G144" s="1"/>
      <c r="H144" s="1"/>
      <c r="I144" s="1"/>
      <c r="J144" s="1"/>
      <c r="K144" s="1"/>
      <c r="L144" s="1"/>
      <c r="N144" s="1">
        <v>5.0000000000000001E-9</v>
      </c>
      <c r="O144" s="1"/>
      <c r="P144" s="1"/>
    </row>
    <row r="148" spans="6:16" ht="15.75" x14ac:dyDescent="0.25">
      <c r="F148" s="1" t="s">
        <v>173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51" spans="6:16" ht="15.75" x14ac:dyDescent="0.25">
      <c r="F151" s="1">
        <v>5</v>
      </c>
      <c r="G151" s="1"/>
      <c r="H151" s="1"/>
      <c r="I151" s="1"/>
      <c r="J151" s="1"/>
      <c r="K151" s="1"/>
      <c r="L151" s="1"/>
      <c r="N151" s="1">
        <v>0.33</v>
      </c>
      <c r="O151" s="1"/>
      <c r="P151" s="1"/>
    </row>
    <row r="153" spans="6:16" ht="15.75" x14ac:dyDescent="0.25">
      <c r="F153" s="1">
        <v>10</v>
      </c>
      <c r="G153" s="1"/>
      <c r="H153" s="1"/>
      <c r="I153" s="1"/>
      <c r="J153" s="1"/>
      <c r="K153" s="1"/>
      <c r="L153" s="1"/>
      <c r="N153" s="1">
        <v>0.17</v>
      </c>
      <c r="O153" s="1"/>
      <c r="P153" s="1"/>
    </row>
    <row r="155" spans="6:16" ht="15.75" x14ac:dyDescent="0.25">
      <c r="F155" s="1">
        <v>20</v>
      </c>
      <c r="G155" s="1"/>
      <c r="H155" s="1"/>
      <c r="I155" s="1"/>
      <c r="J155" s="1"/>
      <c r="K155" s="1"/>
      <c r="L155" s="1"/>
      <c r="N155" s="1">
        <v>0</v>
      </c>
      <c r="O155" s="1"/>
      <c r="P155" s="1"/>
    </row>
    <row r="157" spans="6:16" ht="15.75" x14ac:dyDescent="0.25">
      <c r="F157" s="1">
        <v>50</v>
      </c>
      <c r="G157" s="1"/>
      <c r="H157" s="1"/>
      <c r="I157" s="1"/>
      <c r="J157" s="1"/>
      <c r="K157" s="1"/>
      <c r="L157" s="1"/>
      <c r="N157" s="1">
        <v>0.05</v>
      </c>
      <c r="O157" s="1"/>
      <c r="P157" s="1"/>
    </row>
    <row r="159" spans="6:16" ht="15.75" x14ac:dyDescent="0.25">
      <c r="F159" s="1">
        <v>100</v>
      </c>
      <c r="G159" s="1"/>
      <c r="H159" s="1"/>
      <c r="I159" s="1"/>
      <c r="J159" s="1"/>
      <c r="K159" s="1"/>
      <c r="L159" s="1"/>
      <c r="N159" s="1">
        <v>4.2999999999999997E-2</v>
      </c>
      <c r="O159" s="1"/>
      <c r="P159" s="1"/>
    </row>
    <row r="168" spans="2:20" ht="15.75" x14ac:dyDescent="0.25">
      <c r="B168" s="1" t="s">
        <v>126</v>
      </c>
      <c r="C168" s="1"/>
      <c r="D168" s="1"/>
      <c r="E168" s="1"/>
      <c r="F168" s="1"/>
      <c r="G168" s="1"/>
      <c r="H168" s="1" t="s">
        <v>127</v>
      </c>
      <c r="I168" s="1"/>
      <c r="J168" s="1"/>
      <c r="K168" s="1" t="s">
        <v>128</v>
      </c>
      <c r="L168" s="1"/>
      <c r="M168" s="1"/>
      <c r="N168" s="1"/>
      <c r="O168" s="1"/>
      <c r="P168" s="1"/>
      <c r="Q168" s="1" t="s">
        <v>129</v>
      </c>
      <c r="R168" s="1"/>
      <c r="S168" s="1"/>
      <c r="T168" s="1"/>
    </row>
    <row r="169" spans="2:20" ht="15.75" x14ac:dyDescent="0.25">
      <c r="B169" s="1" t="s">
        <v>130</v>
      </c>
      <c r="C169" s="1"/>
      <c r="D169" s="1"/>
      <c r="E169" s="1"/>
      <c r="F169" s="1"/>
      <c r="G169" s="1"/>
      <c r="H169" s="1" t="s">
        <v>131</v>
      </c>
      <c r="I169" s="1"/>
      <c r="J169" s="1"/>
      <c r="K169" s="1" t="s">
        <v>132</v>
      </c>
      <c r="L169" s="1"/>
      <c r="M169" s="1"/>
      <c r="N169" s="1"/>
      <c r="O169" s="1"/>
      <c r="P169" s="1"/>
      <c r="Q169" s="1">
        <v>1</v>
      </c>
      <c r="R169" s="1"/>
      <c r="S169" s="1"/>
      <c r="T169" s="1"/>
    </row>
    <row r="170" spans="2:20" ht="15.75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2:20" ht="15.75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2:20" ht="15.75" x14ac:dyDescent="0.25">
      <c r="B172" s="1" t="s">
        <v>133</v>
      </c>
      <c r="C172" s="1"/>
      <c r="D172" s="1"/>
      <c r="E172" s="1"/>
      <c r="F172" s="1"/>
      <c r="G172" s="1"/>
      <c r="H172" s="1" t="s">
        <v>134</v>
      </c>
      <c r="I172" s="1"/>
      <c r="J172" s="1"/>
      <c r="K172" s="1" t="s">
        <v>135</v>
      </c>
      <c r="L172" s="1"/>
      <c r="M172" s="1"/>
      <c r="N172" s="1"/>
      <c r="O172" s="1"/>
      <c r="P172" s="1"/>
      <c r="Q172" s="1"/>
      <c r="R172" s="1"/>
      <c r="S172" s="1"/>
      <c r="T172" s="1"/>
    </row>
    <row r="173" spans="2:20" ht="15.75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</sheetData>
  <mergeCells count="83">
    <mergeCell ref="F11:P11"/>
    <mergeCell ref="F14:H14"/>
    <mergeCell ref="N14:P14"/>
    <mergeCell ref="J20:J22"/>
    <mergeCell ref="L20:L22"/>
    <mergeCell ref="F26:P26"/>
    <mergeCell ref="F29:H29"/>
    <mergeCell ref="N29:P29"/>
    <mergeCell ref="J35:J37"/>
    <mergeCell ref="L35:L37"/>
    <mergeCell ref="F41:P41"/>
    <mergeCell ref="F44:H44"/>
    <mergeCell ref="N44:P44"/>
    <mergeCell ref="J50:J52"/>
    <mergeCell ref="L50:L52"/>
    <mergeCell ref="F56:P56"/>
    <mergeCell ref="F59:L59"/>
    <mergeCell ref="N59:P59"/>
    <mergeCell ref="F61:L61"/>
    <mergeCell ref="N61:P61"/>
    <mergeCell ref="F63:L63"/>
    <mergeCell ref="N63:P63"/>
    <mergeCell ref="J65:J67"/>
    <mergeCell ref="L65:L67"/>
    <mergeCell ref="F69:J71"/>
    <mergeCell ref="F73:J75"/>
    <mergeCell ref="F77:J79"/>
    <mergeCell ref="F83:P83"/>
    <mergeCell ref="F86:L86"/>
    <mergeCell ref="N86:P86"/>
    <mergeCell ref="F88:L88"/>
    <mergeCell ref="N88:P88"/>
    <mergeCell ref="F90:L90"/>
    <mergeCell ref="N90:P90"/>
    <mergeCell ref="J92:J94"/>
    <mergeCell ref="L92:L94"/>
    <mergeCell ref="F96:J98"/>
    <mergeCell ref="F100:J102"/>
    <mergeCell ref="F104:J106"/>
    <mergeCell ref="F110:P110"/>
    <mergeCell ref="F113:L113"/>
    <mergeCell ref="N113:P113"/>
    <mergeCell ref="F131:J133"/>
    <mergeCell ref="F137:P137"/>
    <mergeCell ref="F140:L140"/>
    <mergeCell ref="N140:P140"/>
    <mergeCell ref="F115:L115"/>
    <mergeCell ref="N115:P115"/>
    <mergeCell ref="F117:L117"/>
    <mergeCell ref="N117:P117"/>
    <mergeCell ref="J119:J121"/>
    <mergeCell ref="L119:L121"/>
    <mergeCell ref="F157:L157"/>
    <mergeCell ref="N157:P157"/>
    <mergeCell ref="F159:L159"/>
    <mergeCell ref="N159:P159"/>
    <mergeCell ref="B168:G168"/>
    <mergeCell ref="H168:J168"/>
    <mergeCell ref="K168:P168"/>
    <mergeCell ref="B1:F4"/>
    <mergeCell ref="H1:N4"/>
    <mergeCell ref="O3:T4"/>
    <mergeCell ref="F155:L155"/>
    <mergeCell ref="N155:P155"/>
    <mergeCell ref="F151:L151"/>
    <mergeCell ref="N151:P151"/>
    <mergeCell ref="F153:L153"/>
    <mergeCell ref="N153:P153"/>
    <mergeCell ref="F142:L142"/>
    <mergeCell ref="N142:P142"/>
    <mergeCell ref="F144:L144"/>
    <mergeCell ref="N144:P144"/>
    <mergeCell ref="F148:P148"/>
    <mergeCell ref="F123:J125"/>
    <mergeCell ref="F127:J129"/>
    <mergeCell ref="Q168:T168"/>
    <mergeCell ref="B169:G171"/>
    <mergeCell ref="H169:J171"/>
    <mergeCell ref="K169:P171"/>
    <mergeCell ref="Q169:T173"/>
    <mergeCell ref="B172:G173"/>
    <mergeCell ref="H172:J173"/>
    <mergeCell ref="K172:P173"/>
  </mergeCells>
  <pageMargins left="0.7" right="0.7" top="0.75" bottom="0.75" header="0.51180555555555551" footer="0.51180555555555551"/>
  <ignoredErrors>
    <ignoredError sqref="B1:T17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</vt:i4>
      </vt:variant>
    </vt:vector>
  </HeadingPairs>
  <TitlesOfParts>
    <vt:vector size="10" baseType="lpstr">
      <vt:lpstr>Error e Incer Q1</vt:lpstr>
      <vt:lpstr>Constantes y Trazabilidad</vt:lpstr>
      <vt:lpstr>'Error e Incer Q1'!Área_de_impresión</vt:lpstr>
      <vt:lpstr>CMC_2</vt:lpstr>
      <vt:lpstr>'Error e Incer Q1'!Títulos_a_imprimir</vt:lpstr>
      <vt:lpstr>'Error e Incer Q1'!Z_454BB076_C9CB_4D45_9CEE_12C12D8EB887__wvu_PrintTitles</vt:lpstr>
      <vt:lpstr>'Error e Incer Q1'!Z_9BA0BB8A_07EA_4416_9146_818AD1CE01E3__wvu_PrintTitles</vt:lpstr>
      <vt:lpstr>'Error e Incer Q1'!Z_D1943692_0A5A_44B1_9D88_C81004AF3758__wvu_PrintTitles</vt:lpstr>
      <vt:lpstr>'Error e Incer Q1'!Z_EF15CB4F_156D_4025_963F_1D8988A89211__wvu_PrintTitles</vt:lpstr>
      <vt:lpstr>'Error e Incer Q1'!Z_F926F444_6485_4FEB_B085_C1D1BCD61DF8__wvu_PrintTitles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Cordero</dc:creator>
  <cp:lastModifiedBy>Javier Cordero</cp:lastModifiedBy>
  <dcterms:created xsi:type="dcterms:W3CDTF">2020-03-31T13:28:11Z</dcterms:created>
  <dcterms:modified xsi:type="dcterms:W3CDTF">2020-04-22T09:33:53Z</dcterms:modified>
</cp:coreProperties>
</file>