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2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Error e Incer Q3" sheetId="1" r:id="rId1"/>
    <sheet name="Constantes y Trazabilidad" sheetId="2" r:id="rId2"/>
    <sheet name="WaterTools" sheetId="3" r:id="rId3"/>
  </sheets>
  <definedNames>
    <definedName name="_xlnm.Print_Area" localSheetId="0">'Error e Incer Q3'!$A$1:$X$148</definedName>
    <definedName name="CMC_2">'Constantes y Trazabilidad'!$F$148:$P$159</definedName>
    <definedName name="_xlnm.Print_Titles" localSheetId="0">'Error e Incer Q3'!$9:$11</definedName>
    <definedName name="Z_454BB076_C9CB_4D45_9CEE_12C12D8EB887__wvu_PrintArea" localSheetId="0">'Error e Incer Q3'!#REF!</definedName>
    <definedName name="Z_454BB076_C9CB_4D45_9CEE_12C12D8EB887__wvu_PrintTitles" localSheetId="0">'Error e Incer Q3'!$126:$131</definedName>
    <definedName name="Z_9BA0BB8A_07EA_4416_9146_818AD1CE01E3__wvu_PrintArea" localSheetId="0">'Error e Incer Q3'!#REF!</definedName>
    <definedName name="Z_9BA0BB8A_07EA_4416_9146_818AD1CE01E3__wvu_PrintTitles" localSheetId="0">'Error e Incer Q3'!$126:$131</definedName>
    <definedName name="Z_D1943692_0A5A_44B1_9D88_C81004AF3758__wvu_PrintArea" localSheetId="0">'Error e Incer Q3'!#REF!</definedName>
    <definedName name="Z_D1943692_0A5A_44B1_9D88_C81004AF3758__wvu_PrintTitles" localSheetId="0">'Error e Incer Q3'!$126:$131</definedName>
    <definedName name="Z_EF15CB4F_156D_4025_963F_1D8988A89211__wvu_PrintArea" localSheetId="0">'Error e Incer Q3'!#REF!</definedName>
    <definedName name="Z_EF15CB4F_156D_4025_963F_1D8988A89211__wvu_PrintTitles" localSheetId="0">'Error e Incer Q3'!$126:$131</definedName>
    <definedName name="Z_F926F444_6485_4FEB_B085_C1D1BCD61DF8__wvu_PrintArea" localSheetId="0">'Error e Incer Q3'!#REF!</definedName>
    <definedName name="Z_F926F444_6485_4FEB_B085_C1D1BCD61DF8__wvu_PrintTitles" localSheetId="0">'Error e Incer Q3'!$126:$131</definedName>
  </definedNames>
</workbook>
</file>

<file path=xl/comments2.xml><?xml version="1.0" encoding="utf-8"?>
<comments xmlns="http://schemas.openxmlformats.org/spreadsheetml/2006/main">
  <authors>
    <author>sheetjsghost</author>
  </authors>
  <commentList>
    <comment ref="N63" authorId="0">
      <text>
        <t>Valor anterior: 0,01</t>
      </text>
    </comment>
    <comment ref="N67" authorId="0">
      <text>
        <t>Valore del instrumento EQ-050</t>
      </text>
    </comment>
    <comment ref="P67" authorId="0">
      <text>
        <t>Valor del instrumento EQ-050</t>
      </text>
    </comment>
    <comment ref="L71" authorId="0">
      <text>
        <t>Valor anterior: 22,07</t>
      </text>
    </comment>
    <comment ref="N71" authorId="0">
      <text>
        <t>Valor anterior: 21,98</t>
      </text>
    </comment>
    <comment ref="N79" authorId="0">
      <text>
        <t xml:space="preserve">Valor anterior: 20,07
Se estaba utilizando el valor de Q2</t>
      </text>
    </comment>
    <comment ref="N90" authorId="0">
      <text>
        <t>Valor anterior: 0,01</t>
      </text>
    </comment>
    <comment ref="P121" authorId="0">
      <text>
        <t>Valor anterior: -2,0</t>
      </text>
    </comment>
    <comment ref="N125" authorId="0">
      <text>
        <t>Valor anterior: 213,8</t>
      </text>
    </comment>
  </commentList>
</comments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43"/>
  <sheetViews>
    <sheetView workbookViewId="0" rightToLeft="0"/>
  </sheetViews>
  <sheetData>
    <row r="1">
      <c r="G1" t="str">
        <v>ERROR E INCERTIDUMBRE Q3</v>
      </c>
      <c r="P1" t="str">
        <v>CODIGO : LCM-FOR-060</v>
      </c>
    </row>
    <row r="2">
      <c r="P2" t="str">
        <v>FECHA : 2016 ABRIL 30</v>
      </c>
    </row>
    <row r="3">
      <c r="P3" t="str">
        <v>PAGINA :       1   de   1</v>
      </c>
    </row>
    <row r="6">
      <c r="A6">
        <v>100</v>
      </c>
    </row>
    <row r="10">
      <c r="C10" t="str">
        <v xml:space="preserve">RESULTADOS DE LA MEDICIÓN </v>
      </c>
    </row>
    <row r="15">
      <c r="D15" t="str">
        <v>Descripción del Instrumento</v>
      </c>
    </row>
    <row r="16">
      <c r="D16" t="str">
        <v>Marca</v>
      </c>
      <c r="G16" t="str">
        <v>Q3</v>
      </c>
      <c r="K16" t="str">
        <v>Q3/Q1</v>
      </c>
      <c r="M16" t="str">
        <v>Div. Escala</v>
      </c>
      <c r="O16" t="str">
        <v>Tipo</v>
      </c>
      <c r="Q16" t="str">
        <v>Modelo</v>
      </c>
      <c r="S16" t="str">
        <v>Serie</v>
      </c>
      <c r="U16" t="str">
        <v>Diámetro</v>
      </c>
    </row>
    <row r="17">
      <c r="D17" t="str">
        <v xml:space="preserve">AQUAFORJAS </v>
      </c>
      <c r="G17">
        <v>1500</v>
      </c>
      <c r="K17" t="str">
        <v>C</v>
      </c>
      <c r="M17">
        <v>0.02</v>
      </c>
      <c r="O17" t="str">
        <v>Volumetrico</v>
      </c>
      <c r="Q17" t="str">
        <v>JSM 25</v>
      </c>
      <c r="S17" t="str">
        <v>1225FHC00667</v>
      </c>
      <c r="U17" t="str">
        <v>25 mm</v>
      </c>
    </row>
    <row r="19">
      <c r="D19" t="str">
        <v>Q3</v>
      </c>
    </row>
    <row r="20">
      <c r="D20" t="str">
        <v>Numero de Pruebas</v>
      </c>
      <c r="K20" t="str">
        <v>Recipiente Volumétrico</v>
      </c>
      <c r="O20">
        <v>100</v>
      </c>
    </row>
    <row r="21">
      <c r="D21">
        <v>3</v>
      </c>
      <c r="K21">
        <v>1</v>
      </c>
      <c r="M21">
        <v>2</v>
      </c>
      <c r="O21">
        <f>IF(D21&gt;=3,3,"")</f>
        <v>3</v>
      </c>
      <c r="U21">
        <v>0</v>
      </c>
    </row>
    <row r="22">
      <c r="D22" t="str">
        <v>Datos de Calibración</v>
      </c>
      <c r="F22" t="str">
        <v>Lect. Final</v>
      </c>
      <c r="K22">
        <v>469.22</v>
      </c>
      <c r="M22">
        <v>566.51</v>
      </c>
      <c r="O22">
        <v>663.83</v>
      </c>
    </row>
    <row r="23">
      <c r="F23" t="str">
        <v>Lect. Inicial</v>
      </c>
      <c r="K23">
        <v>372.74</v>
      </c>
      <c r="M23">
        <v>469.22</v>
      </c>
      <c r="O23">
        <v>566.51</v>
      </c>
    </row>
    <row r="24">
      <c r="F24" t="str">
        <v>Vol. R.V.M.</v>
      </c>
      <c r="K24">
        <v>100.015</v>
      </c>
      <c r="M24">
        <v>100.01</v>
      </c>
      <c r="O24">
        <v>100.005</v>
      </c>
    </row>
    <row r="25">
      <c r="F25" t="str">
        <v>Tiempo</v>
      </c>
      <c r="K25">
        <v>148</v>
      </c>
      <c r="M25">
        <v>148</v>
      </c>
      <c r="O25">
        <v>148</v>
      </c>
    </row>
    <row r="26">
      <c r="F26" t="str">
        <v>Temp. Agua Inicial</v>
      </c>
      <c r="K26">
        <v>24.93</v>
      </c>
      <c r="M26">
        <v>26.17</v>
      </c>
      <c r="O26">
        <v>25.1</v>
      </c>
    </row>
    <row r="27">
      <c r="F27" t="str">
        <v>Temp. Agua Final</v>
      </c>
      <c r="K27">
        <v>24.93</v>
      </c>
      <c r="M27">
        <v>26.17</v>
      </c>
      <c r="O27">
        <v>25.1</v>
      </c>
    </row>
    <row r="28">
      <c r="F28" t="str">
        <v>Temp. Agua R.V.M.</v>
      </c>
      <c r="K28">
        <v>24.09</v>
      </c>
      <c r="M28">
        <v>23.8</v>
      </c>
      <c r="O28">
        <v>23.9</v>
      </c>
    </row>
    <row r="29">
      <c r="F29" t="str">
        <v xml:space="preserve">Presión Maxima </v>
      </c>
      <c r="K29">
        <v>827.7</v>
      </c>
      <c r="M29">
        <v>826.8</v>
      </c>
      <c r="O29">
        <v>827</v>
      </c>
    </row>
    <row r="30">
      <c r="F30" t="str">
        <v>Presión Minima</v>
      </c>
      <c r="K30">
        <v>348.1</v>
      </c>
      <c r="M30">
        <v>347.5</v>
      </c>
      <c r="O30">
        <v>347.6</v>
      </c>
    </row>
    <row r="33">
      <c r="E33" t="str">
        <v>RESULTADOS DE LA MEDICIÓN PROMEDIO Q3</v>
      </c>
    </row>
    <row r="35">
      <c r="E35" t="str">
        <v>Vol. Indicado</v>
      </c>
      <c r="H35" t="str">
        <v>Vol. R.V.M.</v>
      </c>
      <c r="K35" t="str">
        <v>Tiempo</v>
      </c>
      <c r="M35" t="str">
        <v>Caudal</v>
      </c>
      <c r="O35" t="str">
        <v>% de Error</v>
      </c>
      <c r="Q35" t="str">
        <v>± U k=2 %</v>
      </c>
      <c r="S35" t="str">
        <v>Error Absoluto</v>
      </c>
      <c r="U35" t="str">
        <v>± U k=2</v>
      </c>
    </row>
    <row r="37">
      <c r="E37">
        <f>E129</f>
        <v>98.57000000000001</v>
      </c>
      <c r="H37">
        <f>H129</f>
        <v>100.02408165704861</v>
      </c>
      <c r="K37">
        <f>K129</f>
        <v>237</v>
      </c>
      <c r="M37">
        <f>M129</f>
        <v>1519.3531390944092</v>
      </c>
      <c r="O37">
        <f>O129</f>
        <v>-1.45373944727429</v>
      </c>
      <c r="Q37">
        <f>Q129</f>
        <v>0.584019752316848</v>
      </c>
      <c r="S37">
        <f>S129</f>
        <v>-1.4540816570486</v>
      </c>
      <c r="U37">
        <f>U129</f>
        <v>0.00584019752316848</v>
      </c>
    </row>
    <row r="38">
      <c r="F38">
        <f>E37</f>
        <v>98.57000000000001</v>
      </c>
      <c r="I38">
        <f>H37</f>
        <v>100.02408165704861</v>
      </c>
      <c r="O38">
        <f>O37</f>
        <v>-1.45373944727429</v>
      </c>
    </row>
    <row r="42">
      <c r="E42" t="str">
        <v>Q3</v>
      </c>
    </row>
    <row r="43">
      <c r="E43" t="str">
        <v>Volumen Indicado en el cuello R.V.M.</v>
      </c>
      <c r="I43" t="str">
        <v>Vis</v>
      </c>
      <c r="K43">
        <f>IF(ISNUMBER(K21),'Constantes y Trazabilidad'!$F$48,"")</f>
        <v>100</v>
      </c>
      <c r="M43">
        <f>IF(ISNUMBER(M21),'Constantes y Trazabilidad'!$F$48,"")</f>
        <v>100</v>
      </c>
      <c r="O43">
        <f>IF(ISNUMBER(O21),'Constantes y Trazabilidad'!$F$48,"")</f>
        <v>100</v>
      </c>
      <c r="Q43" t="str">
        <f>IF(ISNUMBER(Q21),'Constantes y Trazabilidad'!$F$48,"")</f>
        <v/>
      </c>
      <c r="S43" t="str">
        <f>IF(ISNUMBER(S21),'Constantes y Trazabilidad'!$F$48,"")</f>
        <v/>
      </c>
      <c r="U43">
        <f>AVERAGE(K43:T43)</f>
        <v>100</v>
      </c>
    </row>
    <row r="44">
      <c r="E44" t="str">
        <v>Correcciòn por resoluciòn de la Escala</v>
      </c>
      <c r="I44" t="str">
        <v>ᵟVip</v>
      </c>
      <c r="K44">
        <f>IF(ISNUMBER(K21),(K24-K43)*('Constantes y Trazabilidad'!$N$48/'Constantes y Trazabilidad'!$L$48),"")</f>
        <v>0</v>
      </c>
      <c r="M44">
        <f>IF(ISNUMBER(M21),(M24-M43)*('Constantes y Trazabilidad'!$N$48/'Constantes y Trazabilidad'!$L$48),"")</f>
        <v>0</v>
      </c>
      <c r="O44">
        <f>IF(ISNUMBER(O21),(O24-O43)*('Constantes y Trazabilidad'!$N$48/'Constantes y Trazabilidad'!$L$48),"")</f>
        <v>0</v>
      </c>
      <c r="Q44" t="str">
        <f>IF(ISNUMBER(Q21),(Q24-Q43)*('Constantes y Trazabilidad'!$N$48/'Constantes y Trazabilidad'!$L$48),"")</f>
        <v/>
      </c>
      <c r="S44" t="str">
        <f>IF(ISNUMBER(S21),(S24-S43)*('Constantes y Trazabilidad'!$N$48/'Constantes y Trazabilidad'!$L$48),"")</f>
        <v/>
      </c>
      <c r="U44">
        <f>AVERAGE(K44:T44)</f>
        <v>0</v>
      </c>
    </row>
    <row r="45">
      <c r="E45" t="str">
        <v>Coeficiente de expansiòn termica recipiente patron</v>
      </c>
      <c r="I45" t="str">
        <v>αs</v>
      </c>
      <c r="K45">
        <f>IF(ISNUMBER(K21),0.000051,"")</f>
        <v>0.000051</v>
      </c>
      <c r="M45">
        <f>IF(ISNUMBER(M21),0.000051,"")</f>
        <v>0.000051</v>
      </c>
      <c r="O45">
        <f>IF(ISNUMBER(O21),0.000051,"")</f>
        <v>0.000051</v>
      </c>
      <c r="Q45" t="str">
        <f>IF(ISNUMBER(Q21),0.000051,"")</f>
        <v/>
      </c>
      <c r="S45" t="str">
        <f>IF(ISNUMBER(S21),0.000051,"")</f>
        <v/>
      </c>
      <c r="U45">
        <f>AVERAGE(K45:T45)</f>
        <v>0.000051</v>
      </c>
    </row>
    <row r="46">
      <c r="E46" t="str">
        <v>Temperatura medida en el tanque</v>
      </c>
      <c r="I46" t="str">
        <v>ts</v>
      </c>
      <c r="K46">
        <f>IF(ISNUMBER(K21),K28,"")</f>
        <v>24.1</v>
      </c>
      <c r="M46">
        <f>IF(ISNUMBER(M21),M28,"")</f>
        <v>24.64</v>
      </c>
      <c r="O46">
        <f>IF(ISNUMBER(O21),O28,"")</f>
        <v>24.2</v>
      </c>
      <c r="Q46" t="str">
        <f>IF(ISNUMBER(Q21),Q28,"")</f>
        <v/>
      </c>
      <c r="S46" t="str">
        <f>IF(ISNUMBER(S21),S28,"")</f>
        <v/>
      </c>
      <c r="U46">
        <f>AVERAGE(K46:T46)</f>
        <v>24.313333333333333</v>
      </c>
    </row>
    <row r="47">
      <c r="E47" t="str">
        <v>Coeficiente Expansiòn Volumetrica del Agua</v>
      </c>
      <c r="I47" t="str">
        <v>αw</v>
      </c>
      <c r="K47">
        <f>IF(ISNUMBER(K21),0.00015,"")</f>
        <v>0.00015</v>
      </c>
      <c r="M47">
        <f>IF(ISNUMBER(M21),0.00015,"")</f>
        <v>0.00015</v>
      </c>
      <c r="O47">
        <f>IF(ISNUMBER(O21),0.00015,"")</f>
        <v>0.00015</v>
      </c>
      <c r="Q47" t="str">
        <f>IF(ISNUMBER(Q21),0.000015,"")</f>
        <v/>
      </c>
      <c r="S47" t="str">
        <f>IF(ISNUMBER(S21),0.000015,"")</f>
        <v/>
      </c>
      <c r="U47">
        <f>AVERAGE(K47:T47)</f>
        <v>0.00015</v>
      </c>
    </row>
    <row r="48">
      <c r="E48" t="str">
        <v>Temperatura medida en la Linea de Medidores</v>
      </c>
      <c r="I48" t="str">
        <v>tx</v>
      </c>
      <c r="K48">
        <f>IF(ISNUMBER(K21),AVERAGE(K26:L27),"")</f>
        <v>25.05</v>
      </c>
      <c r="M48">
        <f>IF(ISNUMBER(M21),AVERAGE(M26:N27),"")</f>
        <v>25.17</v>
      </c>
      <c r="O48">
        <f>IF(ISNUMBER(O21),AVERAGE(O26:P27),"")</f>
        <v>25.3</v>
      </c>
      <c r="Q48" t="str">
        <f>IF(ISNUMBER(Q21),AVERAGE(Q26:R27),"")</f>
        <v/>
      </c>
      <c r="S48" t="str">
        <f>IF(ISNUMBER(S21),AVERAGE(S26:T27),"")</f>
        <v/>
      </c>
      <c r="U48">
        <f>AVERAGE(K48:T48)</f>
        <v>25.173333333333332</v>
      </c>
    </row>
    <row r="49">
      <c r="E49" t="str">
        <v>Factor de Compresibilidad del agua</v>
      </c>
      <c r="I49" t="str">
        <v>kw</v>
      </c>
      <c r="K49">
        <f>IF(ISNUMBER(K21),0.00000046,"")</f>
        <v>4.6e-7</v>
      </c>
      <c r="M49">
        <f>IF(ISNUMBER(M21),0.00000046,"")</f>
        <v>4.6e-7</v>
      </c>
      <c r="O49">
        <f>IF(ISNUMBER(O21),0.00000046,"")</f>
        <v>4.6e-7</v>
      </c>
      <c r="Q49" t="str">
        <f>IF(ISNUMBER(Q21),0.0000046,"")</f>
        <v/>
      </c>
      <c r="S49" t="str">
        <f>IF(ISNUMBER(S21),0.0000046,"")</f>
        <v/>
      </c>
      <c r="U49">
        <f>AVERAGE(K49:T49)</f>
        <v>4.6e-7</v>
      </c>
    </row>
    <row r="50">
      <c r="E50" t="str">
        <v>Presiòn a la entrada de la linea</v>
      </c>
      <c r="I50" t="str">
        <v>Px</v>
      </c>
      <c r="K50">
        <f>IF(ISNUMBER(K21),AVERAGE(K29:L30),"")</f>
        <v>235.25</v>
      </c>
      <c r="M50">
        <f>IF(ISNUMBER(M21),AVERAGE(M29:N30),"")</f>
        <v>235</v>
      </c>
      <c r="O50">
        <f>IF(ISNUMBER(O21),AVERAGE(O29:P30),"")</f>
        <v>235.10000000000002</v>
      </c>
      <c r="Q50" t="str">
        <f>IF(ISNUMBER(Q21),AVERAGE(Q29:R30),"")</f>
        <v/>
      </c>
      <c r="S50" t="str">
        <f>IF(ISNUMBER(S21),AVERAGE(S29:T30),"")</f>
        <v/>
      </c>
      <c r="U50">
        <f>AVERAGE(K50:T50)</f>
        <v>235.11666666666667</v>
      </c>
    </row>
    <row r="51">
      <c r="E51" t="str">
        <v>Presiòn a aire libre</v>
      </c>
      <c r="I51" t="str">
        <v>Ps</v>
      </c>
      <c r="K51">
        <v>0</v>
      </c>
      <c r="M51">
        <v>0</v>
      </c>
      <c r="O51">
        <v>0</v>
      </c>
      <c r="U51">
        <f>AVERAGE(K51:T51)</f>
        <v>0</v>
      </c>
    </row>
    <row r="52">
      <c r="E52" t="str">
        <v>Volumen suminstrado Patron</v>
      </c>
      <c r="I52" t="str">
        <v>Vx</v>
      </c>
      <c r="K52">
        <f>(K43+K44)*(1+K45*(K46-20))*(1+K47*(K48-K46))*(1-K49*(K50-K51))</f>
        <v>100.02433767451315</v>
      </c>
      <c r="M52">
        <f>(M43+M44)*(1+M45*(M46-20))*(1+M47*(M48-M46))*(1-M49*(M50-M51))</f>
        <v>100.02080246361122</v>
      </c>
      <c r="O52">
        <f>IF(ISNUMBER(O21),(O43+O44)*(1+O45*(O46-20))*(1+O47*(O48-O46))*(1-O49*(O50-O51)),"")</f>
        <v>100.02710483302147</v>
      </c>
      <c r="Q52" t="str">
        <f>IF(ISNUMBER(Q21),(Q43+Q44)*(1+Q45*(Q46-20))*(1+Q47*(Q48-Q46))*(1-Q49*(Q50-Q51)),"")</f>
        <v/>
      </c>
      <c r="S52" t="str">
        <f>IF(ISNUMBER(S21),(S43+S44)*(1+S45*(S46-20))*(1+S47*(S48-S46))*(1-S49*(S50-S51)),"")</f>
        <v/>
      </c>
      <c r="U52">
        <f>IF(ISNUMBER(U21),(U43+U44)*(1+U45*(U46-20))*(1+U47*(U48-U46))*(1-U49*(U50-U51)),"")</f>
        <v>100.02408169642176</v>
      </c>
    </row>
    <row r="53">
      <c r="E53" t="str">
        <v>Volumen indicado Medidor</v>
      </c>
      <c r="I53" t="str">
        <v>∆Vix</v>
      </c>
      <c r="K53">
        <f>IF(ISNUMBER(K21),K22-K23,"")</f>
        <v>98.21000000000004</v>
      </c>
      <c r="M53">
        <f>IF(ISNUMBER(M21),M22-M23,"")</f>
        <v>98.35000000000002</v>
      </c>
      <c r="O53">
        <f>IF(ISNUMBER(O21),O22-O23,"")</f>
        <v>99.14999999999998</v>
      </c>
      <c r="Q53" t="str">
        <f>IF(ISNUMBER(Q21),Q22-Q23,"")</f>
        <v/>
      </c>
      <c r="S53" t="str">
        <f>IF(ISNUMBER(S21),S22-S23,"")</f>
        <v/>
      </c>
      <c r="U53">
        <f>AVERAGE(K53:T53)</f>
        <v>98.57000000000001</v>
      </c>
    </row>
    <row r="54">
      <c r="E54" t="str">
        <v>Correcciòn por escala</v>
      </c>
      <c r="I54" t="str">
        <v>ᵟVix1</v>
      </c>
      <c r="K54">
        <v>0</v>
      </c>
      <c r="M54">
        <v>0</v>
      </c>
      <c r="O54">
        <v>0</v>
      </c>
      <c r="U54">
        <v>0</v>
      </c>
    </row>
    <row r="55">
      <c r="E55" t="str">
        <v>Correcciòn por escala</v>
      </c>
      <c r="I55" t="str">
        <v>ᵟVix2</v>
      </c>
      <c r="K55">
        <v>0</v>
      </c>
      <c r="M55">
        <v>0</v>
      </c>
      <c r="O55">
        <v>0</v>
      </c>
      <c r="U55">
        <v>0</v>
      </c>
    </row>
    <row r="56">
      <c r="E56" t="str">
        <v>Error promedio</v>
      </c>
      <c r="I56" t="str">
        <v>ex</v>
      </c>
      <c r="K56">
        <f>IF(ISNUMBER(K21),((K53+K55-K54)/K52)-1,"")</f>
        <v>-0.018138962143564585</v>
      </c>
      <c r="M56">
        <f>IF(ISNUMBER(M21),((M53+M55-M54)/M52)-1,"")</f>
        <v>-0.016704549678243752</v>
      </c>
      <c r="O56">
        <f>IF(ISNUMBER(O21),((O53+O55-O54)/O52)-1,"")</f>
        <v>-0.008768671596420474</v>
      </c>
      <c r="Q56" t="str">
        <f>IF(ISNUMBER(Q21),((Q53+Q55-Q54)/Q52)-1,"")</f>
        <v/>
      </c>
      <c r="S56" t="str">
        <f>IF(ISNUMBER(S21),((S53+S55-S54)/S52)-1,"")</f>
        <v/>
      </c>
      <c r="U56">
        <f>IF(ISNUMBER(U21),((U53+U55-U54)/U52)-1,"")</f>
        <v>-0.014537316131878808</v>
      </c>
    </row>
    <row r="57">
      <c r="E57" t="str">
        <v>Correcciòn por repetibilidad</v>
      </c>
      <c r="I57" t="str">
        <v>ᵟEx</v>
      </c>
      <c r="K57">
        <v>0</v>
      </c>
      <c r="M57">
        <v>0</v>
      </c>
      <c r="O57">
        <v>0</v>
      </c>
      <c r="U57">
        <v>0</v>
      </c>
    </row>
    <row r="58">
      <c r="E58" t="str">
        <v>Erorr promedio</v>
      </c>
      <c r="I58" t="str">
        <v>ExR</v>
      </c>
      <c r="K58">
        <f>K56+K57</f>
        <v>-0.018138962143564585</v>
      </c>
      <c r="M58">
        <f>M56+M57</f>
        <v>-0.016704549678243752</v>
      </c>
      <c r="O58">
        <f>IF(ISNUMBER(O21),O56+O57,"")</f>
        <v>-0.008768671596420474</v>
      </c>
      <c r="Q58" t="str">
        <f>IF(ISNUMBER(Q21),Q56+Q57,"")</f>
        <v/>
      </c>
      <c r="S58" t="str">
        <f>IF(ISNUMBER(S21),S56+S57,"")</f>
        <v/>
      </c>
      <c r="U58">
        <f>IF(ISNUMBER(U21),U56+U57,"")</f>
        <v>-0.014537316131878808</v>
      </c>
    </row>
    <row r="59">
      <c r="E59" t="str">
        <v>Erorr promedio %</v>
      </c>
      <c r="K59">
        <f>K58</f>
        <v>-0.018138962143564585</v>
      </c>
      <c r="M59">
        <f>M58</f>
        <v>-0.016704549678243752</v>
      </c>
      <c r="O59">
        <f>O58</f>
        <v>-0.008768671596420474</v>
      </c>
      <c r="Q59" t="str">
        <f>IF(ISNUMBER(Q21),Q58,"")</f>
        <v/>
      </c>
      <c r="S59" t="str">
        <f>IF(ISNUMBER(S21),S58,"")</f>
        <v/>
      </c>
      <c r="U59">
        <f>U58</f>
        <v>-0.014537316131878808</v>
      </c>
    </row>
    <row r="62">
      <c r="C62" t="str">
        <v>Volver Arriba ►</v>
      </c>
    </row>
    <row r="65">
      <c r="E65" t="str">
        <v>Q3</v>
      </c>
    </row>
    <row r="66">
      <c r="E66" t="str">
        <v>Fuente de Incertidumbre</v>
      </c>
      <c r="K66" t="str">
        <v>Incertidumbre Estandar</v>
      </c>
      <c r="M66" t="str">
        <v>Grados de Libertad</v>
      </c>
      <c r="O66" t="str">
        <v>Normalización</v>
      </c>
      <c r="Q66" t="str">
        <v>Coeficientes de Sensibilidad</v>
      </c>
      <c r="T66" t="str">
        <v>Contribuciòn a la incertidumbre ui(y)</v>
      </c>
    </row>
    <row r="67">
      <c r="E67" t="str">
        <v>Vis= Volumen indicado en la escala de cuello del R.V.M. recogida al final de la medición</v>
      </c>
    </row>
    <row r="68">
      <c r="E68" t="str">
        <v>Incertidumbre reportada en el certificado.</v>
      </c>
      <c r="I68" t="str">
        <v>V'is</v>
      </c>
      <c r="K68">
        <f>'Constantes y Trazabilidad'!$J$48/'Constantes y Trazabilidad'!$F$52</f>
        <v>0.0165</v>
      </c>
      <c r="M68" t="str">
        <v>∞</v>
      </c>
      <c r="O68" t="str">
        <v>Factor de Cobertura</v>
      </c>
      <c r="Q68">
        <v>1</v>
      </c>
      <c r="T68">
        <f>K68*Q68</f>
        <v>0.0165</v>
      </c>
    </row>
    <row r="69">
      <c r="E69" t="str">
        <v>Deriva Volumen Indicado en el cuello R.V.M.</v>
      </c>
      <c r="I69" t="str">
        <v>DVe</v>
      </c>
      <c r="K69">
        <f>'Constantes y Trazabilidad'!$L$50/(2*SQRT(3))</f>
        <v>0</v>
      </c>
      <c r="M69" t="str">
        <v>∞</v>
      </c>
      <c r="O69" t="str">
        <v>Rectangular</v>
      </c>
      <c r="Q69">
        <v>1</v>
      </c>
      <c r="T69">
        <f>K69*Q69</f>
        <v>0</v>
      </c>
    </row>
    <row r="70">
      <c r="Q70" t="str">
        <v>µcVs</v>
      </c>
      <c r="T70">
        <f>SQRT(SUMSQ(T68:V69))</f>
        <v>0.0165</v>
      </c>
    </row>
    <row r="71">
      <c r="E71" t="str">
        <v>ts= Temperatura del agua en el R.V.M.</v>
      </c>
    </row>
    <row r="72">
      <c r="E72" t="str">
        <v>Incertidumbre reportada en el certificado.</v>
      </c>
      <c r="I72" t="str">
        <v>t's</v>
      </c>
      <c r="K72">
        <f>'Constantes y Trazabilidad'!$N$61/'Constantes y Trazabilidad'!F67</f>
        <v>0.0445</v>
      </c>
      <c r="M72" t="str">
        <v>∞</v>
      </c>
      <c r="O72" t="str">
        <v>Factor de Cobertura</v>
      </c>
      <c r="Q72">
        <v>1</v>
      </c>
      <c r="T72">
        <f>K72*Q72</f>
        <v>0.0445</v>
      </c>
    </row>
    <row r="73">
      <c r="E73" t="str">
        <v>Res. Instrumento de medición de Temperatur R.V.M.</v>
      </c>
      <c r="I73" t="str">
        <v>Rts</v>
      </c>
      <c r="K73">
        <f>'Constantes y Trazabilidad'!$N$63/SQRT(3)</f>
        <v>0.002886751345948129</v>
      </c>
      <c r="M73" t="str">
        <v>∞</v>
      </c>
      <c r="O73" t="str">
        <v>Rectangular</v>
      </c>
      <c r="Q73">
        <v>1</v>
      </c>
      <c r="T73">
        <f>K73*Q73</f>
        <v>0.002886751345948129</v>
      </c>
    </row>
    <row r="74">
      <c r="E74" t="str">
        <v>Deriva Inst. de medición de Temperatur R.V.M.</v>
      </c>
      <c r="I74" t="str">
        <v>Dts</v>
      </c>
      <c r="K74">
        <f>'Constantes y Trazabilidad'!$L$65/(2*SQRT(3))</f>
        <v>0.14982239485470786</v>
      </c>
      <c r="M74" t="str">
        <v>∞</v>
      </c>
      <c r="O74" t="str">
        <v>Rectangular</v>
      </c>
      <c r="Q74">
        <v>1</v>
      </c>
      <c r="T74">
        <f>K74*Q74</f>
        <v>0.14982239485470786</v>
      </c>
    </row>
    <row r="75">
      <c r="E75" t="str">
        <v>Temperatura medida en el R.V.M. Tmax-Tmin</v>
      </c>
      <c r="I75" t="str">
        <v>Δts</v>
      </c>
      <c r="K75">
        <f>('Constantes y Trazabilidad'!$P$79/(2*SQRT(3)))</f>
        <v>0.1558845726811987</v>
      </c>
      <c r="M75" t="str">
        <v>∞</v>
      </c>
      <c r="O75" t="str">
        <v>Rectangular</v>
      </c>
      <c r="Q75">
        <v>1</v>
      </c>
      <c r="T75">
        <f>K75*Q75</f>
        <v>0.1558845726811987</v>
      </c>
    </row>
    <row r="76">
      <c r="Q76" t="str">
        <v>µcts</v>
      </c>
      <c r="T76">
        <f>SQRT(SUMSQ(T72:V75))</f>
        <v>0.2207608057000455</v>
      </c>
    </row>
    <row r="77">
      <c r="E77" t="str">
        <v xml:space="preserve">tx= Temperatura del agua a la entrada del primer medidor </v>
      </c>
    </row>
    <row r="78">
      <c r="E78" t="str">
        <v>Incertidumbre reportada en el certificado.</v>
      </c>
      <c r="I78" t="str">
        <v>t'x</v>
      </c>
      <c r="K78">
        <f>'Constantes y Trazabilidad'!$N$88/'Constantes y Trazabilidad'!F94</f>
        <v>0.115</v>
      </c>
      <c r="M78" t="str">
        <v>∞</v>
      </c>
      <c r="O78" t="str">
        <v>Factor de Cobertura</v>
      </c>
      <c r="Q78">
        <v>1</v>
      </c>
      <c r="T78">
        <f>K78*Q78</f>
        <v>0.115</v>
      </c>
    </row>
    <row r="79">
      <c r="E79" t="str">
        <v>Res. Instrumento de medición Linea de Medidores.</v>
      </c>
      <c r="I79" t="str">
        <v>Rtx</v>
      </c>
      <c r="K79">
        <f>'Constantes y Trazabilidad'!$N$90/SQRT(3)</f>
        <v>0.002886751345948129</v>
      </c>
      <c r="M79" t="str">
        <v>∞</v>
      </c>
      <c r="O79" t="str">
        <v>Rectangular</v>
      </c>
      <c r="Q79">
        <v>1</v>
      </c>
      <c r="T79">
        <f>K79*Q79</f>
        <v>0.002886751345948129</v>
      </c>
    </row>
    <row r="80">
      <c r="E80" t="str">
        <v>Deriva Tem. Linea de Medidores</v>
      </c>
      <c r="I80" t="str">
        <v>Dtx</v>
      </c>
      <c r="K80">
        <f>'Constantes y Trazabilidad'!$L$92/(2*SQRT(3))</f>
        <v>0.0643745550146433</v>
      </c>
      <c r="M80" t="str">
        <v>∞</v>
      </c>
      <c r="O80" t="str">
        <v>Rectangular</v>
      </c>
      <c r="Q80">
        <v>1</v>
      </c>
      <c r="T80">
        <f>K80*Q80</f>
        <v>0.0643745550146433</v>
      </c>
    </row>
    <row r="81">
      <c r="E81" t="str">
        <v>Temperatura Linea de Medidores Tmax-Tmin</v>
      </c>
      <c r="I81" t="str">
        <v>Δtx</v>
      </c>
      <c r="K81">
        <f>('Constantes y Trazabilidad'!P106/(2*SQRT(3)))</f>
        <v>0.07216878364870323</v>
      </c>
      <c r="M81" t="str">
        <v>∞</v>
      </c>
      <c r="O81" t="str">
        <v>Rectangular</v>
      </c>
      <c r="Q81">
        <v>1</v>
      </c>
      <c r="T81">
        <f>K81*Q81</f>
        <v>0.07216878364870323</v>
      </c>
    </row>
    <row r="82">
      <c r="Q82" t="str">
        <v>µctx</v>
      </c>
      <c r="T82">
        <f>SQRT(SUMSQ(T78:V81))</f>
        <v>0.1502855615154031</v>
      </c>
    </row>
    <row r="83">
      <c r="E83" t="str">
        <v>Px= Presión del agua suministrada a la entrada del primer medidor</v>
      </c>
    </row>
    <row r="84">
      <c r="E84" t="str">
        <v>Incertidumbre reportada en el certificado.</v>
      </c>
      <c r="I84" t="str">
        <v>P'x</v>
      </c>
      <c r="K84">
        <f>'Constantes y Trazabilidad'!$N$115/'Constantes y Trazabilidad'!F121</f>
        <v>0.9696969696969698</v>
      </c>
      <c r="M84" t="str">
        <v>∞</v>
      </c>
      <c r="O84" t="str">
        <v>Factor de Cobertura</v>
      </c>
      <c r="Q84">
        <v>1</v>
      </c>
      <c r="T84">
        <f>K84*Q84</f>
        <v>0.9696969696969698</v>
      </c>
    </row>
    <row r="85">
      <c r="E85" t="str">
        <v>Res. Inst. de med. de Presiòn a la entra de la linea</v>
      </c>
      <c r="I85" t="str">
        <v>RPx</v>
      </c>
      <c r="K85">
        <f>'Constantes y Trazabilidad'!$N$117/SQRT(3)</f>
        <v>0.02886751345948129</v>
      </c>
      <c r="M85" t="str">
        <v>∞</v>
      </c>
      <c r="O85" t="str">
        <v>Rectangular</v>
      </c>
      <c r="Q85">
        <v>1</v>
      </c>
      <c r="T85">
        <f>K85*Q85</f>
        <v>0.02886751345948129</v>
      </c>
    </row>
    <row r="86">
      <c r="E86" t="str">
        <v>Deriva Presión a la entrada de la linea</v>
      </c>
      <c r="I86" t="str">
        <v>DPx</v>
      </c>
      <c r="K86">
        <f>'Constantes y Trazabilidad'!$L$119/(2*SQRT(3))</f>
        <v>0.11547005383792515</v>
      </c>
      <c r="M86" t="str">
        <v>∞</v>
      </c>
      <c r="O86" t="str">
        <v>Rectangular</v>
      </c>
      <c r="Q86">
        <v>1</v>
      </c>
      <c r="T86">
        <f>K86*Q86</f>
        <v>0.11547005383792515</v>
      </c>
    </row>
    <row r="87">
      <c r="E87" t="str">
        <v>Presiòn a la entrada de la linea Pmax-Pmin</v>
      </c>
      <c r="I87" t="str">
        <v>ΔPx</v>
      </c>
      <c r="K87">
        <f>('Constantes y Trazabilidad'!$P$133/(2*SQRT(3)))</f>
        <v>78.86604677130289</v>
      </c>
      <c r="M87" t="str">
        <v>∞</v>
      </c>
      <c r="O87" t="str">
        <v>Rectangular</v>
      </c>
      <c r="Q87">
        <v>1</v>
      </c>
      <c r="T87">
        <f>K87*Q87</f>
        <v>78.86604677130289</v>
      </c>
    </row>
    <row r="88">
      <c r="Q88" t="str">
        <v>µcPx</v>
      </c>
      <c r="T88">
        <f>SQRT(SUMSQ(T84:V87))</f>
        <v>78.87209780532683</v>
      </c>
    </row>
    <row r="89">
      <c r="E89" t="str">
        <v>Vx=Volumen que pasa por el medidor durante la medición.</v>
      </c>
    </row>
    <row r="90">
      <c r="E90" t="str">
        <v>Volumen Indicado en el cuello R.V.M.</v>
      </c>
      <c r="I90" t="str">
        <v>Vx</v>
      </c>
      <c r="K90">
        <f>T70</f>
        <v>0.0165</v>
      </c>
      <c r="M90" t="str">
        <v>∞</v>
      </c>
      <c r="O90" t="str">
        <v>Factor de Cobertura</v>
      </c>
      <c r="Q90">
        <f>(1+U45*(U46-20))*(1+U47*(U48-U46))*(1-U49*(U50-U51))</f>
        <v>1.0002408169642176</v>
      </c>
      <c r="T90">
        <f>K90*Q90</f>
        <v>0.016503973479909593</v>
      </c>
    </row>
    <row r="91">
      <c r="E91" t="str">
        <v>Correcciòn por resoluciòn de la Escala</v>
      </c>
      <c r="I91" t="str">
        <v>ᵟVis</v>
      </c>
      <c r="K91">
        <f>SQRT((ABS(('Constantes y Trazabilidad'!$F$48-(AVERAGE(K24:V24)))/'Constantes y Trazabilidad'!$L$48))*(POWER('Constantes y Trazabilidad'!$P$48/SQRT(3),2)))</f>
        <v>0.0006071573107523403</v>
      </c>
      <c r="M91" t="str">
        <v>∞</v>
      </c>
      <c r="O91" t="str">
        <v>Rectangular</v>
      </c>
      <c r="Q91">
        <f>(1+U45*(U46-20))*(1+U47*(U48-U46))*(1-U49*(U50-U51))</f>
        <v>1.0002408169642176</v>
      </c>
      <c r="T91">
        <f>K91*Q91</f>
        <v>0.0006073035245327183</v>
      </c>
    </row>
    <row r="92">
      <c r="E92" t="str">
        <v>Coeficiente de expanciòn termica recipiente patron</v>
      </c>
      <c r="I92" t="str">
        <v>αs</v>
      </c>
      <c r="K92">
        <f>'Constantes y Trazabilidad'!$N$140/SQRT(3)</f>
        <v>2.886751345948129e-7</v>
      </c>
      <c r="M92" t="str">
        <v>∞</v>
      </c>
      <c r="O92" t="str">
        <v>Rectangular</v>
      </c>
      <c r="Q92">
        <f>(U43+U44)*(U46-20)*(1+U47*(U48-U46))*(1-U49*(U50-U51))</f>
        <v>431.3423190338914</v>
      </c>
      <c r="T92">
        <f>K92*Q92</f>
        <v>0.00012451780200354733</v>
      </c>
    </row>
    <row r="93">
      <c r="E93" t="str">
        <v>Temperatura medida en el R.V.M.</v>
      </c>
      <c r="I93" t="str">
        <v>ts</v>
      </c>
      <c r="K93">
        <f>T76</f>
        <v>0.2207608057000455</v>
      </c>
      <c r="M93" t="str">
        <v>∞</v>
      </c>
      <c r="O93" t="str">
        <v>Factor de Cobertura</v>
      </c>
      <c r="Q93">
        <f>(U43+U44)*(1-U49*(U50-U51))*(-U47+U45*(1+U47*(U48-(2*U46)+20)))</f>
        <v>-0.00990157079297964</v>
      </c>
      <c r="T93">
        <f>K93*Q93</f>
        <v>-0.0021858787459542238</v>
      </c>
    </row>
    <row r="94">
      <c r="E94" t="str">
        <v>Coeficiente Expanciòn Volumetrica del Agua</v>
      </c>
      <c r="I94" t="str">
        <v>αw</v>
      </c>
      <c r="K94">
        <f>'Constantes y Trazabilidad'!$N$142/SQRT(3)</f>
        <v>0.000028867513459481293</v>
      </c>
      <c r="M94" t="str">
        <v>∞</v>
      </c>
      <c r="O94" t="str">
        <v>Rectangular</v>
      </c>
      <c r="Q94">
        <f>(U43+U44)*(1+U45*(U46-20))*(U48-U46)*(1-U49*(U50-U51))</f>
        <v>86.00961501858525</v>
      </c>
      <c r="T94">
        <f>K94*Q94</f>
        <v>0.002482883719193814</v>
      </c>
    </row>
    <row r="95">
      <c r="E95" t="str">
        <v>Temperatura medida en la Linea de Medidores</v>
      </c>
      <c r="I95" t="str">
        <v>tx</v>
      </c>
      <c r="K95">
        <f>T82</f>
        <v>0.1502855615154031</v>
      </c>
      <c r="M95" t="str">
        <v>∞</v>
      </c>
      <c r="O95" t="str">
        <v>Factor de Cobertura</v>
      </c>
      <c r="Q95">
        <f>(U43+U44)*(1+U45*(U46-20))*(U47)*(1-U49*(U50-U51))</f>
        <v>0.015001677038125343</v>
      </c>
      <c r="T95">
        <f>K95*Q95</f>
        <v>0.0022545354573473963</v>
      </c>
    </row>
    <row r="96">
      <c r="E96" t="str">
        <v>Factor de Compresibilidad del agua</v>
      </c>
      <c r="I96" t="str">
        <v>kw</v>
      </c>
      <c r="K96">
        <f>'Constantes y Trazabilidad'!$N$144/SQRT(3)</f>
        <v>2.886751345948129e-9</v>
      </c>
      <c r="M96" t="str">
        <v>∞</v>
      </c>
      <c r="O96" t="str">
        <v>Rectangular</v>
      </c>
      <c r="Q96">
        <f>(U43+U44)*(1+U45*(U46-20))*(1+U47*(U48-U46))*(-(U50-U51))</f>
        <v>-23519.87243530044</v>
      </c>
      <c r="T96">
        <f>K96*Q96</f>
        <v>-0.00006789602340913185</v>
      </c>
    </row>
    <row r="97">
      <c r="E97" t="str">
        <v>Presión a la entrada de la linea</v>
      </c>
      <c r="I97" t="str">
        <v>Px</v>
      </c>
      <c r="K97">
        <f>T88</f>
        <v>78.87209780532683</v>
      </c>
      <c r="M97" t="str">
        <v>∞</v>
      </c>
      <c r="O97" t="str">
        <v>Factor de Cobertura</v>
      </c>
      <c r="Q97">
        <f>(U43+U44)*(1+U45*(U46-20))*(1+U47*(U48-U46))*(-U49)</f>
        <v>-0.00004601605438536132</v>
      </c>
      <c r="T97">
        <f>K97*Q97</f>
        <v>-0.003629382742097457</v>
      </c>
    </row>
    <row r="98">
      <c r="E98" t="str">
        <v>Presiòn a aire libre</v>
      </c>
      <c r="I98" t="str">
        <v>Ps</v>
      </c>
      <c r="K98">
        <v>0</v>
      </c>
      <c r="M98" t="str">
        <v>∞</v>
      </c>
      <c r="O98" t="str">
        <v>Rectangular</v>
      </c>
      <c r="Q98">
        <v>0</v>
      </c>
      <c r="T98">
        <f>K98*Q98</f>
        <v>0</v>
      </c>
    </row>
    <row r="99">
      <c r="Q99" t="str">
        <v>µcVx</v>
      </c>
      <c r="T99">
        <f>SQRT(SUMSQ(T90:V98))</f>
        <v>0.017377232214066864</v>
      </c>
    </row>
    <row r="100">
      <c r="E100" t="str">
        <v xml:space="preserve">ex= error  relativo de medición </v>
      </c>
    </row>
    <row r="101">
      <c r="E101" t="str">
        <v>Correcciòn por escala</v>
      </c>
      <c r="I101" t="str">
        <v>ᵟVix1</v>
      </c>
      <c r="K101">
        <f>$M$17/(2*SQRT(3))</f>
        <v>0.005773502691896258</v>
      </c>
      <c r="M101" t="str">
        <v>∞</v>
      </c>
      <c r="O101" t="str">
        <v>Rectangular</v>
      </c>
      <c r="Q101">
        <f>1/U52</f>
        <v>0.009997592410146304</v>
      </c>
      <c r="T101">
        <f>K101*Q101</f>
        <v>0.00005772112669246128</v>
      </c>
    </row>
    <row r="102">
      <c r="E102" t="str">
        <v>Correcciòn por escala</v>
      </c>
      <c r="I102" t="str">
        <v>ᵟVix2</v>
      </c>
      <c r="K102">
        <f>$M$17/(2*SQRT(3))</f>
        <v>0.005773502691896258</v>
      </c>
      <c r="M102" t="str">
        <v>∞</v>
      </c>
      <c r="O102" t="str">
        <v>Rectangular</v>
      </c>
      <c r="Q102">
        <f>-1/U52</f>
        <v>-0.009997592410146304</v>
      </c>
      <c r="T102">
        <f>K102*Q102</f>
        <v>-0.00005772112669246128</v>
      </c>
    </row>
    <row r="103">
      <c r="E103" t="str">
        <v>Incertidumbre Volumen Indicado en el cuello R.V.M.</v>
      </c>
      <c r="I103" t="str">
        <v>µCVx</v>
      </c>
      <c r="K103">
        <f>T99</f>
        <v>0.017377232214066864</v>
      </c>
      <c r="M103" t="str">
        <v>∞</v>
      </c>
      <c r="O103" t="str">
        <v>Rectangular</v>
      </c>
      <c r="Q103">
        <f>AVERAGE(K53:S53)/POWER(K52,2)</f>
        <v>0.009852203821834838</v>
      </c>
      <c r="T103">
        <f>K103*Q103</f>
        <v>0.00017120403363234102</v>
      </c>
    </row>
    <row r="104">
      <c r="Q104" t="str">
        <v>µcex</v>
      </c>
      <c r="T104">
        <f>SQRT(SUMSQ(T101:V103))</f>
        <v>0.00018966886424840026</v>
      </c>
    </row>
    <row r="105">
      <c r="E105" t="str">
        <v>exav= Repetibilidad de las mediciones</v>
      </c>
    </row>
    <row r="106">
      <c r="E106" t="str">
        <v>Error promedio</v>
      </c>
      <c r="I106" t="str">
        <v>ex</v>
      </c>
      <c r="K106">
        <f>IF(D21=2,STDEV(K58:N58),IF(D21=3,STDEV(K58:P58),IF(D21=4,STDEV(K58:R58),IF(D21=5,STDEV(K58:T58),IF(D21=6,STDEV(K58:V58))))))/SQRT(D21)</f>
        <v>0.0029139324802302017</v>
      </c>
      <c r="M106">
        <v>2</v>
      </c>
      <c r="O106" t="str">
        <v>Normal</v>
      </c>
      <c r="Q106">
        <v>1</v>
      </c>
      <c r="T106">
        <f>K106*Q106</f>
        <v>0.0029139324802302017</v>
      </c>
    </row>
    <row r="107">
      <c r="E107" t="str">
        <v>Correcciòn por repetibilidad</v>
      </c>
      <c r="I107" t="str">
        <v>ᵟEx</v>
      </c>
      <c r="K107">
        <f>T104</f>
        <v>0.00018966886424840026</v>
      </c>
      <c r="M107" t="str">
        <v>∞</v>
      </c>
      <c r="O107" t="str">
        <v>Normal</v>
      </c>
      <c r="Q107">
        <v>1</v>
      </c>
      <c r="T107">
        <f>K107*Q107</f>
        <v>0.00018966886424840026</v>
      </c>
    </row>
    <row r="108">
      <c r="Q108" t="str">
        <v>µcexav</v>
      </c>
      <c r="T108">
        <f>SQRT(SUMSQ(T106:V107))</f>
        <v>0.00292009876158424</v>
      </c>
    </row>
    <row r="110">
      <c r="M110">
        <v>2</v>
      </c>
      <c r="O110">
        <f>T108*M110</f>
        <v>0.00584019752316848</v>
      </c>
      <c r="S110">
        <f>O110</f>
        <v>0.00584019752316848</v>
      </c>
    </row>
    <row r="111">
      <c r="V111">
        <f>S110</f>
        <v>0.00584019752316848</v>
      </c>
    </row>
    <row r="113">
      <c r="C113" t="str">
        <v>Volver Arriba ►</v>
      </c>
    </row>
    <row r="119">
      <c r="C119">
        <v>1</v>
      </c>
    </row>
    <row r="120">
      <c r="C120">
        <v>2</v>
      </c>
    </row>
    <row r="121">
      <c r="C121">
        <v>3</v>
      </c>
    </row>
    <row r="122">
      <c r="C122">
        <v>4</v>
      </c>
    </row>
    <row r="123">
      <c r="C123">
        <v>5</v>
      </c>
    </row>
    <row r="124">
      <c r="C124">
        <v>6</v>
      </c>
    </row>
    <row r="127">
      <c r="E127" t="str">
        <v>Vol. Indicado</v>
      </c>
      <c r="H127" t="str">
        <v>Vol. R.V.M.</v>
      </c>
      <c r="K127" t="str">
        <v>Tiempo</v>
      </c>
      <c r="M127" t="str">
        <v>Caudal</v>
      </c>
      <c r="O127" t="str">
        <v>% de Error</v>
      </c>
      <c r="Q127" t="str">
        <v>± U k=2 %</v>
      </c>
      <c r="S127" t="str">
        <v>Error Absoluto</v>
      </c>
      <c r="U127" t="str">
        <v>± U k=2</v>
      </c>
    </row>
    <row r="129">
      <c r="E129">
        <f>IF(D21=2,AVERAGE(K53:N53),IF(D21=3,AVERAGE(K53:P53),IF(D21=4,AVERAGE(K53:R53),IF(D21=5,AVERAGE(K53:T53),IF(D21=6,AVERAGE(K53:V53))))))</f>
        <v>98.57000000000001</v>
      </c>
      <c r="H129">
        <f>IF(D21=2,AVERAGE(K52:N52),IF(D21=3,AVERAGE(K52:P52),IF(D21=4,AVERAGE(K52:R52),IF(D21=5,AVERAGE(K52:T52),IF(D21=6,AVERAGE(K52:V52))))))</f>
        <v>100.02408165704861</v>
      </c>
      <c r="K129">
        <f>IF(D21=2,AVERAGE(K25:N25),IF(D21=3,AVERAGE(K25:P25),IF(D21=4,AVERAGE(K25:R25),IF(D21=5,AVERAGE(K25:T25),IF(D21=6,AVERAGE(K25:V25))))))</f>
        <v>237</v>
      </c>
      <c r="M129">
        <f>(H37/(K37/60))*60</f>
        <v>1519.3531390944092</v>
      </c>
      <c r="O129">
        <f>ROUND(K133,LEN(O133)-IF(ISERROR(FIND(",",K133)),LEN(K133),FIND(",",K133)))</f>
        <v>-1.45373944727429</v>
      </c>
      <c r="Q129">
        <f>Q133</f>
        <v>0.584019752316848</v>
      </c>
      <c r="S129">
        <f>ROUND(M133,LEN(U133)-IF(ISERROR(FIND(",",U133)),LEN(U133),FIND(",",U133)))</f>
        <v>-1.4540816570486</v>
      </c>
      <c r="U129">
        <f>S133</f>
        <v>0.00584019752316848</v>
      </c>
    </row>
    <row r="131">
      <c r="K131" t="str">
        <v>% de Error</v>
      </c>
      <c r="M131" t="str">
        <v>Error Absoluto</v>
      </c>
      <c r="O131" t="str">
        <v>± U k=2</v>
      </c>
      <c r="Q131" t="str">
        <v>± U k=2</v>
      </c>
      <c r="S131" t="str">
        <v>± U k=2</v>
      </c>
      <c r="U131" t="str">
        <v>± U k=2</v>
      </c>
    </row>
    <row r="133">
      <c r="F133">
        <f>K133</f>
        <v>-1.4537394472742937</v>
      </c>
      <c r="K133">
        <f>IF(D21=2,AVERAGE(K59:N59),IF(D21=3,AVERAGE(K59:P59),IF(D21=4,AVERAGE(K59:R59),IF(D21=5,AVERAGE(K59:T59),IF(D21=6,AVERAGE(K59:V59))))))*100</f>
        <v>-1.4537394472742937</v>
      </c>
      <c r="M133">
        <f>AVERAGE((K53-K52),(M53-M52),(O53-O52))</f>
        <v>-1.4540816570485997</v>
      </c>
      <c r="O133">
        <f>Q133</f>
        <v>0.584019752316848</v>
      </c>
      <c r="Q133">
        <f>IF((S110*100)&lt;VLOOKUP(O20,CMC_2,9,FALSE),VLOOKUP(O20,CMC_2,9,FALSE),S110*100)</f>
        <v>0.584019752316848</v>
      </c>
      <c r="S133">
        <f>O110</f>
        <v>0.00584019752316848</v>
      </c>
      <c r="U133">
        <f>S133</f>
        <v>0.00584019752316848</v>
      </c>
    </row>
    <row r="138">
      <c r="A138" t="str">
        <v>ELABORO</v>
      </c>
      <c r="I138" t="str">
        <v>REVISO</v>
      </c>
      <c r="O138" t="str">
        <v>APROBO</v>
      </c>
      <c r="U138" t="str">
        <v xml:space="preserve">VERSION </v>
      </c>
    </row>
    <row r="139">
      <c r="A139" t="str">
        <v>LUIS HERNAN DURAN GARCIA</v>
      </c>
      <c r="I139" t="str">
        <v>EDGAR FERNANDO LOZANO CALDERON</v>
      </c>
      <c r="O139" t="str">
        <v>CARLOS ARIEL DUQUE BAENA</v>
      </c>
      <c r="U139">
        <v>1</v>
      </c>
    </row>
    <row r="142">
      <c r="A142" t="str">
        <v>COORDINADOR LABORATORIO  DE MEDIDORES</v>
      </c>
      <c r="I142" t="str">
        <v>DIRECTOR PLANEACION Y CALIDAD</v>
      </c>
      <c r="O142" t="str">
        <v>GERENTE</v>
      </c>
    </row>
  </sheetData>
  <mergeCells count="482">
    <mergeCell ref="A139:H141"/>
    <mergeCell ref="I139:N141"/>
    <mergeCell ref="O139:T141"/>
    <mergeCell ref="U139:X143"/>
    <mergeCell ref="A142:H143"/>
    <mergeCell ref="I142:N143"/>
    <mergeCell ref="O142:T143"/>
    <mergeCell ref="A1:F4"/>
    <mergeCell ref="G1:O4"/>
    <mergeCell ref="P1:X1"/>
    <mergeCell ref="P2:X2"/>
    <mergeCell ref="P3:X4"/>
    <mergeCell ref="A138:H138"/>
    <mergeCell ref="I138:N138"/>
    <mergeCell ref="O138:T138"/>
    <mergeCell ref="U138:X138"/>
    <mergeCell ref="C113:I113"/>
    <mergeCell ref="E127:F127"/>
    <mergeCell ref="H127:I127"/>
    <mergeCell ref="E129:F129"/>
    <mergeCell ref="H129:I129"/>
    <mergeCell ref="T107:V107"/>
    <mergeCell ref="Q108:S108"/>
    <mergeCell ref="T108:V108"/>
    <mergeCell ref="M110:N110"/>
    <mergeCell ref="O110:R110"/>
    <mergeCell ref="S110:V110"/>
    <mergeCell ref="E107:H107"/>
    <mergeCell ref="I107:J107"/>
    <mergeCell ref="K107:L107"/>
    <mergeCell ref="M107:N107"/>
    <mergeCell ref="O107:P107"/>
    <mergeCell ref="Q107:S107"/>
    <mergeCell ref="Q104:S104"/>
    <mergeCell ref="T104:V104"/>
    <mergeCell ref="E105:V105"/>
    <mergeCell ref="E106:H106"/>
    <mergeCell ref="I106:J106"/>
    <mergeCell ref="K106:L106"/>
    <mergeCell ref="M106:N106"/>
    <mergeCell ref="O106:P106"/>
    <mergeCell ref="Q106:S106"/>
    <mergeCell ref="T106:V106"/>
    <mergeCell ref="T102:V102"/>
    <mergeCell ref="E103:H103"/>
    <mergeCell ref="I103:J103"/>
    <mergeCell ref="K103:L103"/>
    <mergeCell ref="M103:N103"/>
    <mergeCell ref="O103:P103"/>
    <mergeCell ref="Q103:S103"/>
    <mergeCell ref="T103:V103"/>
    <mergeCell ref="E102:H102"/>
    <mergeCell ref="I102:J102"/>
    <mergeCell ref="K102:L102"/>
    <mergeCell ref="M102:N102"/>
    <mergeCell ref="O102:P102"/>
    <mergeCell ref="Q102:S102"/>
    <mergeCell ref="Q99:S99"/>
    <mergeCell ref="T99:V99"/>
    <mergeCell ref="E100:V100"/>
    <mergeCell ref="E101:H101"/>
    <mergeCell ref="I101:J101"/>
    <mergeCell ref="K101:L101"/>
    <mergeCell ref="M101:N101"/>
    <mergeCell ref="O101:P101"/>
    <mergeCell ref="Q101:S101"/>
    <mergeCell ref="T101:V101"/>
    <mergeCell ref="T97:V97"/>
    <mergeCell ref="E98:H98"/>
    <mergeCell ref="I98:J98"/>
    <mergeCell ref="K98:L98"/>
    <mergeCell ref="M98:N98"/>
    <mergeCell ref="O98:P98"/>
    <mergeCell ref="Q98:S98"/>
    <mergeCell ref="T98:V98"/>
    <mergeCell ref="E97:H97"/>
    <mergeCell ref="I97:J97"/>
    <mergeCell ref="K97:L97"/>
    <mergeCell ref="M97:N97"/>
    <mergeCell ref="O97:P97"/>
    <mergeCell ref="Q97:S97"/>
    <mergeCell ref="T95:V95"/>
    <mergeCell ref="E96:H96"/>
    <mergeCell ref="I96:J96"/>
    <mergeCell ref="K96:L96"/>
    <mergeCell ref="M96:N96"/>
    <mergeCell ref="O96:P96"/>
    <mergeCell ref="Q96:S96"/>
    <mergeCell ref="T96:V96"/>
    <mergeCell ref="E95:H95"/>
    <mergeCell ref="I95:J95"/>
    <mergeCell ref="K95:L95"/>
    <mergeCell ref="M95:N95"/>
    <mergeCell ref="O95:P95"/>
    <mergeCell ref="Q95:S95"/>
    <mergeCell ref="T93:V93"/>
    <mergeCell ref="E94:H94"/>
    <mergeCell ref="I94:J94"/>
    <mergeCell ref="K94:L94"/>
    <mergeCell ref="M94:N94"/>
    <mergeCell ref="O94:P94"/>
    <mergeCell ref="Q94:S94"/>
    <mergeCell ref="T94:V94"/>
    <mergeCell ref="E93:H93"/>
    <mergeCell ref="I93:J93"/>
    <mergeCell ref="K93:L93"/>
    <mergeCell ref="M93:N93"/>
    <mergeCell ref="O93:P93"/>
    <mergeCell ref="Q93:S93"/>
    <mergeCell ref="T91:V91"/>
    <mergeCell ref="E92:H92"/>
    <mergeCell ref="I92:J92"/>
    <mergeCell ref="K92:L92"/>
    <mergeCell ref="M92:N92"/>
    <mergeCell ref="O92:P92"/>
    <mergeCell ref="Q92:S92"/>
    <mergeCell ref="T92:V92"/>
    <mergeCell ref="E91:H91"/>
    <mergeCell ref="I91:J91"/>
    <mergeCell ref="K91:L91"/>
    <mergeCell ref="M91:N91"/>
    <mergeCell ref="O91:P91"/>
    <mergeCell ref="Q91:S91"/>
    <mergeCell ref="Q88:S88"/>
    <mergeCell ref="T88:V88"/>
    <mergeCell ref="E89:V89"/>
    <mergeCell ref="E90:H90"/>
    <mergeCell ref="I90:J90"/>
    <mergeCell ref="K90:L90"/>
    <mergeCell ref="M90:N90"/>
    <mergeCell ref="O90:P90"/>
    <mergeCell ref="Q90:S90"/>
    <mergeCell ref="T90:V90"/>
    <mergeCell ref="T86:V86"/>
    <mergeCell ref="E87:H87"/>
    <mergeCell ref="I87:J87"/>
    <mergeCell ref="K87:L87"/>
    <mergeCell ref="M87:N87"/>
    <mergeCell ref="O87:P87"/>
    <mergeCell ref="Q87:S87"/>
    <mergeCell ref="T87:V87"/>
    <mergeCell ref="E86:H86"/>
    <mergeCell ref="I86:J86"/>
    <mergeCell ref="K86:L86"/>
    <mergeCell ref="M86:N86"/>
    <mergeCell ref="O86:P86"/>
    <mergeCell ref="Q86:S86"/>
    <mergeCell ref="T84:V84"/>
    <mergeCell ref="E85:H85"/>
    <mergeCell ref="I85:J85"/>
    <mergeCell ref="K85:L85"/>
    <mergeCell ref="M85:N85"/>
    <mergeCell ref="O85:P85"/>
    <mergeCell ref="Q85:S85"/>
    <mergeCell ref="T85:V85"/>
    <mergeCell ref="T81:V81"/>
    <mergeCell ref="Q82:S82"/>
    <mergeCell ref="T82:V82"/>
    <mergeCell ref="E83:V83"/>
    <mergeCell ref="E84:H84"/>
    <mergeCell ref="I84:J84"/>
    <mergeCell ref="K84:L84"/>
    <mergeCell ref="M84:N84"/>
    <mergeCell ref="O84:P84"/>
    <mergeCell ref="Q84:S84"/>
    <mergeCell ref="E81:H81"/>
    <mergeCell ref="I81:J81"/>
    <mergeCell ref="K81:L81"/>
    <mergeCell ref="M81:N81"/>
    <mergeCell ref="O81:P81"/>
    <mergeCell ref="Q81:S81"/>
    <mergeCell ref="T79:V79"/>
    <mergeCell ref="E80:H80"/>
    <mergeCell ref="I80:J80"/>
    <mergeCell ref="K80:L80"/>
    <mergeCell ref="M80:N80"/>
    <mergeCell ref="O80:P80"/>
    <mergeCell ref="Q80:S80"/>
    <mergeCell ref="T80:V80"/>
    <mergeCell ref="E79:H79"/>
    <mergeCell ref="I79:J79"/>
    <mergeCell ref="K79:L79"/>
    <mergeCell ref="M79:N79"/>
    <mergeCell ref="O79:P79"/>
    <mergeCell ref="Q79:S79"/>
    <mergeCell ref="Q76:S76"/>
    <mergeCell ref="T76:V76"/>
    <mergeCell ref="E77:V77"/>
    <mergeCell ref="E78:H78"/>
    <mergeCell ref="I78:J78"/>
    <mergeCell ref="K78:L78"/>
    <mergeCell ref="M78:N78"/>
    <mergeCell ref="O78:P78"/>
    <mergeCell ref="Q78:S78"/>
    <mergeCell ref="T78:V78"/>
    <mergeCell ref="T74:V74"/>
    <mergeCell ref="E75:H75"/>
    <mergeCell ref="I75:J75"/>
    <mergeCell ref="K75:L75"/>
    <mergeCell ref="M75:N75"/>
    <mergeCell ref="O75:P75"/>
    <mergeCell ref="Q75:S75"/>
    <mergeCell ref="T75:V75"/>
    <mergeCell ref="E74:H74"/>
    <mergeCell ref="I74:J74"/>
    <mergeCell ref="K74:L74"/>
    <mergeCell ref="M74:N74"/>
    <mergeCell ref="O74:P74"/>
    <mergeCell ref="Q74:S74"/>
    <mergeCell ref="T72:V72"/>
    <mergeCell ref="E73:H73"/>
    <mergeCell ref="I73:J73"/>
    <mergeCell ref="K73:L73"/>
    <mergeCell ref="M73:N73"/>
    <mergeCell ref="O73:P73"/>
    <mergeCell ref="Q73:S73"/>
    <mergeCell ref="T73:V73"/>
    <mergeCell ref="T69:V69"/>
    <mergeCell ref="Q70:S70"/>
    <mergeCell ref="T70:V70"/>
    <mergeCell ref="E71:V71"/>
    <mergeCell ref="E72:H72"/>
    <mergeCell ref="I72:J72"/>
    <mergeCell ref="K72:L72"/>
    <mergeCell ref="M72:N72"/>
    <mergeCell ref="O72:P72"/>
    <mergeCell ref="Q72:S72"/>
    <mergeCell ref="E69:H69"/>
    <mergeCell ref="I69:J69"/>
    <mergeCell ref="K69:L69"/>
    <mergeCell ref="M69:N69"/>
    <mergeCell ref="O69:P69"/>
    <mergeCell ref="Q69:S69"/>
    <mergeCell ref="E67:V67"/>
    <mergeCell ref="E68:H68"/>
    <mergeCell ref="I68:J68"/>
    <mergeCell ref="K68:L68"/>
    <mergeCell ref="M68:N68"/>
    <mergeCell ref="O68:P68"/>
    <mergeCell ref="Q68:S68"/>
    <mergeCell ref="T68:V68"/>
    <mergeCell ref="C62:I62"/>
    <mergeCell ref="E65:V65"/>
    <mergeCell ref="E66:J66"/>
    <mergeCell ref="K66:L66"/>
    <mergeCell ref="M66:N66"/>
    <mergeCell ref="O66:P66"/>
    <mergeCell ref="Q66:S66"/>
    <mergeCell ref="T66:V66"/>
    <mergeCell ref="S58:T58"/>
    <mergeCell ref="U58:V58"/>
    <mergeCell ref="E59:H59"/>
    <mergeCell ref="K59:L59"/>
    <mergeCell ref="M59:N59"/>
    <mergeCell ref="O59:P59"/>
    <mergeCell ref="Q59:R59"/>
    <mergeCell ref="S59:T59"/>
    <mergeCell ref="U59:V59"/>
    <mergeCell ref="E58:H58"/>
    <mergeCell ref="I58:J59"/>
    <mergeCell ref="K58:L58"/>
    <mergeCell ref="M58:N58"/>
    <mergeCell ref="O58:P58"/>
    <mergeCell ref="Q58:R58"/>
    <mergeCell ref="S56:T56"/>
    <mergeCell ref="I56:J56"/>
    <mergeCell ref="K56:L56"/>
    <mergeCell ref="M56:N56"/>
    <mergeCell ref="O56:P56"/>
    <mergeCell ref="U56:V56"/>
    <mergeCell ref="E57:H57"/>
    <mergeCell ref="I57:J57"/>
    <mergeCell ref="K57:L57"/>
    <mergeCell ref="M57:N57"/>
    <mergeCell ref="O57:P57"/>
    <mergeCell ref="Q57:R57"/>
    <mergeCell ref="S57:T57"/>
    <mergeCell ref="U57:V57"/>
    <mergeCell ref="E56:H56"/>
    <mergeCell ref="Q56:R56"/>
    <mergeCell ref="S54:T54"/>
    <mergeCell ref="U54:V54"/>
    <mergeCell ref="E55:H55"/>
    <mergeCell ref="I55:J55"/>
    <mergeCell ref="K55:L55"/>
    <mergeCell ref="M55:N55"/>
    <mergeCell ref="O55:P55"/>
    <mergeCell ref="Q55:R55"/>
    <mergeCell ref="S55:T55"/>
    <mergeCell ref="U55:V55"/>
    <mergeCell ref="E54:H54"/>
    <mergeCell ref="I54:J54"/>
    <mergeCell ref="K54:L54"/>
    <mergeCell ref="M54:N54"/>
    <mergeCell ref="O54:P54"/>
    <mergeCell ref="Q54:R54"/>
    <mergeCell ref="S52:T52"/>
    <mergeCell ref="U52:V52"/>
    <mergeCell ref="E53:H53"/>
    <mergeCell ref="I53:J53"/>
    <mergeCell ref="K53:L53"/>
    <mergeCell ref="M53:N53"/>
    <mergeCell ref="O53:P53"/>
    <mergeCell ref="Q53:R53"/>
    <mergeCell ref="S53:T53"/>
    <mergeCell ref="U53:V53"/>
    <mergeCell ref="E52:H52"/>
    <mergeCell ref="I52:J52"/>
    <mergeCell ref="K52:L52"/>
    <mergeCell ref="M52:N52"/>
    <mergeCell ref="O52:P52"/>
    <mergeCell ref="Q52:R52"/>
    <mergeCell ref="S50:T50"/>
    <mergeCell ref="U50:V50"/>
    <mergeCell ref="E51:H51"/>
    <mergeCell ref="I51:J51"/>
    <mergeCell ref="K51:L51"/>
    <mergeCell ref="M51:N51"/>
    <mergeCell ref="O51:P51"/>
    <mergeCell ref="Q51:R51"/>
    <mergeCell ref="S51:T51"/>
    <mergeCell ref="U51:V51"/>
    <mergeCell ref="E50:H50"/>
    <mergeCell ref="I50:J50"/>
    <mergeCell ref="K50:L50"/>
    <mergeCell ref="M50:N50"/>
    <mergeCell ref="O50:P50"/>
    <mergeCell ref="Q50:R50"/>
    <mergeCell ref="S48:T48"/>
    <mergeCell ref="U48:V48"/>
    <mergeCell ref="E49:H49"/>
    <mergeCell ref="I49:J49"/>
    <mergeCell ref="K49:L49"/>
    <mergeCell ref="M49:N49"/>
    <mergeCell ref="O49:P49"/>
    <mergeCell ref="Q49:R49"/>
    <mergeCell ref="S49:T49"/>
    <mergeCell ref="U49:V49"/>
    <mergeCell ref="E48:H48"/>
    <mergeCell ref="I48:J48"/>
    <mergeCell ref="K48:L48"/>
    <mergeCell ref="M48:N48"/>
    <mergeCell ref="O48:P48"/>
    <mergeCell ref="Q48:R48"/>
    <mergeCell ref="S46:T46"/>
    <mergeCell ref="U46:V46"/>
    <mergeCell ref="E47:H47"/>
    <mergeCell ref="I47:J47"/>
    <mergeCell ref="K47:L47"/>
    <mergeCell ref="M47:N47"/>
    <mergeCell ref="O47:P47"/>
    <mergeCell ref="Q47:R47"/>
    <mergeCell ref="S47:T47"/>
    <mergeCell ref="U47:V47"/>
    <mergeCell ref="E46:H46"/>
    <mergeCell ref="I46:J46"/>
    <mergeCell ref="K46:L46"/>
    <mergeCell ref="M46:N46"/>
    <mergeCell ref="O46:P46"/>
    <mergeCell ref="Q46:R46"/>
    <mergeCell ref="S44:T44"/>
    <mergeCell ref="U44:V44"/>
    <mergeCell ref="E45:H45"/>
    <mergeCell ref="I45:J45"/>
    <mergeCell ref="K45:L45"/>
    <mergeCell ref="M45:N45"/>
    <mergeCell ref="O45:P45"/>
    <mergeCell ref="Q45:R45"/>
    <mergeCell ref="S45:T45"/>
    <mergeCell ref="U45:V45"/>
    <mergeCell ref="E44:H44"/>
    <mergeCell ref="I44:J44"/>
    <mergeCell ref="K44:L44"/>
    <mergeCell ref="M44:N44"/>
    <mergeCell ref="O44:P44"/>
    <mergeCell ref="Q44:R44"/>
    <mergeCell ref="E42:V42"/>
    <mergeCell ref="E43:H43"/>
    <mergeCell ref="I43:J43"/>
    <mergeCell ref="K43:L43"/>
    <mergeCell ref="M43:N43"/>
    <mergeCell ref="O43:P43"/>
    <mergeCell ref="Q43:R43"/>
    <mergeCell ref="S43:T43"/>
    <mergeCell ref="U43:V43"/>
    <mergeCell ref="U30:V30"/>
    <mergeCell ref="E33:U33"/>
    <mergeCell ref="E35:F35"/>
    <mergeCell ref="H35:I35"/>
    <mergeCell ref="E37:F37"/>
    <mergeCell ref="H37:I37"/>
    <mergeCell ref="F30:J30"/>
    <mergeCell ref="K30:L30"/>
    <mergeCell ref="M30:N30"/>
    <mergeCell ref="O30:P30"/>
    <mergeCell ref="Q30:R30"/>
    <mergeCell ref="S30:T30"/>
    <mergeCell ref="U28:V28"/>
    <mergeCell ref="F29:J29"/>
    <mergeCell ref="K29:L29"/>
    <mergeCell ref="M29:N29"/>
    <mergeCell ref="O29:P29"/>
    <mergeCell ref="Q29:R29"/>
    <mergeCell ref="S29:T29"/>
    <mergeCell ref="U29:V29"/>
    <mergeCell ref="F28:J28"/>
    <mergeCell ref="K28:L28"/>
    <mergeCell ref="M28:N28"/>
    <mergeCell ref="O28:P28"/>
    <mergeCell ref="Q28:R28"/>
    <mergeCell ref="S28:T28"/>
    <mergeCell ref="S23:T23"/>
    <mergeCell ref="U26:V26"/>
    <mergeCell ref="F27:J27"/>
    <mergeCell ref="K27:L27"/>
    <mergeCell ref="M27:N27"/>
    <mergeCell ref="O27:P27"/>
    <mergeCell ref="Q27:R27"/>
    <mergeCell ref="S27:T27"/>
    <mergeCell ref="U27:V27"/>
    <mergeCell ref="F26:J26"/>
    <mergeCell ref="K26:L26"/>
    <mergeCell ref="K25:L25"/>
    <mergeCell ref="M25:N25"/>
    <mergeCell ref="O25:P25"/>
    <mergeCell ref="S25:T25"/>
    <mergeCell ref="U25:V25"/>
    <mergeCell ref="F24:J24"/>
    <mergeCell ref="K24:L24"/>
    <mergeCell ref="M24:N24"/>
    <mergeCell ref="O24:P24"/>
    <mergeCell ref="Q24:R24"/>
    <mergeCell ref="S24:T24"/>
    <mergeCell ref="Q25:R25"/>
    <mergeCell ref="O17:P17"/>
    <mergeCell ref="Q17:R17"/>
    <mergeCell ref="S21:T21"/>
    <mergeCell ref="U23:V23"/>
    <mergeCell ref="U21:V21"/>
    <mergeCell ref="S22:T22"/>
    <mergeCell ref="U22:V22"/>
    <mergeCell ref="D22:E30"/>
    <mergeCell ref="F22:J22"/>
    <mergeCell ref="K22:L22"/>
    <mergeCell ref="M22:N22"/>
    <mergeCell ref="O22:P22"/>
    <mergeCell ref="Q22:R22"/>
    <mergeCell ref="K23:L23"/>
    <mergeCell ref="M23:N23"/>
    <mergeCell ref="O23:P23"/>
    <mergeCell ref="Q23:R23"/>
    <mergeCell ref="F23:J23"/>
    <mergeCell ref="M26:N26"/>
    <mergeCell ref="O26:P26"/>
    <mergeCell ref="Q26:R26"/>
    <mergeCell ref="S26:T26"/>
    <mergeCell ref="U24:V24"/>
    <mergeCell ref="F25:J25"/>
    <mergeCell ref="C10:W10"/>
    <mergeCell ref="D15:V15"/>
    <mergeCell ref="D16:F16"/>
    <mergeCell ref="G16:I16"/>
    <mergeCell ref="M16:N16"/>
    <mergeCell ref="O16:P16"/>
    <mergeCell ref="Q16:R16"/>
    <mergeCell ref="M17:N17"/>
    <mergeCell ref="D21:J21"/>
    <mergeCell ref="K21:L21"/>
    <mergeCell ref="M21:N21"/>
    <mergeCell ref="O21:P21"/>
    <mergeCell ref="Q21:R21"/>
    <mergeCell ref="S16:T16"/>
    <mergeCell ref="S17:T17"/>
    <mergeCell ref="U17:V17"/>
    <mergeCell ref="D19:V19"/>
    <mergeCell ref="D20:J20"/>
    <mergeCell ref="K20:N20"/>
    <mergeCell ref="O20:P20"/>
    <mergeCell ref="D17:F17"/>
    <mergeCell ref="G17:J17"/>
    <mergeCell ref="K17:L17"/>
    <mergeCell ref="U16:V16"/>
  </mergeCells>
  <pageMargins left="0.2362204724409449" right="0.2362204724409449" top="0.7480314960629921" bottom="0.7480314960629921" header="0.31496062992125984" footer="0.31496062992125984"/>
  <ignoredErrors>
    <ignoredError numberStoredAsText="1" sqref="A1:X143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T173"/>
  <sheetViews>
    <sheetView workbookViewId="0" rightToLeft="0"/>
  </sheetViews>
  <sheetData>
    <row r="1">
      <c r="H1" t="str">
        <v xml:space="preserve">CONSTANTES Y TRAZABILIDAD </v>
      </c>
      <c r="O1" t="str">
        <v>CODIGO : LCM-FOR-061</v>
      </c>
    </row>
    <row r="2">
      <c r="O2" t="str">
        <v>FECHA : 2016 ABRIL 30</v>
      </c>
    </row>
    <row r="3">
      <c r="O3" t="str">
        <v>PAGINA :       1   de   1</v>
      </c>
    </row>
    <row r="11">
      <c r="F11" t="str">
        <v>Correciones R.V.M. Q1</v>
      </c>
    </row>
    <row r="14">
      <c r="F14" t="str">
        <v>Recipiente Volumetrico Metalico</v>
      </c>
      <c r="J14">
        <v>5</v>
      </c>
      <c r="L14" t="str">
        <v>Numero de Calibraciones</v>
      </c>
      <c r="N14" t="str">
        <v>Dos o mas</v>
      </c>
    </row>
    <row r="16">
      <c r="F16" t="str">
        <v>Volumen al Trazo</v>
      </c>
      <c r="H16" t="str">
        <v>Error Vol. Trazo</v>
      </c>
      <c r="J16" t="str">
        <v>± U Volumen</v>
      </c>
      <c r="L16" t="str">
        <v>Div. Escala</v>
      </c>
      <c r="N16" t="str">
        <v xml:space="preserve">Div. Escala </v>
      </c>
      <c r="P16" t="str">
        <v>± U Div. Escala</v>
      </c>
    </row>
    <row r="18">
      <c r="F18">
        <v>5</v>
      </c>
      <c r="H18">
        <v>0</v>
      </c>
      <c r="J18">
        <v>0.0012</v>
      </c>
      <c r="L18">
        <v>0.002</v>
      </c>
      <c r="N18">
        <v>0</v>
      </c>
      <c r="P18">
        <v>0.0012</v>
      </c>
    </row>
    <row r="20">
      <c r="F20" t="str">
        <v>K</v>
      </c>
      <c r="H20" t="str">
        <v>Tref</v>
      </c>
      <c r="J20" t="str">
        <v xml:space="preserve">Deriva  </v>
      </c>
      <c r="L20">
        <f>IF(N14="Primera",0,(ABS(P22-N22)))</f>
        <v>0</v>
      </c>
      <c r="N20" t="str">
        <v>Error Año anterior</v>
      </c>
      <c r="P20" t="str">
        <v xml:space="preserve"> Error Año Actual</v>
      </c>
    </row>
    <row r="22">
      <c r="F22">
        <v>2</v>
      </c>
      <c r="H22">
        <v>20</v>
      </c>
      <c r="N22">
        <v>0</v>
      </c>
      <c r="P22">
        <v>0</v>
      </c>
    </row>
    <row r="26">
      <c r="F26" t="str">
        <v>Correciones R.V.M. Q2</v>
      </c>
    </row>
    <row r="29">
      <c r="F29" t="str">
        <v>Recipiente Volumetrico Metalico</v>
      </c>
      <c r="J29">
        <v>5</v>
      </c>
      <c r="L29" t="str">
        <v>Numero de Calibraciones</v>
      </c>
      <c r="N29" t="str">
        <v>Dos o mas</v>
      </c>
    </row>
    <row r="31">
      <c r="F31" t="str">
        <v>Volumen al Trazo</v>
      </c>
      <c r="H31" t="str">
        <v>Corección Vol. Trazo</v>
      </c>
      <c r="J31" t="str">
        <v>± U Volumen</v>
      </c>
      <c r="L31" t="str">
        <v>Div. Escala</v>
      </c>
      <c r="N31" t="str">
        <v xml:space="preserve">Div. Escala </v>
      </c>
      <c r="P31" t="str">
        <v>± U Div. Escala</v>
      </c>
    </row>
    <row r="33">
      <c r="F33">
        <v>5</v>
      </c>
      <c r="H33">
        <v>0</v>
      </c>
      <c r="J33">
        <v>0.0012</v>
      </c>
      <c r="L33">
        <v>0.002</v>
      </c>
      <c r="N33">
        <v>0</v>
      </c>
      <c r="P33">
        <v>0.0012</v>
      </c>
    </row>
    <row r="35">
      <c r="F35" t="str">
        <v>K</v>
      </c>
      <c r="H35" t="str">
        <v>Tref</v>
      </c>
      <c r="J35" t="str">
        <v xml:space="preserve">Deriva  </v>
      </c>
      <c r="L35">
        <f>IF(N29="Primera",0,(ABS(P37-N37)))</f>
        <v>0</v>
      </c>
      <c r="N35" t="str">
        <v>Error Año anterior</v>
      </c>
      <c r="P35" t="str">
        <v xml:space="preserve"> Error Año Actual</v>
      </c>
    </row>
    <row r="37">
      <c r="F37">
        <v>2</v>
      </c>
      <c r="H37">
        <v>20</v>
      </c>
      <c r="N37">
        <v>0</v>
      </c>
      <c r="P37">
        <v>0</v>
      </c>
    </row>
    <row r="41">
      <c r="F41" t="str">
        <v>Correciones R.V.M. Q3</v>
      </c>
    </row>
    <row r="44">
      <c r="F44" t="str">
        <v>Recipiente Volumetrico Metalico</v>
      </c>
      <c r="J44">
        <v>100</v>
      </c>
      <c r="L44" t="str">
        <v>Numero de Calibraciones</v>
      </c>
      <c r="N44" t="str">
        <v>Dos o mas</v>
      </c>
    </row>
    <row r="46">
      <c r="F46" t="str">
        <v>Volumen al Trazo</v>
      </c>
      <c r="H46" t="str">
        <v>Corección Vol. Trazo</v>
      </c>
      <c r="J46" t="str">
        <v>± U Volumen</v>
      </c>
      <c r="L46" t="str">
        <v>Div. Escala</v>
      </c>
      <c r="N46" t="str">
        <v xml:space="preserve">Div. Escala </v>
      </c>
      <c r="P46" t="str">
        <v>± U Div. Escala</v>
      </c>
    </row>
    <row r="48">
      <c r="F48">
        <f>'Error e Incer Q3'!A6</f>
        <v>100</v>
      </c>
      <c r="H48">
        <v>0</v>
      </c>
      <c r="J48">
        <v>0.033</v>
      </c>
      <c r="L48">
        <v>0.05</v>
      </c>
      <c r="N48">
        <v>0</v>
      </c>
      <c r="P48">
        <v>0.00192</v>
      </c>
    </row>
    <row r="50">
      <c r="F50" t="str">
        <v>K</v>
      </c>
      <c r="H50" t="str">
        <v>Tref</v>
      </c>
      <c r="J50" t="str">
        <v xml:space="preserve">Deriva  </v>
      </c>
      <c r="L50">
        <f>IF(N44="Primera",0,(ABS(P52-N52)))</f>
        <v>0</v>
      </c>
      <c r="N50" t="str">
        <v>Error Año anterior</v>
      </c>
      <c r="P50" t="str">
        <v xml:space="preserve"> Error Año Actual</v>
      </c>
    </row>
    <row r="52">
      <c r="F52">
        <v>2</v>
      </c>
      <c r="H52">
        <v>20</v>
      </c>
      <c r="N52">
        <v>0</v>
      </c>
      <c r="P52">
        <v>0</v>
      </c>
    </row>
    <row r="56">
      <c r="F56" t="str">
        <v>Equipo de Medición  ts – RVM</v>
      </c>
    </row>
    <row r="59">
      <c r="F59" t="str">
        <v>Numero de Calibraciones</v>
      </c>
      <c r="N59" t="str">
        <v>Dos o mas</v>
      </c>
    </row>
    <row r="61">
      <c r="F61" t="str">
        <v xml:space="preserve">Incertidumbre equipo </v>
      </c>
      <c r="N61">
        <v>0.089</v>
      </c>
    </row>
    <row r="63">
      <c r="F63" t="str">
        <v xml:space="preserve">Resolución equipo </v>
      </c>
      <c r="N63">
        <f>0.01/2</f>
        <v>0.005</v>
      </c>
    </row>
    <row r="65">
      <c r="F65" t="str">
        <v>K</v>
      </c>
      <c r="J65" t="str">
        <v xml:space="preserve">Deriva  </v>
      </c>
      <c r="L65">
        <f>IF(N59="Primera",0,(ABS(P67-N67)))</f>
        <v>0.5189999999999999</v>
      </c>
      <c r="N65" t="str">
        <v>Error Año anterior</v>
      </c>
      <c r="P65" t="str">
        <v xml:space="preserve"> Error Año Actual</v>
      </c>
    </row>
    <row r="67">
      <c r="F67">
        <v>2</v>
      </c>
      <c r="N67">
        <v>0.945</v>
      </c>
      <c r="P67">
        <v>0.426</v>
      </c>
    </row>
    <row r="69">
      <c r="F69" t="str">
        <v>Variación de Temperatura Durante las Pruebas Q1</v>
      </c>
      <c r="L69" t="str">
        <v>MAX</v>
      </c>
      <c r="N69" t="str">
        <v>MIN</v>
      </c>
      <c r="P69" t="str">
        <v>Δ</v>
      </c>
    </row>
    <row r="71">
      <c r="L71">
        <v>21.52</v>
      </c>
      <c r="N71">
        <v>21.02</v>
      </c>
      <c r="P71">
        <f>L71-N71</f>
        <v>0.5</v>
      </c>
    </row>
    <row r="73">
      <c r="F73" t="str">
        <v>Variación de Temperatura Durante las Pruebas Q2</v>
      </c>
      <c r="L73" t="str">
        <v>MAX</v>
      </c>
      <c r="N73" t="str">
        <v>MIN</v>
      </c>
      <c r="P73" t="str">
        <v>Δ</v>
      </c>
    </row>
    <row r="75">
      <c r="L75" t="e">
        <f>MAX(#REF!)</f>
        <v>#REF!</v>
      </c>
      <c r="N75" t="e">
        <f>MIN(#REF!)</f>
        <v>#REF!</v>
      </c>
      <c r="P75" t="e">
        <f>L75-N75</f>
        <v>#REF!</v>
      </c>
    </row>
    <row r="77">
      <c r="F77" t="str">
        <v>Variación de Temperatura Durante las Pruebas Q3</v>
      </c>
      <c r="L77" t="str">
        <v>MAX</v>
      </c>
      <c r="N77" t="str">
        <v>MIN</v>
      </c>
      <c r="P77" t="str">
        <v>Δ</v>
      </c>
    </row>
    <row r="79">
      <c r="L79">
        <f>MAX('Error e Incer Q3'!K28:U28)</f>
        <v>24.64</v>
      </c>
      <c r="N79">
        <f>MIN('Error e Incer Q3'!K28:U28)</f>
        <v>24.1</v>
      </c>
      <c r="P79">
        <f>L79-N79</f>
        <v>0.5399999999999991</v>
      </c>
    </row>
    <row r="83">
      <c r="F83" t="str">
        <v>Equipo de Medición  tx</v>
      </c>
    </row>
    <row r="86">
      <c r="F86" t="str">
        <v>Numero de Calibraciones</v>
      </c>
      <c r="N86" t="str">
        <v>Dos o mas</v>
      </c>
    </row>
    <row r="88">
      <c r="F88" t="str">
        <v xml:space="preserve">Incertidumbre equipo </v>
      </c>
      <c r="N88">
        <v>0.23</v>
      </c>
    </row>
    <row r="90">
      <c r="F90" t="str">
        <v xml:space="preserve">Resolución equipo </v>
      </c>
      <c r="N90">
        <f>0.01/2</f>
        <v>0.005</v>
      </c>
    </row>
    <row r="92">
      <c r="F92" t="str">
        <v>K</v>
      </c>
      <c r="J92" t="str">
        <v xml:space="preserve">Deriva  </v>
      </c>
      <c r="L92">
        <f>IF(N86="Primera",0,(ABS(P94-N94)))</f>
        <v>0.2230000000000001</v>
      </c>
      <c r="N92" t="str">
        <v>Error Año anterior</v>
      </c>
      <c r="P92" t="str">
        <v xml:space="preserve"> Error Año Actual</v>
      </c>
    </row>
    <row r="94">
      <c r="F94">
        <v>2</v>
      </c>
      <c r="N94">
        <v>-1.193</v>
      </c>
      <c r="P94">
        <v>-0.97</v>
      </c>
    </row>
    <row r="96">
      <c r="F96" t="str">
        <v>Variación de Temperatura Durante las Pruebas Q1</v>
      </c>
      <c r="L96" t="str">
        <v>MAX</v>
      </c>
      <c r="N96" t="str">
        <v>MIN</v>
      </c>
      <c r="P96" t="str">
        <v>Δ</v>
      </c>
    </row>
    <row r="98">
      <c r="L98">
        <v>23.77</v>
      </c>
      <c r="N98">
        <v>23.56</v>
      </c>
      <c r="P98">
        <f>L98-N98</f>
        <v>0.21000000000000085</v>
      </c>
    </row>
    <row r="100">
      <c r="F100" t="str">
        <v>Variación de Temperatura Durante las Pruebas Q2</v>
      </c>
      <c r="L100" t="str">
        <v>MAX</v>
      </c>
      <c r="N100" t="str">
        <v>MIN</v>
      </c>
      <c r="P100" t="str">
        <v>Δ</v>
      </c>
    </row>
    <row r="102">
      <c r="L102" t="e">
        <f>MAX(#REF!)</f>
        <v>#REF!</v>
      </c>
      <c r="N102" t="e">
        <f>MIN(#REF!)</f>
        <v>#REF!</v>
      </c>
      <c r="P102" t="e">
        <f>L102-N102</f>
        <v>#REF!</v>
      </c>
    </row>
    <row r="104">
      <c r="F104" t="str">
        <v>Variación de Temperatura Durante las Pruebas Q3</v>
      </c>
      <c r="L104" t="str">
        <v>MAX</v>
      </c>
      <c r="N104" t="str">
        <v>MIN</v>
      </c>
      <c r="P104" t="str">
        <v>Δ</v>
      </c>
    </row>
    <row r="106">
      <c r="L106">
        <f>MAX('Error e Incer Q3'!K26:U27)</f>
        <v>25.3</v>
      </c>
      <c r="N106">
        <f>MIN('Error e Incer Q3'!K26:U27)</f>
        <v>25.05</v>
      </c>
      <c r="P106">
        <f>L106-N106</f>
        <v>0.25</v>
      </c>
    </row>
    <row r="110">
      <c r="F110" t="str">
        <v>Equipo de Medición  Px</v>
      </c>
    </row>
    <row r="113">
      <c r="F113" t="str">
        <v>Numero de Calibraciones</v>
      </c>
      <c r="N113" t="str">
        <v>Dos o mas</v>
      </c>
    </row>
    <row r="115">
      <c r="F115" t="str">
        <v xml:space="preserve">Incertidumbre equipo </v>
      </c>
      <c r="N115">
        <v>1.6</v>
      </c>
    </row>
    <row r="117">
      <c r="F117" t="str">
        <v xml:space="preserve">Resolución equipo </v>
      </c>
      <c r="N117">
        <v>0.05</v>
      </c>
    </row>
    <row r="119">
      <c r="F119" t="str">
        <v>K</v>
      </c>
      <c r="J119" t="str">
        <v xml:space="preserve">Deriva  </v>
      </c>
      <c r="L119">
        <f>IF(N113="Primera",0,(ABS(P121-N121)))</f>
        <v>0.39999999999999997</v>
      </c>
      <c r="N119" t="str">
        <v>Error Año anterior</v>
      </c>
      <c r="P119" t="str">
        <v xml:space="preserve"> Error Año Actual</v>
      </c>
    </row>
    <row r="121">
      <c r="F121">
        <v>1.65</v>
      </c>
      <c r="N121">
        <v>-0.6</v>
      </c>
      <c r="P121">
        <v>-0.2</v>
      </c>
    </row>
    <row r="123">
      <c r="F123" t="str">
        <v>Variación de Presión Durante las Pruebas Q1</v>
      </c>
      <c r="L123" t="str">
        <v>MAX</v>
      </c>
      <c r="N123" t="str">
        <v>MIN</v>
      </c>
      <c r="P123" t="str">
        <v>Δ</v>
      </c>
    </row>
    <row r="125">
      <c r="L125" t="e">
        <f>MAX(#REF!)</f>
        <v>#REF!</v>
      </c>
      <c r="N125">
        <v>214.8</v>
      </c>
      <c r="P125" t="e">
        <f>L125-N125</f>
        <v>#REF!</v>
      </c>
    </row>
    <row r="127">
      <c r="F127" t="str">
        <v>Variación de Presión Durante las Pruebas Q2</v>
      </c>
      <c r="L127" t="str">
        <v>MAX</v>
      </c>
      <c r="N127" t="str">
        <v>MIN</v>
      </c>
      <c r="P127" t="str">
        <v>Δ</v>
      </c>
    </row>
    <row r="129">
      <c r="L129" t="e">
        <f>MAX(#REF!)</f>
        <v>#REF!</v>
      </c>
      <c r="N129" t="e">
        <f>MIN(#REF!)</f>
        <v>#REF!</v>
      </c>
      <c r="P129" t="e">
        <f>L129-N129</f>
        <v>#REF!</v>
      </c>
    </row>
    <row r="131">
      <c r="F131" t="str">
        <v>Variación de Presión Durante las Pruebas Q3</v>
      </c>
      <c r="L131" t="str">
        <v>MAX</v>
      </c>
      <c r="N131" t="str">
        <v>MIN</v>
      </c>
      <c r="P131" t="str">
        <v>Δ</v>
      </c>
    </row>
    <row r="133">
      <c r="L133">
        <f>MAX('Error e Incer Q3'!K29:U30)</f>
        <v>371.8</v>
      </c>
      <c r="N133">
        <f>MIN('Error e Incer Q3'!K29:U30)</f>
        <v>98.6</v>
      </c>
      <c r="P133">
        <f>L133-N133</f>
        <v>273.20000000000005</v>
      </c>
    </row>
    <row r="137">
      <c r="F137" t="str">
        <v>Constantes</v>
      </c>
    </row>
    <row r="140">
      <c r="F140" t="str">
        <v>Incertidumbre de αs</v>
      </c>
      <c r="N140">
        <v>5e-7</v>
      </c>
    </row>
    <row r="142">
      <c r="F142" t="str">
        <v>Incertidumbre de αw</v>
      </c>
      <c r="N142">
        <v>0.00005</v>
      </c>
    </row>
    <row r="144">
      <c r="F144" t="str">
        <v>Incertidumbre de kw</v>
      </c>
      <c r="N144">
        <v>5e-9</v>
      </c>
    </row>
    <row r="148">
      <c r="F148" t="str">
        <v>CMC</v>
      </c>
    </row>
    <row r="151">
      <c r="F151">
        <v>5</v>
      </c>
      <c r="N151">
        <v>0.33</v>
      </c>
    </row>
    <row r="153">
      <c r="F153">
        <v>10</v>
      </c>
      <c r="N153">
        <v>0.17</v>
      </c>
    </row>
    <row r="155">
      <c r="F155">
        <v>20</v>
      </c>
      <c r="N155" t="str">
        <v>N.A</v>
      </c>
    </row>
    <row r="157">
      <c r="F157">
        <v>50</v>
      </c>
      <c r="N157">
        <v>0.05</v>
      </c>
    </row>
    <row r="159">
      <c r="F159">
        <v>100</v>
      </c>
      <c r="N159">
        <v>0.043</v>
      </c>
    </row>
    <row r="168">
      <c r="B168" t="str">
        <v>ELABORO</v>
      </c>
      <c r="H168" t="str">
        <v>REVISO</v>
      </c>
      <c r="K168" t="str">
        <v>APROBO</v>
      </c>
      <c r="Q168" t="str">
        <v xml:space="preserve">VERSION </v>
      </c>
    </row>
    <row r="169">
      <c r="B169" t="str">
        <v>LUIS HERNAN DURAN GARCIA</v>
      </c>
      <c r="H169" t="str">
        <v>EDGAR FERNANDO LOZANO CALDERON</v>
      </c>
      <c r="K169" t="str">
        <v>CARLOS ARIEL DUQUE BAENA</v>
      </c>
      <c r="Q169">
        <v>1</v>
      </c>
    </row>
    <row r="172">
      <c r="B172" t="str">
        <v>COORDINADOR LABORATORIO  DE MEDIDORES</v>
      </c>
      <c r="H172" t="str">
        <v>DIRECTOR PLANEACION Y CALIDAD</v>
      </c>
      <c r="K172" t="str">
        <v>GERENTE</v>
      </c>
    </row>
  </sheetData>
  <mergeCells count="83">
    <mergeCell ref="B169:G171"/>
    <mergeCell ref="H169:J171"/>
    <mergeCell ref="K169:P171"/>
    <mergeCell ref="Q169:T173"/>
    <mergeCell ref="B172:G173"/>
    <mergeCell ref="H172:J173"/>
    <mergeCell ref="K172:P173"/>
    <mergeCell ref="B1:F4"/>
    <mergeCell ref="H1:N4"/>
    <mergeCell ref="O3:T4"/>
    <mergeCell ref="B168:G168"/>
    <mergeCell ref="H168:J168"/>
    <mergeCell ref="K168:P168"/>
    <mergeCell ref="Q168:T168"/>
    <mergeCell ref="F155:L155"/>
    <mergeCell ref="N155:P155"/>
    <mergeCell ref="F157:L157"/>
    <mergeCell ref="N157:P157"/>
    <mergeCell ref="F159:L159"/>
    <mergeCell ref="N159:P159"/>
    <mergeCell ref="F144:L144"/>
    <mergeCell ref="N144:P144"/>
    <mergeCell ref="F148:P148"/>
    <mergeCell ref="F151:L151"/>
    <mergeCell ref="N151:P151"/>
    <mergeCell ref="F153:L153"/>
    <mergeCell ref="N153:P153"/>
    <mergeCell ref="F131:J133"/>
    <mergeCell ref="F137:P137"/>
    <mergeCell ref="F140:L140"/>
    <mergeCell ref="N140:P140"/>
    <mergeCell ref="F142:L142"/>
    <mergeCell ref="N142:P142"/>
    <mergeCell ref="F127:J129"/>
    <mergeCell ref="F104:J106"/>
    <mergeCell ref="F110:P110"/>
    <mergeCell ref="F113:L113"/>
    <mergeCell ref="N113:P113"/>
    <mergeCell ref="F115:L115"/>
    <mergeCell ref="N115:P115"/>
    <mergeCell ref="F117:L117"/>
    <mergeCell ref="N117:P117"/>
    <mergeCell ref="J119:J121"/>
    <mergeCell ref="L119:L121"/>
    <mergeCell ref="F123:J125"/>
    <mergeCell ref="F100:J102"/>
    <mergeCell ref="F77:J79"/>
    <mergeCell ref="F83:P83"/>
    <mergeCell ref="F86:L86"/>
    <mergeCell ref="N86:P86"/>
    <mergeCell ref="F88:L88"/>
    <mergeCell ref="N88:P88"/>
    <mergeCell ref="F90:L90"/>
    <mergeCell ref="N90:P90"/>
    <mergeCell ref="J92:J94"/>
    <mergeCell ref="L92:L94"/>
    <mergeCell ref="F96:J98"/>
    <mergeCell ref="F73:J75"/>
    <mergeCell ref="J50:J52"/>
    <mergeCell ref="L50:L52"/>
    <mergeCell ref="F56:P56"/>
    <mergeCell ref="F59:L59"/>
    <mergeCell ref="N59:P59"/>
    <mergeCell ref="F61:L61"/>
    <mergeCell ref="N61:P61"/>
    <mergeCell ref="F63:L63"/>
    <mergeCell ref="N63:P63"/>
    <mergeCell ref="J65:J67"/>
    <mergeCell ref="L65:L67"/>
    <mergeCell ref="F69:J71"/>
    <mergeCell ref="F44:H44"/>
    <mergeCell ref="N44:P44"/>
    <mergeCell ref="F11:P11"/>
    <mergeCell ref="F14:H14"/>
    <mergeCell ref="N14:P14"/>
    <mergeCell ref="J20:J22"/>
    <mergeCell ref="L20:L22"/>
    <mergeCell ref="F26:P26"/>
    <mergeCell ref="F29:H29"/>
    <mergeCell ref="N29:P29"/>
    <mergeCell ref="J35:J37"/>
    <mergeCell ref="L35:L37"/>
    <mergeCell ref="F41:P41"/>
  </mergeCells>
  <pageMargins left="0.7" right="0.7" top="0.75" bottom="0.75" header="0.5118055555555555" footer="0.5118055555555555"/>
  <ignoredErrors>
    <ignoredError numberStoredAsText="1" sqref="B1:T173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10"/>
  <sheetViews>
    <sheetView workbookViewId="0" rightToLeft="0"/>
  </sheetViews>
  <sheetData>
    <row r="1">
      <c r="D1" t="str">
        <v>VALIDACION WATERTOOLS</v>
      </c>
      <c r="M1" t="str">
        <v>CODIGO : LCM-FOR-064</v>
      </c>
    </row>
    <row r="2">
      <c r="M2" t="str">
        <v>Fecha: 2016 ABRIL 30</v>
      </c>
    </row>
    <row r="3">
      <c r="M3" t="str">
        <v>PAGINA :       1   de   1</v>
      </c>
    </row>
    <row r="11">
      <c r="F11" t="str">
        <v>Certificado de calibración instrumento de volumen</v>
      </c>
    </row>
    <row r="14">
      <c r="F14" t="str">
        <v>Recipiente Volumetrico Metalico</v>
      </c>
      <c r="J14">
        <v>5</v>
      </c>
      <c r="L14" t="str">
        <v>Numero de Calibraciones</v>
      </c>
      <c r="N14" t="str">
        <v>Primera</v>
      </c>
    </row>
    <row r="16">
      <c r="D16" t="str">
        <v>Parámetro</v>
      </c>
      <c r="F16" t="str">
        <v>Volumen al Trazo</v>
      </c>
      <c r="H16" t="str">
        <v>Error Vol. Trazo</v>
      </c>
      <c r="J16" t="str">
        <v>± U Volumen</v>
      </c>
      <c r="L16" t="str">
        <v>Div. Escala</v>
      </c>
      <c r="N16" t="str">
        <v xml:space="preserve">Div. Escala </v>
      </c>
      <c r="P16" t="str">
        <v>± U Div. Escala</v>
      </c>
    </row>
    <row r="17">
      <c r="D17" t="str">
        <v>Etiqueta</v>
      </c>
      <c r="F17" t="str">
        <v>N/A</v>
      </c>
      <c r="H17" t="str">
        <v>Error de indicación</v>
      </c>
      <c r="J17" t="str">
        <v>Incertidumbre (Error)</v>
      </c>
      <c r="L17" t="str">
        <v>N/A</v>
      </c>
      <c r="N17" t="str">
        <v>Corrección de escala</v>
      </c>
      <c r="P17" t="str">
        <v>Incertidumbre (Escala)</v>
      </c>
    </row>
    <row r="18">
      <c r="D18" t="str">
        <v>Valor</v>
      </c>
      <c r="F18" t="str">
        <v>(ind_c06 + ind_c07) / 2</v>
      </c>
      <c r="H18" t="str">
        <v>cal_c06</v>
      </c>
      <c r="J18" t="str">
        <v>cal_c11</v>
      </c>
      <c r="L18" t="str">
        <v>ind_c08</v>
      </c>
      <c r="N18" t="str">
        <v>cal_c07</v>
      </c>
      <c r="P18" t="str">
        <v>cal_c08</v>
      </c>
    </row>
    <row r="20">
      <c r="F20">
        <v>5</v>
      </c>
      <c r="H20">
        <v>-0.000513</v>
      </c>
      <c r="J20">
        <f>16/5000</f>
        <v>0.0032</v>
      </c>
      <c r="L20">
        <v>0.002</v>
      </c>
      <c r="N20">
        <v>0.0021</v>
      </c>
      <c r="P20">
        <v>0.00096</v>
      </c>
    </row>
    <row r="22">
      <c r="D22" t="str">
        <v>Parámetro</v>
      </c>
      <c r="F22" t="str">
        <v>K</v>
      </c>
      <c r="H22" t="str">
        <v>Tref</v>
      </c>
      <c r="J22" t="str">
        <v xml:space="preserve">Deriva  </v>
      </c>
      <c r="L22">
        <f>IF(N14="Primera",0,(ABS(P26-N26)))</f>
        <v>0</v>
      </c>
      <c r="N22" t="str">
        <v>Error Año anterior</v>
      </c>
      <c r="P22" t="str">
        <v xml:space="preserve"> Error Año Actual</v>
      </c>
    </row>
    <row r="23">
      <c r="D23" t="str">
        <v>Etiqueta</v>
      </c>
      <c r="F23" t="str">
        <v>Factor de cubrimiento</v>
      </c>
      <c r="H23" t="str">
        <v>Parámetro referencia</v>
      </c>
    </row>
    <row r="24">
      <c r="D24" t="str">
        <v>Valor</v>
      </c>
      <c r="F24" t="str">
        <v>cal_c09</v>
      </c>
      <c r="H24" t="str">
        <v>cal_c10</v>
      </c>
    </row>
    <row r="26">
      <c r="F26">
        <v>2</v>
      </c>
      <c r="H26">
        <v>20</v>
      </c>
      <c r="N26">
        <v>0</v>
      </c>
      <c r="P26">
        <f>H20</f>
        <v>-0.000513</v>
      </c>
    </row>
    <row r="30">
      <c r="F30" t="str">
        <v>Certificado de calibración de equipo de medición</v>
      </c>
    </row>
    <row r="33">
      <c r="F33" t="str">
        <v>Numero de Calibraciones</v>
      </c>
      <c r="N33" t="str">
        <v>Primera</v>
      </c>
    </row>
    <row r="35">
      <c r="A35" t="str">
        <v>Incertidumbre equipo</v>
      </c>
      <c r="C35" t="str">
        <v>Incertidumbre (Error)</v>
      </c>
      <c r="D35" t="str">
        <v>cal_c11</v>
      </c>
      <c r="F35" t="str">
        <v xml:space="preserve">Incertidumbre equipo </v>
      </c>
      <c r="N35">
        <v>0.15</v>
      </c>
    </row>
    <row r="37">
      <c r="A37" t="str">
        <v>Resolución equipo</v>
      </c>
      <c r="C37" t="str">
        <v>N/A</v>
      </c>
      <c r="D37" t="str">
        <v>ind_c08</v>
      </c>
      <c r="F37" t="str">
        <v xml:space="preserve">Resolución equipo </v>
      </c>
      <c r="N37">
        <v>0.1</v>
      </c>
    </row>
    <row r="39">
      <c r="A39" t="str">
        <v>K</v>
      </c>
      <c r="C39" t="str">
        <v>Factor de cubrimiento</v>
      </c>
      <c r="D39" t="str">
        <v>cal_c09</v>
      </c>
      <c r="F39" t="str">
        <v>K</v>
      </c>
      <c r="J39" t="str">
        <v xml:space="preserve">Deriva  </v>
      </c>
      <c r="L39">
        <f>IF(N33="Primera",0,(ABS(P41-N41)))</f>
        <v>0</v>
      </c>
      <c r="N39" t="str">
        <v>Error Año anterior</v>
      </c>
      <c r="P39" t="str">
        <v xml:space="preserve"> Error Año Actual</v>
      </c>
    </row>
    <row r="41">
      <c r="A41" t="str">
        <v>Error año actual</v>
      </c>
      <c r="C41" t="str">
        <v>Error de indicación</v>
      </c>
      <c r="D41" t="str">
        <v>cal_c06</v>
      </c>
      <c r="F41">
        <v>2</v>
      </c>
      <c r="N41">
        <v>0</v>
      </c>
      <c r="P41">
        <v>-0.265</v>
      </c>
    </row>
    <row r="43">
      <c r="F43" t="str">
        <v>Variación de Temperatura Durante las Pruebas Q1</v>
      </c>
      <c r="L43" t="str">
        <v>MAX</v>
      </c>
      <c r="N43" t="str">
        <v>MIN</v>
      </c>
      <c r="P43" t="str">
        <v>Δ</v>
      </c>
    </row>
    <row r="45">
      <c r="L45" t="e">
        <f>MAX(#REF!)</f>
        <v>#REF!</v>
      </c>
      <c r="N45" t="e">
        <f>MIN(#REF!)</f>
        <v>#REF!</v>
      </c>
      <c r="P45" t="e">
        <f>L45-N45</f>
        <v>#REF!</v>
      </c>
    </row>
    <row r="47">
      <c r="F47" t="str">
        <v>Variación de Temperatura Durante las Pruebas Q2</v>
      </c>
      <c r="L47" t="str">
        <v>MAX</v>
      </c>
      <c r="N47" t="str">
        <v>MIN</v>
      </c>
      <c r="P47" t="str">
        <v>Δ</v>
      </c>
    </row>
    <row r="49">
      <c r="L49" t="e">
        <f>MAX(#REF!)</f>
        <v>#REF!</v>
      </c>
      <c r="N49" t="e">
        <f>MIN(#REF!)</f>
        <v>#REF!</v>
      </c>
      <c r="P49" t="e">
        <f>L49-N49</f>
        <v>#REF!</v>
      </c>
    </row>
    <row r="51">
      <c r="F51" t="str">
        <v>Variación de Temperatura Durante las Pruebas Q3</v>
      </c>
      <c r="L51" t="str">
        <v>MAX</v>
      </c>
      <c r="N51" t="str">
        <v>MIN</v>
      </c>
      <c r="P51" t="str">
        <v>Δ</v>
      </c>
    </row>
    <row r="53">
      <c r="L53">
        <f>MAX('Error e Incer Q3'!K28:U28)</f>
        <v>24.64</v>
      </c>
      <c r="N53" t="e">
        <f>MIN(#REF!)</f>
        <v>#REF!</v>
      </c>
      <c r="P53" t="e">
        <f>L53-N53</f>
        <v>#REF!</v>
      </c>
    </row>
    <row r="57">
      <c r="F57" t="str">
        <v>Constantes</v>
      </c>
    </row>
    <row r="60">
      <c r="F60" t="str">
        <v>Incertidumbre de αs</v>
      </c>
      <c r="N60">
        <v>5e-7</v>
      </c>
    </row>
    <row r="62">
      <c r="F62" t="str">
        <v>Incertidumbre de αw</v>
      </c>
      <c r="N62">
        <v>0.00005</v>
      </c>
    </row>
    <row r="64">
      <c r="F64" t="str">
        <v>Incertidumbre de kw</v>
      </c>
      <c r="N64">
        <v>5e-9</v>
      </c>
    </row>
    <row r="68">
      <c r="F68" t="str">
        <v>CMC</v>
      </c>
    </row>
    <row r="71">
      <c r="F71">
        <v>5</v>
      </c>
      <c r="N71">
        <v>0.33</v>
      </c>
    </row>
    <row r="73">
      <c r="F73">
        <v>10</v>
      </c>
      <c r="N73">
        <v>0.17</v>
      </c>
    </row>
    <row r="75">
      <c r="F75">
        <v>20</v>
      </c>
      <c r="N75" t="str">
        <v>N.A</v>
      </c>
    </row>
    <row r="77">
      <c r="F77">
        <v>50</v>
      </c>
      <c r="N77">
        <v>0.05</v>
      </c>
    </row>
    <row r="79">
      <c r="F79">
        <v>100</v>
      </c>
      <c r="N79">
        <v>0.043</v>
      </c>
    </row>
    <row r="92">
      <c r="F92" t="str">
        <v>Primera</v>
      </c>
    </row>
    <row r="93">
      <c r="F93" t="str">
        <v>Dos o mas</v>
      </c>
    </row>
    <row r="105">
      <c r="A105" t="str">
        <v>ELABORO</v>
      </c>
      <c r="G105" t="str">
        <v>REVISO</v>
      </c>
      <c r="M105" t="str">
        <v>APROBO</v>
      </c>
      <c r="S105" t="str">
        <v xml:space="preserve">VERSION </v>
      </c>
    </row>
    <row r="106">
      <c r="A106" t="str">
        <v>LUIS HERNAN DURAN GARCIA</v>
      </c>
      <c r="G106" t="str">
        <v>EDGAR FERNANDO LOZANO CALDERON</v>
      </c>
      <c r="M106" t="str">
        <v>CARLOS ARIEL DUQUE BAENA</v>
      </c>
      <c r="S106">
        <v>1</v>
      </c>
    </row>
    <row r="109">
      <c r="A109" t="str">
        <v>COORDINADOR LABORATORIO  DE MEDIDORES</v>
      </c>
      <c r="G109" t="str">
        <v>DIRECTOR PLANEACION Y CALIDAD</v>
      </c>
      <c r="M109" t="str">
        <v>GERENTE</v>
      </c>
    </row>
  </sheetData>
  <mergeCells count="55">
    <mergeCell ref="A106:F108"/>
    <mergeCell ref="G106:L108"/>
    <mergeCell ref="M106:R108"/>
    <mergeCell ref="S106:T110"/>
    <mergeCell ref="A109:F110"/>
    <mergeCell ref="G109:L110"/>
    <mergeCell ref="M109:R110"/>
    <mergeCell ref="B1:C4"/>
    <mergeCell ref="D1:L4"/>
    <mergeCell ref="M1:T1"/>
    <mergeCell ref="M2:T2"/>
    <mergeCell ref="M3:T4"/>
    <mergeCell ref="A105:F105"/>
    <mergeCell ref="G105:L105"/>
    <mergeCell ref="M105:R105"/>
    <mergeCell ref="S105:T105"/>
    <mergeCell ref="F75:L75"/>
    <mergeCell ref="N75:P75"/>
    <mergeCell ref="F77:L77"/>
    <mergeCell ref="N77:P77"/>
    <mergeCell ref="F79:L79"/>
    <mergeCell ref="N79:P79"/>
    <mergeCell ref="F73:L73"/>
    <mergeCell ref="N73:P73"/>
    <mergeCell ref="F51:J53"/>
    <mergeCell ref="F57:P57"/>
    <mergeCell ref="F60:L60"/>
    <mergeCell ref="N60:P60"/>
    <mergeCell ref="F62:L62"/>
    <mergeCell ref="N62:P62"/>
    <mergeCell ref="F64:L64"/>
    <mergeCell ref="N64:P64"/>
    <mergeCell ref="F68:P68"/>
    <mergeCell ref="F71:L71"/>
    <mergeCell ref="N71:P71"/>
    <mergeCell ref="F47:J49"/>
    <mergeCell ref="F33:L33"/>
    <mergeCell ref="N33:P33"/>
    <mergeCell ref="A35:B35"/>
    <mergeCell ref="F35:L35"/>
    <mergeCell ref="N35:P35"/>
    <mergeCell ref="A37:B37"/>
    <mergeCell ref="F37:L37"/>
    <mergeCell ref="N37:P37"/>
    <mergeCell ref="A39:B39"/>
    <mergeCell ref="J39:J41"/>
    <mergeCell ref="L39:L41"/>
    <mergeCell ref="A41:B41"/>
    <mergeCell ref="F43:J45"/>
    <mergeCell ref="F30:P30"/>
    <mergeCell ref="F11:P11"/>
    <mergeCell ref="F14:H14"/>
    <mergeCell ref="N14:P14"/>
    <mergeCell ref="J22:J26"/>
    <mergeCell ref="L22:L26"/>
  </mergeCells>
  <pageMargins left="0.7" right="0.7" top="0.75" bottom="0.75" header="0.5118055555555555" footer="0.5118055555555555"/>
  <ignoredErrors>
    <ignoredError numberStoredAsText="1" sqref="A1:T11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Company/>
  <DocSecurity>0</DocSecurity>
  <Manager/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Error e Incer Q3</vt:lpstr>
      <vt:lpstr>Constantes y Trazabilidad</vt:lpstr>
      <vt:lpstr>WaterTools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2020-03-31T14:29:40Z</dcterms:created>
  <dcterms:modified xsi:type="dcterms:W3CDTF">2020-04-22T09:12:47Z</dcterms:modified>
  <cp:lastModifiedBy>Javier Cordero</cp:lastModifiedBy>
  <cp:lastPrinted>2018-07-24T14:21:12Z</cp:lastPrinted>
  <dc:creator>Javier Cordero</dc:creator>
</cp:coreProperties>
</file>