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</workbook>
</file>

<file path=xl/comments2.xml><?xml version="1.0" encoding="utf-8"?>
<comments xmlns="http://schemas.openxmlformats.org/spreadsheetml/2006/main">
  <authors>
    <author>sheetjsghost</author>
  </authors>
  <commentList>
    <comment ref="N63" authorId="0">
      <text>
        <t>Valor anterior: 0,01</t>
      </text>
    </comment>
    <comment ref="N67" authorId="0">
      <text>
        <t>Valor anterior: 0,967</t>
      </text>
    </comment>
    <comment ref="P67" authorId="0">
      <text>
        <t>Valor anterior: 0,945</t>
      </text>
    </comment>
    <comment ref="L71" authorId="0">
      <text>
        <t>Valor anterior: 22,07</t>
      </text>
    </comment>
    <comment ref="N71" authorId="0">
      <text>
        <t>Valor anterior: 21,98</t>
      </text>
    </comment>
    <comment ref="N90" authorId="0">
      <text>
        <t>Valor anterior: 0,01</t>
      </text>
    </comment>
    <comment ref="P121" authorId="0">
      <text>
        <t>Valor anterior: -2,0</t>
      </text>
    </comment>
    <comment ref="N125" authorId="0">
      <text>
        <t>Valor anterior: 213,8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Q1</v>
      </c>
      <c r="P1" t="str">
        <v>CODIGO : LCM-FOR-057</v>
      </c>
    </row>
    <row r="2">
      <c r="P2" t="str">
        <v>FECHA : 2016 ABRIL 30</v>
      </c>
    </row>
    <row r="3">
      <c r="P3" t="str">
        <v>PAGINA :       1   de   1</v>
      </c>
    </row>
    <row r="6">
      <c r="A6">
        <v>5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Q1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>AQUAFORJAS</v>
      </c>
      <c r="G17">
        <v>52.5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1225FHC00667</v>
      </c>
      <c r="U17" t="str">
        <v>25 mm</v>
      </c>
    </row>
    <row r="19">
      <c r="D19" t="str">
        <v>Q1</v>
      </c>
    </row>
    <row r="20">
      <c r="D20" t="str">
        <v>Numero de Pruebas</v>
      </c>
      <c r="K20" t="str">
        <v>Recipiente Volumétrico</v>
      </c>
      <c r="O20">
        <v>5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617.18</v>
      </c>
      <c r="M22">
        <v>621.93</v>
      </c>
      <c r="O22">
        <v>626.67</v>
      </c>
    </row>
    <row r="23">
      <c r="F23" t="str">
        <v>Lect. Inicial</v>
      </c>
      <c r="K23">
        <v>612.43</v>
      </c>
      <c r="M23">
        <v>617.18</v>
      </c>
      <c r="O23">
        <v>621.93</v>
      </c>
    </row>
    <row r="24">
      <c r="F24" t="str">
        <v>Vol. R.V.M.</v>
      </c>
      <c r="K24">
        <v>5.01</v>
      </c>
      <c r="M24">
        <v>5.002</v>
      </c>
      <c r="O24">
        <v>5.008</v>
      </c>
    </row>
    <row r="25">
      <c r="F25" t="str">
        <v>Tiempo</v>
      </c>
      <c r="K25">
        <v>782</v>
      </c>
      <c r="M25">
        <v>791</v>
      </c>
      <c r="O25">
        <v>797</v>
      </c>
    </row>
    <row r="26">
      <c r="F26" t="str">
        <v>Temp. Agua Inicial</v>
      </c>
      <c r="K26">
        <v>25.31</v>
      </c>
      <c r="M26">
        <v>26.64</v>
      </c>
      <c r="O26">
        <v>27.21</v>
      </c>
    </row>
    <row r="27">
      <c r="F27" t="str">
        <v>Temp. Agua Final</v>
      </c>
      <c r="K27">
        <v>25.31</v>
      </c>
      <c r="M27">
        <v>26.64</v>
      </c>
      <c r="O27">
        <v>27.21</v>
      </c>
    </row>
    <row r="28">
      <c r="F28" t="str">
        <v>Temp. Agua R.V.M.</v>
      </c>
      <c r="K28">
        <v>23.33</v>
      </c>
      <c r="M28">
        <v>24.99</v>
      </c>
      <c r="O28">
        <v>23.72</v>
      </c>
    </row>
    <row r="29">
      <c r="F29" t="str">
        <v xml:space="preserve">Presión Maxima </v>
      </c>
      <c r="K29">
        <v>116.2</v>
      </c>
      <c r="M29">
        <v>115.8</v>
      </c>
      <c r="O29">
        <v>114.5</v>
      </c>
    </row>
    <row r="30">
      <c r="F30" t="str">
        <v>Presión Minima</v>
      </c>
      <c r="K30">
        <v>111</v>
      </c>
      <c r="M30">
        <v>110.5</v>
      </c>
      <c r="O30">
        <v>109.7</v>
      </c>
    </row>
    <row r="33">
      <c r="E33" t="str">
        <v>RESULTADOS DE LA MEDICIÓN PROMEDIO Q1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4.74666666666667</v>
      </c>
      <c r="H37">
        <f>H129</f>
        <v>5.002543824054201</v>
      </c>
      <c r="K37">
        <f>K129</f>
        <v>790</v>
      </c>
      <c r="M37">
        <f>M129</f>
        <v>22.79640223619636</v>
      </c>
      <c r="O37">
        <f>O129</f>
        <v>-5.11492953174375</v>
      </c>
      <c r="Q37">
        <f>Q129</f>
        <v>0.35964798749928945</v>
      </c>
      <c r="S37">
        <f>S129</f>
        <v>0.255877157387531</v>
      </c>
      <c r="U37">
        <f>U129</f>
        <v>0.0035964798749928946</v>
      </c>
    </row>
    <row r="38">
      <c r="F38">
        <f>E37</f>
        <v>4.74666666666667</v>
      </c>
      <c r="I38">
        <f>H37</f>
        <v>5.002543824054201</v>
      </c>
      <c r="O38">
        <f>O37</f>
        <v>-5.11492953174375</v>
      </c>
    </row>
    <row r="42">
      <c r="E42" t="str">
        <v>Q1</v>
      </c>
    </row>
    <row r="43">
      <c r="E43" t="str">
        <v>Volumen Indicado en el cuello R.V.M.</v>
      </c>
      <c r="I43" t="str">
        <v>Vis</v>
      </c>
      <c r="K43">
        <f>IF(ISNUMBER(K21),'Constantes y Trazabilidad'!$F$18,"")</f>
        <v>5</v>
      </c>
      <c r="M43">
        <f>IF(ISNUMBER(M21),'Constantes y Trazabilidad'!$F$18,"")</f>
        <v>5</v>
      </c>
      <c r="O43">
        <f>IF(ISNUMBER(O21),'Constantes y Trazabilidad'!$F$18,"")</f>
        <v>5</v>
      </c>
      <c r="Q43" t="str">
        <f>IF(ISNUMBER(Q21),'Constantes y Trazabilidad'!$F$18,"")</f>
        <v/>
      </c>
      <c r="S43" t="str">
        <f>IF(ISNUMBER(S21),'Constantes y Trazabilidad'!$F$18,"")</f>
        <v/>
      </c>
      <c r="U43">
        <f>AVERAGE(K43:T43)</f>
        <v>5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Trazabilidad'!$N$18/'Constantes y Trazabilidad'!$L$18),"")</f>
        <v>0</v>
      </c>
      <c r="M44">
        <f>IF(ISNUMBER(M21),(M24-M43)*('Constantes y Trazabilidad'!$N$18/'Constantes y Trazabilidad'!$L$18),"")</f>
        <v>0</v>
      </c>
      <c r="O44">
        <f>IF(ISNUMBER(O21),(O24-O43)*('Constantes y Trazabilidad'!$N$18/'Constantes y Trazabilidad'!$L$18),"")</f>
        <v>0</v>
      </c>
      <c r="Q44" t="str">
        <f>IF(ISNUMBER(Q21),(Q24-Q43)*('Constantes y Trazabilidad'!$N$18/'Constantes y Trazabilidad'!$L$18),"")</f>
        <v/>
      </c>
      <c r="S44" t="str">
        <f>IF(ISNUMBER(S21),(S24-S43)*('Constantes y Trazabilidad'!$N$18/'Constantes y Trazabilidad'!$L$18),"")</f>
        <v/>
      </c>
      <c r="U44">
        <f>AVERAGE(K44:T44)</f>
        <v>0</v>
      </c>
    </row>
    <row r="45">
      <c r="E45" t="str">
        <v>Coeficiente de expanciòn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23.33</v>
      </c>
      <c r="M46">
        <f>IF(ISNUMBER(M21),M28,"")</f>
        <v>24.99</v>
      </c>
      <c r="O46">
        <f>IF(ISNUMBER(O21),O28,"")</f>
        <v>23.72</v>
      </c>
      <c r="Q46" t="str">
        <f>IF(ISNUMBER(Q21),Q28,"")</f>
        <v/>
      </c>
      <c r="S46" t="str">
        <f>IF(ISNUMBER(S21),S28,"")</f>
        <v/>
      </c>
      <c r="U46">
        <f>AVERAGE(K46:T46)</f>
        <v>24.013333333333332</v>
      </c>
    </row>
    <row r="47">
      <c r="E47" t="str">
        <v>Coeficiente Expanciòn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25.31</v>
      </c>
      <c r="M48">
        <f>IF(ISNUMBER(M21),AVERAGE(M26:N27),"")</f>
        <v>26.64</v>
      </c>
      <c r="O48">
        <f>IF(ISNUMBER(O21),AVERAGE(O26:P27),"")</f>
        <v>27.21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26.386666666666667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113.6</v>
      </c>
      <c r="M50">
        <f>IF(ISNUMBER(M21),AVERAGE(M29:N30),"")</f>
        <v>113.15</v>
      </c>
      <c r="O50">
        <f>IF(ISNUMBER(O21),AVERAGE(O29:P30),"")</f>
        <v>112.1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112.95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Q51">
        <v>0</v>
      </c>
      <c r="S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5.002073000211028</v>
      </c>
      <c r="M52">
        <f>(M43+M44)*(1+M45*(M46-20))*(1+M47*(M48-M46))*(1-M49*(M50-M51))</f>
        <v>5.002249889274595</v>
      </c>
      <c r="O52">
        <f>IF(ISNUMBER(O21),(O43+O44)*(1+O45*(O46-20))*(1+O47*(O48-O46))*(1-O49*(O50-O51)),"")</f>
        <v>5.003308582676979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IF(ISNUMBER(U21),(U43+U44)*(1+U45*(U46-20))*(1+U47*(U48-U46))*(1+U49*(U50-U51)),"")</f>
        <v>5.003063695005582</v>
      </c>
    </row>
    <row r="53">
      <c r="E53" t="str">
        <v>Volumen indicado Medidor</v>
      </c>
      <c r="I53" t="str">
        <v>∆Vix</v>
      </c>
      <c r="K53">
        <f>IF(ISNUMBER(K21),K22-K23,"")</f>
        <v>4.75</v>
      </c>
      <c r="M53">
        <f>IF(ISNUMBER(M21),M22-M23,"")</f>
        <v>4.75</v>
      </c>
      <c r="O53">
        <f>IF(ISNUMBER(O21),O22-O23,"")</f>
        <v>4.740000000000009</v>
      </c>
      <c r="Q53" t="str">
        <f>IF(ISNUMBER(Q21),Q22-Q23,"")</f>
        <v/>
      </c>
      <c r="S53" t="str">
        <f>IF(ISNUMBER(S21),S22-S23,"")</f>
        <v/>
      </c>
      <c r="U53">
        <f>AVERAGE(K53:T53)</f>
        <v>4.74666666666667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Q54">
        <v>0</v>
      </c>
      <c r="S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</row>
    <row r="56">
      <c r="E56" t="str">
        <v>Error promedio</v>
      </c>
      <c r="I56" t="str">
        <v>ex</v>
      </c>
      <c r="K56">
        <f>((K53+K55-K54)/K52)-1</f>
        <v>-0.050393706809235606</v>
      </c>
      <c r="M56">
        <f>((M53+M55-M54)/M52)-1</f>
        <v>-0.05042728669262375</v>
      </c>
      <c r="O56">
        <f>IF(ISNUMBER(O21),((O53+O55-O54)/O52)-1,"")</f>
        <v>-0.052626892450453044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-0.05124800401699192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-0.050393706809235606</v>
      </c>
      <c r="M58">
        <f>M56+M57</f>
        <v>-0.05042728669262375</v>
      </c>
      <c r="O58">
        <f>IF(ISNUMBER(O21),O56+O57,"")</f>
        <v>-0.052626892450453044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-0.05124800401699192</v>
      </c>
    </row>
    <row r="59">
      <c r="E59" t="str">
        <v>Erorr promedio %</v>
      </c>
      <c r="K59">
        <f>K58</f>
        <v>-0.050393706809235606</v>
      </c>
      <c r="M59">
        <f>M58</f>
        <v>-0.05042728669262375</v>
      </c>
      <c r="O59">
        <f>O58</f>
        <v>-0.052626892450453044</v>
      </c>
      <c r="Q59" t="str">
        <f>IF(ISNUMBER(Q21),Q58,"")</f>
        <v/>
      </c>
      <c r="S59" t="str">
        <f>IF(ISNUMBER(S21),S58,"")</f>
        <v/>
      </c>
      <c r="U59">
        <f>U58</f>
        <v>-0.05124800401699192</v>
      </c>
    </row>
    <row r="62">
      <c r="C62" t="str">
        <v>Volver Arriba ►</v>
      </c>
    </row>
    <row r="65">
      <c r="E65" t="str">
        <v>Q1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Trazabilidad'!$J$18/'Constantes y Trazabilidad'!$F$22</f>
        <v>0.00065</v>
      </c>
      <c r="M68" t="str">
        <v>∞</v>
      </c>
      <c r="O68" t="str">
        <v>Factor de Cobertura</v>
      </c>
      <c r="Q68">
        <v>1</v>
      </c>
      <c r="T68">
        <f>K68*Q68</f>
        <v>0.00065</v>
      </c>
    </row>
    <row r="69">
      <c r="E69" t="str">
        <v>Deriva Volumen Indicado en el cuello R.V.M.</v>
      </c>
      <c r="I69" t="str">
        <v>DVe</v>
      </c>
      <c r="K69">
        <f>'Constantes y Trazabilidad'!$L$20/(2*SQRT(3))</f>
        <v>0.0002886751345948129</v>
      </c>
      <c r="M69" t="str">
        <v>∞</v>
      </c>
      <c r="O69" t="str">
        <v>Rectangular</v>
      </c>
      <c r="Q69">
        <v>1</v>
      </c>
      <c r="T69">
        <f>K69*Q69</f>
        <v>0.0002886751345948129</v>
      </c>
    </row>
    <row r="70">
      <c r="Q70" t="str">
        <v>µcVs</v>
      </c>
      <c r="T70">
        <f>SQRT(SUMSQ(T68:V69))</f>
        <v>0.0007112196097783956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0.0355</v>
      </c>
      <c r="M72" t="str">
        <v>∞</v>
      </c>
      <c r="O72" t="str">
        <v>Factor de Cobertura</v>
      </c>
      <c r="Q72">
        <v>1</v>
      </c>
      <c r="T72">
        <f>K72*Q72</f>
        <v>0.0355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0.35680246635918866</v>
      </c>
      <c r="M74" t="str">
        <v>∞</v>
      </c>
      <c r="O74" t="str">
        <v>Rectangular</v>
      </c>
      <c r="Q74">
        <v>1</v>
      </c>
      <c r="T74">
        <f>K74*Q74</f>
        <v>0.35680246635918866</v>
      </c>
    </row>
    <row r="75">
      <c r="E75" t="str">
        <v>Temperatura medida en el R.V.M. Tmax-Tmin</v>
      </c>
      <c r="I75" t="str">
        <v>Δts</v>
      </c>
      <c r="K75">
        <f>('Constantes y Trazabilidad'!$P$71/(2*SQRT(3)))</f>
        <v>0.14433756729740646</v>
      </c>
      <c r="M75" t="str">
        <v>∞</v>
      </c>
      <c r="O75" t="str">
        <v>Rectangular</v>
      </c>
      <c r="Q75">
        <v>1</v>
      </c>
      <c r="T75">
        <f>K75*Q75</f>
        <v>0.14433756729740646</v>
      </c>
    </row>
    <row r="76">
      <c r="Q76" t="str">
        <v>µcts</v>
      </c>
      <c r="T76">
        <f>SQRT(SUMSQ(T72:V75))</f>
        <v>0.38653578963230123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Trazabilidad'!P98/(2*SQRT(3)))</f>
        <v>0.060621778264910955</v>
      </c>
      <c r="M81" t="str">
        <v>∞</v>
      </c>
      <c r="O81" t="str">
        <v>Rectangular</v>
      </c>
      <c r="Q81">
        <v>1</v>
      </c>
      <c r="T81">
        <f>K81*Q81</f>
        <v>0.060621778264910955</v>
      </c>
    </row>
    <row r="82">
      <c r="Q82" t="str">
        <v>µctx</v>
      </c>
      <c r="T82">
        <f>SQRT(SUMSQ(T78:V81))</f>
        <v>0.14509450942977375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Trazabilidad'!$P$125/(2*SQRT(3)))</f>
        <v>-28.463368271048555</v>
      </c>
      <c r="M87" t="str">
        <v>∞</v>
      </c>
      <c r="O87" t="str">
        <v>Rectangular</v>
      </c>
      <c r="Q87">
        <v>1</v>
      </c>
      <c r="T87">
        <f>K87*Q87</f>
        <v>-28.463368271048555</v>
      </c>
    </row>
    <row r="88">
      <c r="Q88" t="str">
        <v>µcPx</v>
      </c>
      <c r="T88">
        <f>SQRT(SUMSQ(T84:V87))</f>
        <v>28.480130129847367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0.0007112196097783956</v>
      </c>
      <c r="M90" t="str">
        <v>∞</v>
      </c>
      <c r="O90" t="str">
        <v>Factor de Cobertura</v>
      </c>
      <c r="Q90">
        <f>(1+U45*(U46-20))*(1+U47*(U48-U46))*(1-U49*(U50-U51))</f>
        <v>1.0005087667310433</v>
      </c>
      <c r="T90">
        <f>K90*Q90</f>
        <v>0.0007115814546543163</v>
      </c>
    </row>
    <row r="91">
      <c r="E91" t="str">
        <v>Correcciòn por resoluciòn de la Escala</v>
      </c>
      <c r="I91" t="str">
        <v>ᵟVis</v>
      </c>
      <c r="K91">
        <f>SQRT((ABS(('Constantes y Trazabilidad'!$F$18-(AVERAGE(K24:V24)))/'Constantes y Trazabilidad'!$L$18))*(POWER('Constantes y Trazabilidad'!$P$18/SQRT(3),2)))</f>
        <v>0</v>
      </c>
      <c r="M91" t="str">
        <v>∞</v>
      </c>
      <c r="O91" t="str">
        <v>Rectangular</v>
      </c>
      <c r="Q91">
        <f>(1+U45*(U46-20))*(1+U47*(U48-U46))*(1-U49*(U50-U51))</f>
        <v>1.0005087667310433</v>
      </c>
      <c r="T91">
        <f>K91*Q91</f>
        <v>0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20.07276742503304</v>
      </c>
      <c r="T92">
        <f>K92*Q92</f>
        <v>0.000005794508838111788</v>
      </c>
    </row>
    <row r="93">
      <c r="E93" t="str">
        <v>Temperatura medida en el R.V.M.</v>
      </c>
      <c r="I93" t="str">
        <v>ts</v>
      </c>
      <c r="K93">
        <f>T76</f>
        <v>0.38653578963230123</v>
      </c>
      <c r="M93" t="str">
        <v>∞</v>
      </c>
      <c r="O93" t="str">
        <v>Factor de Cobertura</v>
      </c>
      <c r="Q93">
        <f>(U43+U44)*(1-U49*(U50-U51))*(-U47+U45*(1+U47*(U48-(2*U46)+20)))</f>
        <v>-0.0004950370080257373</v>
      </c>
      <c r="T93">
        <f>K93*Q93</f>
        <v>-0.00019134952079444023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11.868478853403243</v>
      </c>
      <c r="T94">
        <f>K94*Q94</f>
        <v>0.00034261347304418723</v>
      </c>
    </row>
    <row r="95">
      <c r="E95" t="str">
        <v>Temperatura medida en la Linea de Medidores</v>
      </c>
      <c r="I95" t="str">
        <v>tx</v>
      </c>
      <c r="K95">
        <f>T82</f>
        <v>0.14509450942977375</v>
      </c>
      <c r="M95" t="str">
        <v>∞</v>
      </c>
      <c r="O95" t="str">
        <v>Factor de Cobertura</v>
      </c>
      <c r="Q95">
        <f>(U43+U44)*(1+U45*(U46-20))*(U47)*(1-U49*(U50-U51))</f>
        <v>0.0007501145342740808</v>
      </c>
      <c r="T95">
        <f>K95*Q95</f>
        <v>0.00010883750036664096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-565.0666851811186</v>
      </c>
      <c r="T96">
        <f>K96*Q96</f>
        <v>-0.000001631207013997042</v>
      </c>
    </row>
    <row r="97">
      <c r="E97" t="str">
        <v>Presión a la entrada de la linea</v>
      </c>
      <c r="I97" t="str">
        <v>Px</v>
      </c>
      <c r="K97">
        <f>T88</f>
        <v>28.480130129847367</v>
      </c>
      <c r="M97" t="str">
        <v>∞</v>
      </c>
      <c r="O97" t="str">
        <v>Factor de Cobertura</v>
      </c>
      <c r="Q97">
        <f>(U43+U44)*(1+U45*(U46-20))*(1+U47*(U48-U46))*(-U49)</f>
        <v>-0.0000023012897315919837</v>
      </c>
      <c r="T97">
        <f>K97*Q97</f>
        <v>-0.00006554103102222121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0.0008225109500973994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0.19987752724361113</v>
      </c>
      <c r="T101">
        <f>K101*Q101</f>
        <v>0.0011539934415905565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-0.19987752724361113</v>
      </c>
      <c r="T102">
        <f>K102*Q102</f>
        <v>-0.0011539934415905565</v>
      </c>
    </row>
    <row r="103">
      <c r="E103" t="str">
        <v>Incertidumbre Volumen Indicado en el cuello R.V.M.</v>
      </c>
      <c r="I103" t="str">
        <v>µCVx</v>
      </c>
      <c r="K103">
        <f>T99</f>
        <v>0.0008225109500973994</v>
      </c>
      <c r="M103" t="str">
        <v>∞</v>
      </c>
      <c r="O103" t="str">
        <v>Rectangular</v>
      </c>
      <c r="Q103">
        <f>AVERAGE(K53:S53)/POWER(K52,2)</f>
        <v>0.18970932706690696</v>
      </c>
      <c r="T103">
        <f>K103*Q103</f>
        <v>0.00015603799884813995</v>
      </c>
    </row>
    <row r="104">
      <c r="Q104" t="str">
        <v>µcex</v>
      </c>
      <c r="T104">
        <f>SQRT(SUMSQ(T101:V103))</f>
        <v>0.0016394357515781355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0.0007388621584941674</v>
      </c>
      <c r="M106">
        <v>2</v>
      </c>
      <c r="O106" t="str">
        <v>Normal</v>
      </c>
      <c r="Q106">
        <v>1</v>
      </c>
      <c r="T106">
        <f>K106*Q106</f>
        <v>0.0007388621584941674</v>
      </c>
    </row>
    <row r="107">
      <c r="E107" t="str">
        <v>Correcciòn por repetibilidad</v>
      </c>
      <c r="I107" t="str">
        <v>ᵟEx</v>
      </c>
      <c r="K107">
        <f>T104</f>
        <v>0.0016394357515781355</v>
      </c>
      <c r="M107" t="str">
        <v>∞</v>
      </c>
      <c r="O107" t="str">
        <v>Normal</v>
      </c>
      <c r="Q107">
        <v>1</v>
      </c>
      <c r="T107">
        <f>K107*Q107</f>
        <v>0.0016394357515781355</v>
      </c>
    </row>
    <row r="108">
      <c r="Q108" t="str">
        <v>µcexav</v>
      </c>
      <c r="T108">
        <f>SQRT(SUMSQ(T106:V107))</f>
        <v>0.0017982399374964473</v>
      </c>
    </row>
    <row r="110">
      <c r="M110">
        <v>2</v>
      </c>
      <c r="O110">
        <f>T108*M110</f>
        <v>0.0035964798749928946</v>
      </c>
      <c r="S110">
        <f>O110</f>
        <v>0.0035964798749928946</v>
      </c>
    </row>
    <row r="111">
      <c r="V111">
        <f>S110</f>
        <v>0.0035964798749928946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4.74666666666667</v>
      </c>
      <c r="H129">
        <f>IF(D21=2,AVERAGE(K52:N52),IF(D21=3,AVERAGE(K52:P52),IF(D21=4,AVERAGE(K52:R52),IF(D21=5,AVERAGE(K52:T52),IF(D21=6,AVERAGE(K52:V52))))))</f>
        <v>5.002543824054201</v>
      </c>
      <c r="K129">
        <f>IF(D21=2,AVERAGE(K25:N25),IF(D21=3,AVERAGE(K25:P25),IF(D21=4,AVERAGE(K25:R25),IF(D21=5,AVERAGE(K25:T25),IF(D21=6,AVERAGE(K25:V25))))))</f>
        <v>790</v>
      </c>
      <c r="M129">
        <f>(H37/(K37/60))*60</f>
        <v>22.79640223619636</v>
      </c>
      <c r="O129">
        <f>ROUND(K133,LEN(O133)-IF(ISERROR(FIND(",",K133)),LEN(K133),FIND(",",K133)))</f>
        <v>-5.11492953174375</v>
      </c>
      <c r="Q129">
        <f>Q133</f>
        <v>0.35964798749928945</v>
      </c>
      <c r="S129">
        <f>ROUND(M133,LEN(U133)-IF(ISERROR(FIND(",",U133)),LEN(U133),FIND(",",U133)))</f>
        <v>0.255877157387531</v>
      </c>
      <c r="U129">
        <f>S133</f>
        <v>0.0035964798749928946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F133">
        <f>K133</f>
        <v>-5.114929531743747</v>
      </c>
      <c r="K133">
        <f>IF(D21=2,AVERAGE(K59:N59),IF(D21=3,AVERAGE(K59:P59),IF(D21=4,AVERAGE(K59:R59),IF(D21=5,AVERAGE(K59:T59),IF(D21=6,AVERAGE(K59:V59))))))*100</f>
        <v>-5.114929531743747</v>
      </c>
      <c r="M133">
        <f>AVERAGE(ABS(K52-K53),ABS(M52-M53),ABS(O52-O53))</f>
        <v>0.2558771573875311</v>
      </c>
      <c r="O133">
        <f>Q133</f>
        <v>0.35964798749928945</v>
      </c>
      <c r="Q133">
        <f>IF((S110*100)&lt;VLOOKUP(O20,CMC_2,9,FALSE),VLOOKUP(O20,CMC_2,9,FALSE),S110*100)</f>
        <v>0.35964798749928945</v>
      </c>
      <c r="S133">
        <f>O110</f>
        <v>0.0035964798749928946</v>
      </c>
      <c r="U133">
        <f>S133</f>
        <v>0.0035964798749928946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Q96:S96"/>
    <mergeCell ref="T96:V96"/>
    <mergeCell ref="E95:H95"/>
    <mergeCell ref="I95:J95"/>
    <mergeCell ref="K95:L95"/>
    <mergeCell ref="M95:N95"/>
    <mergeCell ref="O95:P95"/>
    <mergeCell ref="Q95:S95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Q92:S92"/>
    <mergeCell ref="T92:V92"/>
    <mergeCell ref="E91:H91"/>
    <mergeCell ref="I91:J91"/>
    <mergeCell ref="K91:L91"/>
    <mergeCell ref="M91:N91"/>
    <mergeCell ref="O91:P91"/>
    <mergeCell ref="Q91:S91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T86:V86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Q85:S85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T79:V79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Q75:S75"/>
    <mergeCell ref="T75:V75"/>
    <mergeCell ref="E74:H74"/>
    <mergeCell ref="I74:J74"/>
    <mergeCell ref="K74:L74"/>
    <mergeCell ref="M74:N74"/>
    <mergeCell ref="O74:P74"/>
    <mergeCell ref="Q74:S74"/>
    <mergeCell ref="T72:V72"/>
    <mergeCell ref="E73:H73"/>
    <mergeCell ref="I73:J73"/>
    <mergeCell ref="K73:L73"/>
    <mergeCell ref="M73:N73"/>
    <mergeCell ref="O73:P73"/>
    <mergeCell ref="Q73:S73"/>
    <mergeCell ref="T73:V73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E69:H69"/>
    <mergeCell ref="I69:J69"/>
    <mergeCell ref="K69:L69"/>
    <mergeCell ref="M69:N69"/>
    <mergeCell ref="O69:P69"/>
    <mergeCell ref="Q69:S69"/>
    <mergeCell ref="E67:V67"/>
    <mergeCell ref="E68:H68"/>
    <mergeCell ref="I68:J68"/>
    <mergeCell ref="K68:L68"/>
    <mergeCell ref="M68:N68"/>
    <mergeCell ref="O68:P68"/>
    <mergeCell ref="Q68:S68"/>
    <mergeCell ref="T68:V68"/>
    <mergeCell ref="C62:I62"/>
    <mergeCell ref="E65:V65"/>
    <mergeCell ref="E66:J66"/>
    <mergeCell ref="K66:L66"/>
    <mergeCell ref="M66:N66"/>
    <mergeCell ref="O66:P66"/>
    <mergeCell ref="Q66:S66"/>
    <mergeCell ref="T66:V66"/>
    <mergeCell ref="S58:T58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U56:V56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5:V55"/>
    <mergeCell ref="E54:H54"/>
    <mergeCell ref="I54:J54"/>
    <mergeCell ref="K54:L54"/>
    <mergeCell ref="M54:N54"/>
    <mergeCell ref="O54:P54"/>
    <mergeCell ref="Q54:R54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2:H52"/>
    <mergeCell ref="I52:J52"/>
    <mergeCell ref="K52:L52"/>
    <mergeCell ref="M52:N52"/>
    <mergeCell ref="O52:P52"/>
    <mergeCell ref="Q52:R52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0:H50"/>
    <mergeCell ref="I50:J50"/>
    <mergeCell ref="K50:L50"/>
    <mergeCell ref="M50:N50"/>
    <mergeCell ref="O50:P50"/>
    <mergeCell ref="Q50:R50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8:H48"/>
    <mergeCell ref="I48:J48"/>
    <mergeCell ref="K48:L48"/>
    <mergeCell ref="M48:N48"/>
    <mergeCell ref="O48:P48"/>
    <mergeCell ref="Q48:R48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6:H46"/>
    <mergeCell ref="I46:J46"/>
    <mergeCell ref="K46:L46"/>
    <mergeCell ref="M46:N46"/>
    <mergeCell ref="O46:P46"/>
    <mergeCell ref="Q46:R46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4:H44"/>
    <mergeCell ref="I44:J44"/>
    <mergeCell ref="K44:L44"/>
    <mergeCell ref="M44:N44"/>
    <mergeCell ref="O44:P44"/>
    <mergeCell ref="Q44:R44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U30:V30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F28:J28"/>
    <mergeCell ref="K28:L28"/>
    <mergeCell ref="M28:N28"/>
    <mergeCell ref="O28:P28"/>
    <mergeCell ref="Q28:R28"/>
    <mergeCell ref="S28:T28"/>
    <mergeCell ref="S23:T23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K25:L25"/>
    <mergeCell ref="M25:N25"/>
    <mergeCell ref="O25:P25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O17:P17"/>
    <mergeCell ref="Q17:R17"/>
    <mergeCell ref="S21:T21"/>
    <mergeCell ref="U23:V23"/>
    <mergeCell ref="U21:V21"/>
    <mergeCell ref="S22:T22"/>
    <mergeCell ref="U22:V22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F23:J23"/>
    <mergeCell ref="M26:N26"/>
    <mergeCell ref="O26:P26"/>
    <mergeCell ref="Q26:R26"/>
    <mergeCell ref="S26:T26"/>
    <mergeCell ref="U24:V24"/>
    <mergeCell ref="F25:J25"/>
    <mergeCell ref="C10:W10"/>
    <mergeCell ref="D15:V15"/>
    <mergeCell ref="D16:F16"/>
    <mergeCell ref="G16:I16"/>
    <mergeCell ref="M16:N16"/>
    <mergeCell ref="O16:P16"/>
    <mergeCell ref="Q16:R16"/>
    <mergeCell ref="M17:N17"/>
    <mergeCell ref="D21:J21"/>
    <mergeCell ref="K21:L21"/>
    <mergeCell ref="M21:N21"/>
    <mergeCell ref="O21:P21"/>
    <mergeCell ref="Q21:R21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U16:V16"/>
  </mergeCells>
  <pageMargins left="0.19652777777777777" right="0.19652777777777777" top="0.19652777777777777" bottom="0.19652777777777777" header="0.5118055555555555" footer="0.19652777777777777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f>F18</f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f>'Error e Incer Q1'!A6</f>
        <v>5</v>
      </c>
      <c r="H18">
        <v>0</v>
      </c>
      <c r="J18">
        <v>0.0013</v>
      </c>
      <c r="L18">
        <v>0.002</v>
      </c>
      <c r="N18">
        <v>0</v>
      </c>
      <c r="P18">
        <v>0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0.001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0.002</v>
      </c>
      <c r="P22">
        <v>0.001</v>
      </c>
    </row>
    <row r="26">
      <c r="F26" t="str">
        <v>Correciones R.V.M. Q2</v>
      </c>
    </row>
    <row r="29">
      <c r="F29" t="str">
        <v>Recipiente Volumetrico Metalico</v>
      </c>
      <c r="J29">
        <v>10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100</v>
      </c>
      <c r="H33">
        <v>0</v>
      </c>
      <c r="J33">
        <v>0.027</v>
      </c>
      <c r="L33">
        <v>0.01</v>
      </c>
      <c r="N33">
        <v>0</v>
      </c>
      <c r="P33">
        <v>0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0.007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0.007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50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v>50</v>
      </c>
      <c r="H48">
        <v>0</v>
      </c>
      <c r="J48">
        <v>0.011</v>
      </c>
      <c r="L48">
        <v>0.05</v>
      </c>
      <c r="N48">
        <v>0</v>
      </c>
      <c r="P48">
        <v>0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0.032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0.033</v>
      </c>
      <c r="P52">
        <v>0.001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0.071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1.2359999999999998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3.078</v>
      </c>
      <c r="P67">
        <v>1.842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 t="e">
        <f>MAX(#REF!)</f>
        <v>#REF!</v>
      </c>
      <c r="N79" t="e">
        <f>MIN(#REF!)</f>
        <v>#REF!</v>
      </c>
      <c r="P79" t="e">
        <f>L79-N79</f>
        <v>#REF!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 t="e">
        <f>MAX(#REF!)</f>
        <v>#REF!</v>
      </c>
      <c r="N106" t="e">
        <f>MIN(#REF!)</f>
        <v>#REF!</v>
      </c>
      <c r="P106" t="e">
        <f>L106-N106</f>
        <v>#REF!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>
        <f>MAX('Error e Incer Q1'!K29:U30)</f>
        <v>116.2</v>
      </c>
      <c r="N125">
        <v>214.8</v>
      </c>
      <c r="P125">
        <f>L125-N125</f>
        <v>-98.60000000000001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 t="e">
        <f>MAX(#REF!)</f>
        <v>#REF!</v>
      </c>
      <c r="N133" t="e">
        <f>MIN(#REF!)</f>
        <v>#REF!</v>
      </c>
      <c r="P133" t="e">
        <f>L133-N133</f>
        <v>#REF!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 t="str">
        <v>N.A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B168:G168"/>
    <mergeCell ref="H168:J168"/>
    <mergeCell ref="K168:P168"/>
    <mergeCell ref="Q168:T168"/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F155:L155"/>
    <mergeCell ref="N155:P155"/>
    <mergeCell ref="F131:J133"/>
    <mergeCell ref="F137:P137"/>
    <mergeCell ref="F140:L140"/>
    <mergeCell ref="N140:P140"/>
    <mergeCell ref="F142:L142"/>
    <mergeCell ref="N142:P142"/>
    <mergeCell ref="F117:L117"/>
    <mergeCell ref="N117:P117"/>
    <mergeCell ref="J119:J121"/>
    <mergeCell ref="L119:L121"/>
    <mergeCell ref="F123:J125"/>
    <mergeCell ref="F157:L157"/>
    <mergeCell ref="N157:P157"/>
    <mergeCell ref="F159:L159"/>
    <mergeCell ref="N159:P159"/>
    <mergeCell ref="F144:L144"/>
    <mergeCell ref="N144:P144"/>
    <mergeCell ref="F148:P148"/>
    <mergeCell ref="F151:L151"/>
    <mergeCell ref="N151:P151"/>
    <mergeCell ref="F153:L153"/>
    <mergeCell ref="N153:P153"/>
    <mergeCell ref="F127:J129"/>
    <mergeCell ref="F104:J106"/>
    <mergeCell ref="F110:P110"/>
    <mergeCell ref="F113:L113"/>
    <mergeCell ref="N113:P113"/>
    <mergeCell ref="F115:L115"/>
    <mergeCell ref="N115:P115"/>
    <mergeCell ref="F100:J102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73:J75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44:H44"/>
    <mergeCell ref="N44:P44"/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</mergeCells>
  <pageMargins left="0.7" right="0.7" top="0.75" bottom="0.75" header="0.5118055555555555" footer="0.5118055555555555"/>
  <ignoredErrors>
    <ignoredError numberStoredAsText="1" sqref="B1:T173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e Incer Q1</vt:lpstr>
      <vt:lpstr>Constantes y Trazabilidad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2020-03-31T13:59:58Z</dcterms:created>
  <dcterms:modified xsi:type="dcterms:W3CDTF">2020-04-22T09:12:06Z</dcterms:modified>
  <cp:lastModifiedBy>Javier Cordero</cp:lastModifiedBy>
  <dc:creator>Javier Cordero</dc:creator>
</cp:coreProperties>
</file>