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3" sheetId="1" r:id="rId1"/>
    <sheet name="Constantes y Trazabilidad" sheetId="2" r:id="rId2"/>
    <sheet name="WaterTools" sheetId="3" r:id="rId3"/>
  </sheets>
  <definedNames>
    <definedName name="_xlnm.Print_Area" localSheetId="0">'Error e Incer Q3'!$A$1:$X$148</definedName>
    <definedName name="CMC_2">'Constantes y Trazabilidad'!$F$148:$P$159</definedName>
    <definedName name="_xlnm.Print_Titles" localSheetId="0">'Error e Incer Q3'!$9:$11</definedName>
    <definedName name="Z_454BB076_C9CB_4D45_9CEE_12C12D8EB887__wvu_PrintArea" localSheetId="0">'Error e Incer Q3'!#REF!</definedName>
    <definedName name="Z_454BB076_C9CB_4D45_9CEE_12C12D8EB887__wvu_PrintTitles" localSheetId="0">'Error e Incer Q3'!$126:$131</definedName>
    <definedName name="Z_9BA0BB8A_07EA_4416_9146_818AD1CE01E3__wvu_PrintArea" localSheetId="0">'Error e Incer Q3'!#REF!</definedName>
    <definedName name="Z_9BA0BB8A_07EA_4416_9146_818AD1CE01E3__wvu_PrintTitles" localSheetId="0">'Error e Incer Q3'!$126:$131</definedName>
    <definedName name="Z_D1943692_0A5A_44B1_9D88_C81004AF3758__wvu_PrintArea" localSheetId="0">'Error e Incer Q3'!#REF!</definedName>
    <definedName name="Z_D1943692_0A5A_44B1_9D88_C81004AF3758__wvu_PrintTitles" localSheetId="0">'Error e Incer Q3'!$126:$131</definedName>
    <definedName name="Z_EF15CB4F_156D_4025_963F_1D8988A89211__wvu_PrintArea" localSheetId="0">'Error e Incer Q3'!#REF!</definedName>
    <definedName name="Z_EF15CB4F_156D_4025_963F_1D8988A89211__wvu_PrintTitles" localSheetId="0">'Error e Incer Q3'!$126:$131</definedName>
    <definedName name="Z_F926F444_6485_4FEB_B085_C1D1BCD61DF8__wvu_PrintArea" localSheetId="0">'Error e Incer Q3'!#REF!</definedName>
    <definedName name="Z_F926F444_6485_4FEB_B085_C1D1BCD61DF8__wvu_PrintTitles" localSheetId="0">'Error e Incer Q3'!$126:$131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Valore del instrumento EQ-050</t>
      </text>
    </comment>
    <comment ref="P67" authorId="0">
      <text>
        <t>Valor del instrumento EQ-050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79" authorId="0">
      <text>
        <t xml:space="preserve">Valor anterior: 20,07
Se estaba utilizando el valor de Q2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Q3</v>
      </c>
      <c r="P1" t="str">
        <v>CODIGO : LCM-FOR-060</v>
      </c>
    </row>
    <row r="2">
      <c r="P2" t="str">
        <v>FECHA : 2016 ABRIL 30</v>
      </c>
    </row>
    <row r="3">
      <c r="P3" t="str">
        <v>PAGINA :       1   de   1</v>
      </c>
    </row>
    <row r="6">
      <c r="A6">
        <v>100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Q3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 xml:space="preserve">AQUAFORJAS </v>
      </c>
      <c r="G17">
        <v>1500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Q3</v>
      </c>
    </row>
    <row r="20">
      <c r="D20" t="str">
        <v>Numero de Pruebas</v>
      </c>
      <c r="K20" t="str">
        <v>Recipiente Volumétrico</v>
      </c>
      <c r="O20">
        <v>100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413.97</v>
      </c>
      <c r="M22">
        <v>512.32</v>
      </c>
      <c r="O22">
        <v>611.47</v>
      </c>
    </row>
    <row r="23">
      <c r="F23" t="str">
        <v>Lect. Inicial</v>
      </c>
      <c r="K23">
        <v>315.76</v>
      </c>
      <c r="M23">
        <v>413.97</v>
      </c>
      <c r="O23">
        <v>512.32</v>
      </c>
    </row>
    <row r="24">
      <c r="F24" t="str">
        <v>Vol. R.V.M.</v>
      </c>
      <c r="K24">
        <v>100.015</v>
      </c>
      <c r="M24">
        <v>100.01</v>
      </c>
      <c r="O24">
        <v>100.02</v>
      </c>
    </row>
    <row r="25">
      <c r="F25" t="str">
        <v>Tiempo</v>
      </c>
      <c r="K25">
        <v>237</v>
      </c>
      <c r="M25">
        <v>237</v>
      </c>
      <c r="O25">
        <v>237</v>
      </c>
    </row>
    <row r="26">
      <c r="F26" t="str">
        <v>Temp. Agua Inicial</v>
      </c>
      <c r="K26">
        <v>25.05</v>
      </c>
      <c r="M26">
        <v>25.17</v>
      </c>
      <c r="O26">
        <v>25.3</v>
      </c>
    </row>
    <row r="27">
      <c r="F27" t="str">
        <v>Temp. Agua Final</v>
      </c>
      <c r="K27">
        <v>25.05</v>
      </c>
      <c r="M27">
        <v>25.17</v>
      </c>
      <c r="O27">
        <v>25.3</v>
      </c>
    </row>
    <row r="28">
      <c r="F28" t="str">
        <v>Temp. Agua R.V.M.</v>
      </c>
      <c r="K28">
        <v>24.1</v>
      </c>
      <c r="M28">
        <v>24.64</v>
      </c>
      <c r="O28">
        <v>24.2</v>
      </c>
    </row>
    <row r="29">
      <c r="F29" t="str">
        <v xml:space="preserve">Presión Maxima </v>
      </c>
      <c r="K29">
        <v>371.8</v>
      </c>
      <c r="M29">
        <v>371.4</v>
      </c>
      <c r="O29">
        <v>371.6</v>
      </c>
    </row>
    <row r="30">
      <c r="F30" t="str">
        <v>Presión Minima</v>
      </c>
      <c r="K30">
        <v>98.7</v>
      </c>
      <c r="M30">
        <v>98.6</v>
      </c>
      <c r="O30">
        <v>98.6</v>
      </c>
    </row>
    <row r="33">
      <c r="E33" t="str">
        <v>RESULTADOS DE LA MEDICIÓN PROMEDIO Q3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98.57000000000001</v>
      </c>
      <c r="H37">
        <f>H129</f>
        <v>100.02408165704861</v>
      </c>
      <c r="K37">
        <f>K129</f>
        <v>237</v>
      </c>
      <c r="M37">
        <f>M129</f>
        <v>1519.3531390944092</v>
      </c>
      <c r="O37">
        <f>O129</f>
        <v>-1.45373944727429</v>
      </c>
      <c r="Q37">
        <f>Q129</f>
        <v>0.584019752316848</v>
      </c>
      <c r="S37">
        <f>S129</f>
        <v>-1.4540816570486</v>
      </c>
      <c r="U37">
        <f>U129</f>
        <v>0.00584019752316848</v>
      </c>
    </row>
    <row r="38">
      <c r="F38">
        <f>E37</f>
        <v>98.57000000000001</v>
      </c>
      <c r="I38">
        <f>H37</f>
        <v>100.02408165704861</v>
      </c>
      <c r="O38">
        <f>O37</f>
        <v>-1.45373944727429</v>
      </c>
    </row>
    <row r="42">
      <c r="E42" t="str">
        <v>Q3</v>
      </c>
    </row>
    <row r="43">
      <c r="E43" t="str">
        <v>Volumen Indicado en el cuello R.V.M.</v>
      </c>
      <c r="I43" t="str">
        <v>Vis</v>
      </c>
      <c r="K43">
        <f>IF(ISNUMBER(K21),'Constantes y Trazabilidad'!$F$48,"")</f>
        <v>100</v>
      </c>
      <c r="M43">
        <f>IF(ISNUMBER(M21),'Constantes y Trazabilidad'!$F$48,"")</f>
        <v>100</v>
      </c>
      <c r="O43">
        <f>IF(ISNUMBER(O21),'Constantes y Trazabilidad'!$F$48,"")</f>
        <v>100</v>
      </c>
      <c r="Q43" t="str">
        <f>IF(ISNUMBER(Q21),'Constantes y Trazabilidad'!$F$48,"")</f>
        <v/>
      </c>
      <c r="S43" t="str">
        <f>IF(ISNUMBER(S21),'Constantes y Trazabilidad'!$F$48,"")</f>
        <v/>
      </c>
      <c r="U43">
        <f>AVERAGE(K43:T43)</f>
        <v>100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Trazabilidad'!$N$48/'Constantes y Trazabilidad'!$L$48),"")</f>
        <v>0</v>
      </c>
      <c r="M44">
        <f>IF(ISNUMBER(M21),(M24-M43)*('Constantes y Trazabilidad'!$N$48/'Constantes y Trazabilidad'!$L$48),"")</f>
        <v>0</v>
      </c>
      <c r="O44">
        <f>IF(ISNUMBER(O21),(O24-O43)*('Constantes y Trazabilidad'!$N$48/'Constantes y Trazabilidad'!$L$48),"")</f>
        <v>0</v>
      </c>
      <c r="Q44" t="str">
        <f>IF(ISNUMBER(Q21),(Q24-Q43)*('Constantes y Trazabilidad'!$N$48/'Constantes y Trazabilidad'!$L$48),"")</f>
        <v/>
      </c>
      <c r="S44" t="str">
        <f>IF(ISNUMBER(S21),(S24-S43)*('Constantes y Trazabilidad'!$N$48/'Constantes y Trazabilidad'!$L$48),"")</f>
        <v/>
      </c>
      <c r="U44">
        <f>AVERAGE(K44:T44)</f>
        <v>0</v>
      </c>
    </row>
    <row r="45">
      <c r="E45" t="str">
        <v>Coeficiente de expansiòn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24.1</v>
      </c>
      <c r="M46">
        <f>IF(ISNUMBER(M21),M28,"")</f>
        <v>24.64</v>
      </c>
      <c r="O46">
        <f>IF(ISNUMBER(O21),O28,"")</f>
        <v>24.2</v>
      </c>
      <c r="Q46" t="str">
        <f>IF(ISNUMBER(Q21),Q28,"")</f>
        <v/>
      </c>
      <c r="S46" t="str">
        <f>IF(ISNUMBER(S21),S28,"")</f>
        <v/>
      </c>
      <c r="U46">
        <f>AVERAGE(K46:T46)</f>
        <v>24.313333333333333</v>
      </c>
    </row>
    <row r="47">
      <c r="E47" t="str">
        <v>Coeficiente Expansiòn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25.05</v>
      </c>
      <c r="M48">
        <f>IF(ISNUMBER(M21),AVERAGE(M26:N27),"")</f>
        <v>25.17</v>
      </c>
      <c r="O48">
        <f>IF(ISNUMBER(O21),AVERAGE(O26:P27),"")</f>
        <v>25.3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25.173333333333332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235.25</v>
      </c>
      <c r="M50">
        <f>IF(ISNUMBER(M21),AVERAGE(M29:N30),"")</f>
        <v>235</v>
      </c>
      <c r="O50">
        <f>IF(ISNUMBER(O21),AVERAGE(O29:P30),"")</f>
        <v>235.10000000000002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235.11666666666667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100.02433767451315</v>
      </c>
      <c r="M52">
        <f>(M43+M44)*(1+M45*(M46-20))*(1+M47*(M48-M46))*(1-M49*(M50-M51))</f>
        <v>100.02080246361122</v>
      </c>
      <c r="O52">
        <f>IF(ISNUMBER(O21),(O43+O44)*(1+O45*(O46-20))*(1+O47*(O48-O46))*(1-O49*(O50-O51)),"")</f>
        <v>100.02710483302147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IF(ISNUMBER(U21),(U43+U44)*(1+U45*(U46-20))*(1+U47*(U48-U46))*(1-U49*(U50-U51)),"")</f>
        <v>100.02408169642176</v>
      </c>
    </row>
    <row r="53">
      <c r="E53" t="str">
        <v>Volumen indicado Medidor</v>
      </c>
      <c r="I53" t="str">
        <v>∆Vix</v>
      </c>
      <c r="K53">
        <f>IF(ISNUMBER(K21),K22-K23,"")</f>
        <v>98.21000000000004</v>
      </c>
      <c r="M53">
        <f>IF(ISNUMBER(M21),M22-M23,"")</f>
        <v>98.35000000000002</v>
      </c>
      <c r="O53">
        <f>IF(ISNUMBER(O21),O22-O23,"")</f>
        <v>99.14999999999998</v>
      </c>
      <c r="Q53" t="str">
        <f>IF(ISNUMBER(Q21),Q22-Q23,"")</f>
        <v/>
      </c>
      <c r="S53" t="str">
        <f>IF(ISNUMBER(S21),S22-S23,"")</f>
        <v/>
      </c>
      <c r="U53">
        <f>AVERAGE(K53:T53)</f>
        <v>98.57000000000001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U55">
        <v>0</v>
      </c>
    </row>
    <row r="56">
      <c r="E56" t="str">
        <v>Error promedio</v>
      </c>
      <c r="I56" t="str">
        <v>ex</v>
      </c>
      <c r="K56">
        <f>IF(ISNUMBER(K21),((K53+K55-K54)/K52)-1,"")</f>
        <v>-0.018138962143564585</v>
      </c>
      <c r="M56">
        <f>IF(ISNUMBER(M21),((M53+M55-M54)/M52)-1,"")</f>
        <v>-0.016704549678243752</v>
      </c>
      <c r="O56">
        <f>IF(ISNUMBER(O21),((O53+O55-O54)/O52)-1,"")</f>
        <v>-0.008768671596420474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-0.014537316131878808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-0.018138962143564585</v>
      </c>
      <c r="M58">
        <f>M56+M57</f>
        <v>-0.016704549678243752</v>
      </c>
      <c r="O58">
        <f>IF(ISNUMBER(O21),O56+O57,"")</f>
        <v>-0.008768671596420474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-0.014537316131878808</v>
      </c>
    </row>
    <row r="59">
      <c r="E59" t="str">
        <v>Erorr promedio %</v>
      </c>
      <c r="K59">
        <f>K58</f>
        <v>-0.018138962143564585</v>
      </c>
      <c r="M59">
        <f>M58</f>
        <v>-0.016704549678243752</v>
      </c>
      <c r="O59">
        <f>O58</f>
        <v>-0.008768671596420474</v>
      </c>
      <c r="Q59" t="str">
        <f>IF(ISNUMBER(Q21),Q58,"")</f>
        <v/>
      </c>
      <c r="S59" t="str">
        <f>IF(ISNUMBER(S21),S58,"")</f>
        <v/>
      </c>
      <c r="U59">
        <f>U58</f>
        <v>-0.014537316131878808</v>
      </c>
    </row>
    <row r="62">
      <c r="C62" t="str">
        <v>Volver Arriba ►</v>
      </c>
    </row>
    <row r="65">
      <c r="E65" t="str">
        <v>Q3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Trazabilidad'!$J$48/'Constantes y Trazabilidad'!$F$52</f>
        <v>0.0165</v>
      </c>
      <c r="M68" t="str">
        <v>∞</v>
      </c>
      <c r="O68" t="str">
        <v>Factor de Cobertura</v>
      </c>
      <c r="Q68">
        <v>1</v>
      </c>
      <c r="T68">
        <f>K68*Q68</f>
        <v>0.0165</v>
      </c>
    </row>
    <row r="69">
      <c r="E69" t="str">
        <v>Deriva Volumen Indicado en el cuello R.V.M.</v>
      </c>
      <c r="I69" t="str">
        <v>DVe</v>
      </c>
      <c r="K69">
        <f>'Constantes y Trazabilidad'!$L$50/(2*SQRT(3))</f>
        <v>0</v>
      </c>
      <c r="M69" t="str">
        <v>∞</v>
      </c>
      <c r="O69" t="str">
        <v>Rectangular</v>
      </c>
      <c r="Q69">
        <v>1</v>
      </c>
      <c r="T69">
        <f>K69*Q69</f>
        <v>0</v>
      </c>
    </row>
    <row r="70">
      <c r="Q70" t="str">
        <v>µcVs</v>
      </c>
      <c r="T70">
        <f>SQRT(SUMSQ(T68:V69))</f>
        <v>0.0165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0.0445</v>
      </c>
      <c r="M72" t="str">
        <v>∞</v>
      </c>
      <c r="O72" t="str">
        <v>Factor de Cobertura</v>
      </c>
      <c r="Q72">
        <v>1</v>
      </c>
      <c r="T72">
        <f>K72*Q72</f>
        <v>0.0445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0.14982239485470786</v>
      </c>
      <c r="M74" t="str">
        <v>∞</v>
      </c>
      <c r="O74" t="str">
        <v>Rectangular</v>
      </c>
      <c r="Q74">
        <v>1</v>
      </c>
      <c r="T74">
        <f>K74*Q74</f>
        <v>0.14982239485470786</v>
      </c>
    </row>
    <row r="75">
      <c r="E75" t="str">
        <v>Temperatura medida en el R.V.M. Tmax-Tmin</v>
      </c>
      <c r="I75" t="str">
        <v>Δts</v>
      </c>
      <c r="K75">
        <f>('Constantes y Trazabilidad'!$P$79/(2*SQRT(3)))</f>
        <v>0.1558845726811987</v>
      </c>
      <c r="M75" t="str">
        <v>∞</v>
      </c>
      <c r="O75" t="str">
        <v>Rectangular</v>
      </c>
      <c r="Q75">
        <v>1</v>
      </c>
      <c r="T75">
        <f>K75*Q75</f>
        <v>0.1558845726811987</v>
      </c>
    </row>
    <row r="76">
      <c r="Q76" t="str">
        <v>µcts</v>
      </c>
      <c r="T76">
        <f>SQRT(SUMSQ(T72:V75))</f>
        <v>0.2207608057000455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Trazabilidad'!P106/(2*SQRT(3)))</f>
        <v>0.07216878364870323</v>
      </c>
      <c r="M81" t="str">
        <v>∞</v>
      </c>
      <c r="O81" t="str">
        <v>Rectangular</v>
      </c>
      <c r="Q81">
        <v>1</v>
      </c>
      <c r="T81">
        <f>K81*Q81</f>
        <v>0.07216878364870323</v>
      </c>
    </row>
    <row r="82">
      <c r="Q82" t="str">
        <v>µctx</v>
      </c>
      <c r="T82">
        <f>SQRT(SUMSQ(T78:V81))</f>
        <v>0.1502855615154031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Trazabilidad'!$P$133/(2*SQRT(3)))</f>
        <v>78.86604677130289</v>
      </c>
      <c r="M87" t="str">
        <v>∞</v>
      </c>
      <c r="O87" t="str">
        <v>Rectangular</v>
      </c>
      <c r="Q87">
        <v>1</v>
      </c>
      <c r="T87">
        <f>K87*Q87</f>
        <v>78.86604677130289</v>
      </c>
    </row>
    <row r="88">
      <c r="Q88" t="str">
        <v>µcPx</v>
      </c>
      <c r="T88">
        <f>SQRT(SUMSQ(T84:V87))</f>
        <v>78.87209780532683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0.0165</v>
      </c>
      <c r="M90" t="str">
        <v>∞</v>
      </c>
      <c r="O90" t="str">
        <v>Factor de Cobertura</v>
      </c>
      <c r="Q90">
        <f>(1+U45*(U46-20))*(1+U47*(U48-U46))*(1-U49*(U50-U51))</f>
        <v>1.0002408169642176</v>
      </c>
      <c r="T90">
        <f>K90*Q90</f>
        <v>0.016503973479909593</v>
      </c>
    </row>
    <row r="91">
      <c r="E91" t="str">
        <v>Correcciòn por resoluciòn de la Escala</v>
      </c>
      <c r="I91" t="str">
        <v>ᵟVis</v>
      </c>
      <c r="K91">
        <f>SQRT((ABS(('Constantes y Trazabilidad'!$F$48-(AVERAGE(K24:V24)))/'Constantes y Trazabilidad'!$L$48))*(POWER('Constantes y Trazabilidad'!$P$48/SQRT(3),2)))</f>
        <v>0.0006071573107523403</v>
      </c>
      <c r="M91" t="str">
        <v>∞</v>
      </c>
      <c r="O91" t="str">
        <v>Rectangular</v>
      </c>
      <c r="Q91">
        <f>(1+U45*(U46-20))*(1+U47*(U48-U46))*(1-U49*(U50-U51))</f>
        <v>1.0002408169642176</v>
      </c>
      <c r="T91">
        <f>K91*Q91</f>
        <v>0.0006073035245327183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431.3423190338914</v>
      </c>
      <c r="T92">
        <f>K92*Q92</f>
        <v>0.00012451780200354733</v>
      </c>
    </row>
    <row r="93">
      <c r="E93" t="str">
        <v>Temperatura medida en el R.V.M.</v>
      </c>
      <c r="I93" t="str">
        <v>ts</v>
      </c>
      <c r="K93">
        <f>T76</f>
        <v>0.2207608057000455</v>
      </c>
      <c r="M93" t="str">
        <v>∞</v>
      </c>
      <c r="O93" t="str">
        <v>Factor de Cobertura</v>
      </c>
      <c r="Q93">
        <f>(U43+U44)*(1-U49*(U50-U51))*(-U47+U45*(1+U47*(U48-(2*U46)+20)))</f>
        <v>-0.00990157079297964</v>
      </c>
      <c r="T93">
        <f>K93*Q93</f>
        <v>-0.0021858787459542238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86.00961501858525</v>
      </c>
      <c r="T94">
        <f>K94*Q94</f>
        <v>0.002482883719193814</v>
      </c>
    </row>
    <row r="95">
      <c r="E95" t="str">
        <v>Temperatura medida en la Linea de Medidores</v>
      </c>
      <c r="I95" t="str">
        <v>tx</v>
      </c>
      <c r="K95">
        <f>T82</f>
        <v>0.1502855615154031</v>
      </c>
      <c r="M95" t="str">
        <v>∞</v>
      </c>
      <c r="O95" t="str">
        <v>Factor de Cobertura</v>
      </c>
      <c r="Q95">
        <f>(U43+U44)*(1+U45*(U46-20))*(U47)*(1-U49*(U50-U51))</f>
        <v>0.015001677038125343</v>
      </c>
      <c r="T95">
        <f>K95*Q95</f>
        <v>0.0022545354573473963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-23519.87243530044</v>
      </c>
      <c r="T96">
        <f>K96*Q96</f>
        <v>-0.00006789602340913185</v>
      </c>
    </row>
    <row r="97">
      <c r="E97" t="str">
        <v>Presión a la entrada de la linea</v>
      </c>
      <c r="I97" t="str">
        <v>Px</v>
      </c>
      <c r="K97">
        <f>T88</f>
        <v>78.87209780532683</v>
      </c>
      <c r="M97" t="str">
        <v>∞</v>
      </c>
      <c r="O97" t="str">
        <v>Factor de Cobertura</v>
      </c>
      <c r="Q97">
        <f>(U43+U44)*(1+U45*(U46-20))*(1+U47*(U48-U46))*(-U49)</f>
        <v>-0.00004601605438536132</v>
      </c>
      <c r="T97">
        <f>K97*Q97</f>
        <v>-0.003629382742097457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0.017377232214066864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0.009997592410146304</v>
      </c>
      <c r="T101">
        <f>K101*Q101</f>
        <v>0.00005772112669246128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-0.009997592410146304</v>
      </c>
      <c r="T102">
        <f>K102*Q102</f>
        <v>-0.00005772112669246128</v>
      </c>
    </row>
    <row r="103">
      <c r="E103" t="str">
        <v>Incertidumbre Volumen Indicado en el cuello R.V.M.</v>
      </c>
      <c r="I103" t="str">
        <v>µCVx</v>
      </c>
      <c r="K103">
        <f>T99</f>
        <v>0.017377232214066864</v>
      </c>
      <c r="M103" t="str">
        <v>∞</v>
      </c>
      <c r="O103" t="str">
        <v>Rectangular</v>
      </c>
      <c r="Q103">
        <f>AVERAGE(K53:S53)/POWER(K52,2)</f>
        <v>0.009852203821834838</v>
      </c>
      <c r="T103">
        <f>K103*Q103</f>
        <v>0.00017120403363234102</v>
      </c>
    </row>
    <row r="104">
      <c r="Q104" t="str">
        <v>µcex</v>
      </c>
      <c r="T104">
        <f>SQRT(SUMSQ(T101:V103))</f>
        <v>0.00018966886424840026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0.0029139324802302017</v>
      </c>
      <c r="M106">
        <v>2</v>
      </c>
      <c r="O106" t="str">
        <v>Normal</v>
      </c>
      <c r="Q106">
        <v>1</v>
      </c>
      <c r="T106">
        <f>K106*Q106</f>
        <v>0.0029139324802302017</v>
      </c>
    </row>
    <row r="107">
      <c r="E107" t="str">
        <v>Correcciòn por repetibilidad</v>
      </c>
      <c r="I107" t="str">
        <v>ᵟEx</v>
      </c>
      <c r="K107">
        <f>T104</f>
        <v>0.00018966886424840026</v>
      </c>
      <c r="M107" t="str">
        <v>∞</v>
      </c>
      <c r="O107" t="str">
        <v>Normal</v>
      </c>
      <c r="Q107">
        <v>1</v>
      </c>
      <c r="T107">
        <f>K107*Q107</f>
        <v>0.00018966886424840026</v>
      </c>
    </row>
    <row r="108">
      <c r="Q108" t="str">
        <v>µcexav</v>
      </c>
      <c r="T108">
        <f>SQRT(SUMSQ(T106:V107))</f>
        <v>0.00292009876158424</v>
      </c>
    </row>
    <row r="110">
      <c r="M110">
        <v>2</v>
      </c>
      <c r="O110">
        <f>T108*M110</f>
        <v>0.00584019752316848</v>
      </c>
      <c r="S110">
        <f>O110</f>
        <v>0.00584019752316848</v>
      </c>
    </row>
    <row r="111">
      <c r="V111">
        <f>S110</f>
        <v>0.00584019752316848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98.57000000000001</v>
      </c>
      <c r="H129">
        <f>IF(D21=2,AVERAGE(K52:N52),IF(D21=3,AVERAGE(K52:P52),IF(D21=4,AVERAGE(K52:R52),IF(D21=5,AVERAGE(K52:T52),IF(D21=6,AVERAGE(K52:V52))))))</f>
        <v>100.02408165704861</v>
      </c>
      <c r="K129">
        <f>IF(D21=2,AVERAGE(K25:N25),IF(D21=3,AVERAGE(K25:P25),IF(D21=4,AVERAGE(K25:R25),IF(D21=5,AVERAGE(K25:T25),IF(D21=6,AVERAGE(K25:V25))))))</f>
        <v>237</v>
      </c>
      <c r="M129">
        <f>(H37/(K37/60))*60</f>
        <v>1519.3531390944092</v>
      </c>
      <c r="O129">
        <f>ROUND(K133,LEN(O133)-IF(ISERROR(FIND(",",K133)),LEN(K133),FIND(",",K133)))</f>
        <v>-1.45373944727429</v>
      </c>
      <c r="Q129">
        <f>Q133</f>
        <v>0.584019752316848</v>
      </c>
      <c r="S129">
        <f>ROUND(M133,LEN(U133)-IF(ISERROR(FIND(",",U133)),LEN(U133),FIND(",",U133)))</f>
        <v>-1.4540816570486</v>
      </c>
      <c r="U129">
        <f>S133</f>
        <v>0.00584019752316848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F133">
        <f>K133</f>
        <v>-1.4537394472742937</v>
      </c>
      <c r="K133">
        <f>IF(D21=2,AVERAGE(K59:N59),IF(D21=3,AVERAGE(K59:P59),IF(D21=4,AVERAGE(K59:R59),IF(D21=5,AVERAGE(K59:T59),IF(D21=6,AVERAGE(K59:V59))))))*100</f>
        <v>-1.4537394472742937</v>
      </c>
      <c r="M133">
        <f>AVERAGE((K53-K52),(M53-M52),(O53-O52))</f>
        <v>-1.4540816570485997</v>
      </c>
      <c r="O133">
        <f>Q133</f>
        <v>0.584019752316848</v>
      </c>
      <c r="Q133">
        <f>IF((S110*100)&lt;VLOOKUP(O20,CMC_2,9,FALSE),VLOOKUP(O20,CMC_2,9,FALSE),S110*100)</f>
        <v>0.584019752316848</v>
      </c>
      <c r="S133">
        <f>O110</f>
        <v>0.00584019752316848</v>
      </c>
      <c r="U133">
        <f>S133</f>
        <v>0.00584019752316848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A139:H141"/>
    <mergeCell ref="I139:N141"/>
    <mergeCell ref="O139:T141"/>
    <mergeCell ref="U139:X143"/>
    <mergeCell ref="A142:H143"/>
    <mergeCell ref="I142:N143"/>
    <mergeCell ref="O142:T143"/>
    <mergeCell ref="A1:F4"/>
    <mergeCell ref="G1:O4"/>
    <mergeCell ref="P1:X1"/>
    <mergeCell ref="P2:X2"/>
    <mergeCell ref="P3:X4"/>
    <mergeCell ref="A138:H138"/>
    <mergeCell ref="I138:N138"/>
    <mergeCell ref="O138:T138"/>
    <mergeCell ref="U138:X138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2362204724409449" right="0.2362204724409449" top="0.7480314960629921" bottom="0.7480314960629921" header="0.31496062992125984" footer="0.31496062992125984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v>5</v>
      </c>
      <c r="H18">
        <v>0</v>
      </c>
      <c r="J18">
        <v>0.0012</v>
      </c>
      <c r="L18">
        <v>0.002</v>
      </c>
      <c r="N18">
        <v>0</v>
      </c>
      <c r="P18">
        <v>0.0012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</v>
      </c>
      <c r="P22">
        <v>0</v>
      </c>
    </row>
    <row r="26">
      <c r="F26" t="str">
        <v>Correciones R.V.M. Q2</v>
      </c>
    </row>
    <row r="29">
      <c r="F29" t="str">
        <v>Recipiente Volumetrico Metalico</v>
      </c>
      <c r="J29">
        <v>5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5</v>
      </c>
      <c r="H33">
        <v>0</v>
      </c>
      <c r="J33">
        <v>0.0012</v>
      </c>
      <c r="L33">
        <v>0.002</v>
      </c>
      <c r="N33">
        <v>0</v>
      </c>
      <c r="P33">
        <v>0.0012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100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f>'Error e Incer Q3'!A6</f>
        <v>100</v>
      </c>
      <c r="H48">
        <v>0</v>
      </c>
      <c r="J48">
        <v>0.033</v>
      </c>
      <c r="L48">
        <v>0.05</v>
      </c>
      <c r="N48">
        <v>0</v>
      </c>
      <c r="P48">
        <v>0.00192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</v>
      </c>
      <c r="P52">
        <v>0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0.089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0.5189999999999999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0.945</v>
      </c>
      <c r="P67">
        <v>0.426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>
        <f>MAX('Error e Incer Q3'!K28:U28)</f>
        <v>24.64</v>
      </c>
      <c r="N79">
        <f>MIN('Error e Incer Q3'!K28:U28)</f>
        <v>24.1</v>
      </c>
      <c r="P79">
        <f>L79-N79</f>
        <v>0.5399999999999991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>
        <f>MAX('Error e Incer Q3'!K26:U27)</f>
        <v>25.3</v>
      </c>
      <c r="N106">
        <f>MIN('Error e Incer Q3'!K26:U27)</f>
        <v>25.05</v>
      </c>
      <c r="P106">
        <f>L106-N106</f>
        <v>0.25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 t="e">
        <f>MAX(#REF!)</f>
        <v>#REF!</v>
      </c>
      <c r="N125">
        <v>214.8</v>
      </c>
      <c r="P125" t="e">
        <f>L125-N125</f>
        <v>#REF!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>
        <f>MAX('Error e Incer Q3'!K29:U30)</f>
        <v>371.8</v>
      </c>
      <c r="N133">
        <f>MIN('Error e Incer Q3'!K29:U30)</f>
        <v>98.6</v>
      </c>
      <c r="P133">
        <f>L133-N133</f>
        <v>273.20000000000005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B168:G168"/>
    <mergeCell ref="H168:J168"/>
    <mergeCell ref="K168:P168"/>
    <mergeCell ref="Q168:T168"/>
    <mergeCell ref="F155:L155"/>
    <mergeCell ref="N155:P15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31:J133"/>
    <mergeCell ref="F137:P137"/>
    <mergeCell ref="F140:L140"/>
    <mergeCell ref="N140:P140"/>
    <mergeCell ref="F142:L142"/>
    <mergeCell ref="N142:P142"/>
    <mergeCell ref="F127:J129"/>
    <mergeCell ref="F104:J106"/>
    <mergeCell ref="F110:P110"/>
    <mergeCell ref="F113:L113"/>
    <mergeCell ref="N113:P113"/>
    <mergeCell ref="F115:L115"/>
    <mergeCell ref="N115:P115"/>
    <mergeCell ref="F117:L117"/>
    <mergeCell ref="N117:P117"/>
    <mergeCell ref="J119:J121"/>
    <mergeCell ref="L119:L121"/>
    <mergeCell ref="F123:J12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"/>
  <sheetViews>
    <sheetView workbookViewId="0" rightToLeft="0"/>
  </sheetViews>
  <sheetData>
    <row r="1">
      <c r="D1" t="str">
        <v>VALIDACION WATERTOOLS</v>
      </c>
      <c r="M1" t="str">
        <v>CODIGO : LCM-FOR-064</v>
      </c>
    </row>
    <row r="2">
      <c r="M2" t="str">
        <v>Fecha: 2016 ABRIL 30</v>
      </c>
    </row>
    <row r="3">
      <c r="M3" t="str">
        <v>PAGINA :       1   de   1</v>
      </c>
    </row>
    <row r="11">
      <c r="F11" t="str">
        <v>Certificado de calibración instrumento de volumen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Primera</v>
      </c>
    </row>
    <row r="16">
      <c r="D16" t="str">
        <v>Parámetro</v>
      </c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7">
      <c r="D17" t="str">
        <v>Etiqueta</v>
      </c>
      <c r="F17" t="str">
        <v>N/A</v>
      </c>
      <c r="H17" t="str">
        <v>Error de indicación</v>
      </c>
      <c r="J17" t="str">
        <v>Incertidumbre (Error)</v>
      </c>
      <c r="L17" t="str">
        <v>N/A</v>
      </c>
      <c r="N17" t="str">
        <v>Corrección de escala</v>
      </c>
      <c r="P17" t="str">
        <v>Incertidumbre (Escala)</v>
      </c>
    </row>
    <row r="18">
      <c r="D18" t="str">
        <v>Valor</v>
      </c>
      <c r="F18" t="str">
        <v>(ind_c06 + ind_c07) / 2</v>
      </c>
      <c r="H18" t="str">
        <v>cal_c06</v>
      </c>
      <c r="J18" t="str">
        <v>cal_c11</v>
      </c>
      <c r="L18" t="str">
        <v>ind_c08</v>
      </c>
      <c r="N18" t="str">
        <v>cal_c07</v>
      </c>
      <c r="P18" t="str">
        <v>cal_c08</v>
      </c>
    </row>
    <row r="20">
      <c r="F20">
        <v>5</v>
      </c>
      <c r="H20">
        <v>-0.000513</v>
      </c>
      <c r="J20">
        <f>16/5000</f>
        <v>0.0032</v>
      </c>
      <c r="L20">
        <v>0.002</v>
      </c>
      <c r="N20">
        <v>0.0021</v>
      </c>
      <c r="P20">
        <v>0.00096</v>
      </c>
    </row>
    <row r="22">
      <c r="D22" t="str">
        <v>Parámetro</v>
      </c>
      <c r="F22" t="str">
        <v>K</v>
      </c>
      <c r="H22" t="str">
        <v>Tref</v>
      </c>
      <c r="J22" t="str">
        <v xml:space="preserve">Deriva  </v>
      </c>
      <c r="L22">
        <f>IF(N14="Primera",0,(ABS(P26-N26)))</f>
        <v>0</v>
      </c>
      <c r="N22" t="str">
        <v>Error Año anterior</v>
      </c>
      <c r="P22" t="str">
        <v xml:space="preserve"> Error Año Actual</v>
      </c>
    </row>
    <row r="23">
      <c r="D23" t="str">
        <v>Etiqueta</v>
      </c>
      <c r="F23" t="str">
        <v>Factor de cubrimiento</v>
      </c>
      <c r="H23" t="str">
        <v>Parámetro referencia</v>
      </c>
    </row>
    <row r="24">
      <c r="D24" t="str">
        <v>Valor</v>
      </c>
      <c r="F24" t="str">
        <v>cal_c09</v>
      </c>
      <c r="H24" t="str">
        <v>cal_c10</v>
      </c>
    </row>
    <row r="26">
      <c r="F26">
        <v>2</v>
      </c>
      <c r="H26">
        <v>20</v>
      </c>
      <c r="N26">
        <v>0</v>
      </c>
      <c r="P26">
        <f>H20</f>
        <v>-0.000513</v>
      </c>
    </row>
    <row r="30">
      <c r="F30" t="str">
        <v>Certificado de calibración de equipo de medición</v>
      </c>
    </row>
    <row r="33">
      <c r="F33" t="str">
        <v>Numero de Calibraciones</v>
      </c>
      <c r="N33" t="str">
        <v>Primera</v>
      </c>
    </row>
    <row r="35">
      <c r="A35" t="str">
        <v>Incertidumbre equipo</v>
      </c>
      <c r="C35" t="str">
        <v>Incertidumbre (Error)</v>
      </c>
      <c r="D35" t="str">
        <v>cal_c11</v>
      </c>
      <c r="F35" t="str">
        <v xml:space="preserve">Incertidumbre equipo </v>
      </c>
      <c r="N35">
        <v>0.15</v>
      </c>
    </row>
    <row r="37">
      <c r="A37" t="str">
        <v>Resolución equipo</v>
      </c>
      <c r="C37" t="str">
        <v>N/A</v>
      </c>
      <c r="D37" t="str">
        <v>ind_c08</v>
      </c>
      <c r="F37" t="str">
        <v xml:space="preserve">Resolución equipo </v>
      </c>
      <c r="N37">
        <v>0.1</v>
      </c>
    </row>
    <row r="39">
      <c r="A39" t="str">
        <v>K</v>
      </c>
      <c r="C39" t="str">
        <v>Factor de cubrimiento</v>
      </c>
      <c r="D39" t="str">
        <v>cal_c09</v>
      </c>
      <c r="F39" t="str">
        <v>K</v>
      </c>
      <c r="J39" t="str">
        <v xml:space="preserve">Deriva  </v>
      </c>
      <c r="L39">
        <f>IF(N33="Primera",0,(ABS(P41-N41)))</f>
        <v>0</v>
      </c>
      <c r="N39" t="str">
        <v>Error Año anterior</v>
      </c>
      <c r="P39" t="str">
        <v xml:space="preserve"> Error Año Actual</v>
      </c>
    </row>
    <row r="41">
      <c r="A41" t="str">
        <v>Error año actual</v>
      </c>
      <c r="C41" t="str">
        <v>Error de indicación</v>
      </c>
      <c r="D41" t="str">
        <v>cal_c06</v>
      </c>
      <c r="F41">
        <v>2</v>
      </c>
      <c r="N41">
        <v>0</v>
      </c>
      <c r="P41">
        <v>-0.265</v>
      </c>
    </row>
    <row r="43">
      <c r="F43" t="str">
        <v>Variación de Temperatura Durante las Pruebas Q1</v>
      </c>
      <c r="L43" t="str">
        <v>MAX</v>
      </c>
      <c r="N43" t="str">
        <v>MIN</v>
      </c>
      <c r="P43" t="str">
        <v>Δ</v>
      </c>
    </row>
    <row r="45">
      <c r="L45" t="e">
        <f>MAX(#REF!)</f>
        <v>#REF!</v>
      </c>
      <c r="N45" t="e">
        <f>MIN(#REF!)</f>
        <v>#REF!</v>
      </c>
      <c r="P45" t="e">
        <f>L45-N45</f>
        <v>#REF!</v>
      </c>
    </row>
    <row r="47">
      <c r="F47" t="str">
        <v>Variación de Temperatura Durante las Pruebas Q2</v>
      </c>
      <c r="L47" t="str">
        <v>MAX</v>
      </c>
      <c r="N47" t="str">
        <v>MIN</v>
      </c>
      <c r="P47" t="str">
        <v>Δ</v>
      </c>
    </row>
    <row r="49">
      <c r="L49" t="e">
        <f>MAX(#REF!)</f>
        <v>#REF!</v>
      </c>
      <c r="N49" t="e">
        <f>MIN(#REF!)</f>
        <v>#REF!</v>
      </c>
      <c r="P49" t="e">
        <f>L49-N49</f>
        <v>#REF!</v>
      </c>
    </row>
    <row r="51">
      <c r="F51" t="str">
        <v>Variación de Temperatura Durante las Pruebas Q3</v>
      </c>
      <c r="L51" t="str">
        <v>MAX</v>
      </c>
      <c r="N51" t="str">
        <v>MIN</v>
      </c>
      <c r="P51" t="str">
        <v>Δ</v>
      </c>
    </row>
    <row r="53">
      <c r="L53">
        <f>MAX('Error e Incer Q3'!K28:U28)</f>
        <v>24.64</v>
      </c>
      <c r="N53" t="e">
        <f>MIN(#REF!)</f>
        <v>#REF!</v>
      </c>
      <c r="P53" t="e">
        <f>L53-N53</f>
        <v>#REF!</v>
      </c>
    </row>
    <row r="57">
      <c r="F57" t="str">
        <v>Constantes</v>
      </c>
    </row>
    <row r="60">
      <c r="F60" t="str">
        <v>Incertidumbre de αs</v>
      </c>
      <c r="N60">
        <v>5e-7</v>
      </c>
    </row>
    <row r="62">
      <c r="F62" t="str">
        <v>Incertidumbre de αw</v>
      </c>
      <c r="N62">
        <v>0.00005</v>
      </c>
    </row>
    <row r="64">
      <c r="F64" t="str">
        <v>Incertidumbre de kw</v>
      </c>
      <c r="N64">
        <v>5e-9</v>
      </c>
    </row>
    <row r="68">
      <c r="F68" t="str">
        <v>CMC</v>
      </c>
    </row>
    <row r="71">
      <c r="F71">
        <v>5</v>
      </c>
      <c r="N71">
        <v>0.33</v>
      </c>
    </row>
    <row r="73">
      <c r="F73">
        <v>10</v>
      </c>
      <c r="N73">
        <v>0.17</v>
      </c>
    </row>
    <row r="75">
      <c r="F75">
        <v>20</v>
      </c>
      <c r="N75" t="str">
        <v>N.A</v>
      </c>
    </row>
    <row r="77">
      <c r="F77">
        <v>50</v>
      </c>
      <c r="N77">
        <v>0.05</v>
      </c>
    </row>
    <row r="79">
      <c r="F79">
        <v>100</v>
      </c>
      <c r="N79">
        <v>0.043</v>
      </c>
    </row>
    <row r="92">
      <c r="F92" t="str">
        <v>Primera</v>
      </c>
    </row>
    <row r="93">
      <c r="F93" t="str">
        <v>Dos o mas</v>
      </c>
    </row>
    <row r="105">
      <c r="A105" t="str">
        <v>ELABORO</v>
      </c>
      <c r="G105" t="str">
        <v>REVISO</v>
      </c>
      <c r="M105" t="str">
        <v>APROBO</v>
      </c>
      <c r="S105" t="str">
        <v xml:space="preserve">VERSION </v>
      </c>
    </row>
    <row r="106">
      <c r="A106" t="str">
        <v>LUIS HERNAN DURAN GARCIA</v>
      </c>
      <c r="G106" t="str">
        <v>EDGAR FERNANDO LOZANO CALDERON</v>
      </c>
      <c r="M106" t="str">
        <v>CARLOS ARIEL DUQUE BAENA</v>
      </c>
      <c r="S106">
        <v>1</v>
      </c>
    </row>
    <row r="109">
      <c r="A109" t="str">
        <v>COORDINADOR LABORATORIO  DE MEDIDORES</v>
      </c>
      <c r="G109" t="str">
        <v>DIRECTOR PLANEACION Y CALIDAD</v>
      </c>
      <c r="M109" t="str">
        <v>GERENTE</v>
      </c>
    </row>
  </sheetData>
  <mergeCells count="55">
    <mergeCell ref="A106:F108"/>
    <mergeCell ref="G106:L108"/>
    <mergeCell ref="M106:R108"/>
    <mergeCell ref="S106:T110"/>
    <mergeCell ref="A109:F110"/>
    <mergeCell ref="G109:L110"/>
    <mergeCell ref="M109:R110"/>
    <mergeCell ref="B1:C4"/>
    <mergeCell ref="D1:L4"/>
    <mergeCell ref="M1:T1"/>
    <mergeCell ref="M2:T2"/>
    <mergeCell ref="M3:T4"/>
    <mergeCell ref="A105:F105"/>
    <mergeCell ref="G105:L105"/>
    <mergeCell ref="M105:R105"/>
    <mergeCell ref="S105:T105"/>
    <mergeCell ref="F75:L75"/>
    <mergeCell ref="N75:P75"/>
    <mergeCell ref="F77:L77"/>
    <mergeCell ref="N77:P77"/>
    <mergeCell ref="F79:L79"/>
    <mergeCell ref="N79:P79"/>
    <mergeCell ref="F73:L73"/>
    <mergeCell ref="N73:P73"/>
    <mergeCell ref="F51:J53"/>
    <mergeCell ref="F57:P57"/>
    <mergeCell ref="F60:L60"/>
    <mergeCell ref="N60:P60"/>
    <mergeCell ref="F62:L62"/>
    <mergeCell ref="N62:P62"/>
    <mergeCell ref="F64:L64"/>
    <mergeCell ref="N64:P64"/>
    <mergeCell ref="F68:P68"/>
    <mergeCell ref="F71:L71"/>
    <mergeCell ref="N71:P71"/>
    <mergeCell ref="F47:J49"/>
    <mergeCell ref="F33:L33"/>
    <mergeCell ref="N33:P33"/>
    <mergeCell ref="A35:B35"/>
    <mergeCell ref="F35:L35"/>
    <mergeCell ref="N35:P35"/>
    <mergeCell ref="A37:B37"/>
    <mergeCell ref="F37:L37"/>
    <mergeCell ref="N37:P37"/>
    <mergeCell ref="A39:B39"/>
    <mergeCell ref="J39:J41"/>
    <mergeCell ref="L39:L41"/>
    <mergeCell ref="A41:B41"/>
    <mergeCell ref="F43:J45"/>
    <mergeCell ref="F30:P30"/>
    <mergeCell ref="F11:P11"/>
    <mergeCell ref="F14:H14"/>
    <mergeCell ref="N14:P14"/>
    <mergeCell ref="J22:J26"/>
    <mergeCell ref="L22:L26"/>
  </mergeCells>
  <pageMargins left="0.7" right="0.7" top="0.75" bottom="0.75" header="0.5118055555555555" footer="0.5118055555555555"/>
  <ignoredErrors>
    <ignoredError numberStoredAsText="1" sqref="A1:T1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e Incer Q3</vt:lpstr>
      <vt:lpstr>Constantes y Trazabilidad</vt:lpstr>
      <vt:lpstr>WaterTools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2020-03-31T14:29:40Z</dcterms:created>
  <dcterms:modified xsi:type="dcterms:W3CDTF">2020-04-22T09:12:47Z</dcterms:modified>
  <cp:lastModifiedBy>Javier Cordero</cp:lastModifiedBy>
  <cp:lastPrinted>2018-07-24T14:21:12Z</cp:lastPrinted>
  <dc:creator>Javier Cordero</dc:creator>
</cp:coreProperties>
</file>