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uhozaKanze\Desktop\Conjonctures paper\Population Estimates\AAAAA\"/>
    </mc:Choice>
  </mc:AlternateContent>
  <xr:revisionPtr revIDLastSave="0" documentId="13_ncr:1_{AF0AC3D6-E7BE-4490-AF37-0D1C8B708AC9}" xr6:coauthVersionLast="47" xr6:coauthVersionMax="47" xr10:uidLastSave="{00000000-0000-0000-0000-000000000000}"/>
  <bookViews>
    <workbookView xWindow="10" yWindow="10" windowWidth="19190" windowHeight="10190" xr2:uid="{1D5EB84C-FF07-4C8B-911B-D66571B09E6D}"/>
  </bookViews>
  <sheets>
    <sheet name="Ajustement&amp;Territoires &amp; Villes" sheetId="3" r:id="rId1"/>
    <sheet name="Provinces" sheetId="4" r:id="rId2"/>
    <sheet name="Population Urbaine" sheetId="6" r:id="rId3"/>
  </sheets>
  <definedNames>
    <definedName name="_xlnm._FilterDatabase" localSheetId="0" hidden="1">'Ajustement&amp;Territoires &amp; Villes'!$A$1:$F$179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" i="6" l="1"/>
  <c r="L180" i="3"/>
  <c r="G11" i="4" l="1"/>
  <c r="F11" i="4" l="1"/>
  <c r="E181" i="3" l="1"/>
  <c r="H181" i="3"/>
  <c r="F175" i="3" l="1"/>
  <c r="F174" i="3"/>
  <c r="F176" i="3"/>
  <c r="F177" i="3"/>
  <c r="F178" i="3"/>
  <c r="F179" i="3"/>
  <c r="F173" i="3"/>
  <c r="F169" i="3"/>
  <c r="F166" i="3"/>
  <c r="F167" i="3"/>
  <c r="F168" i="3"/>
  <c r="F170" i="3"/>
  <c r="F171" i="3"/>
  <c r="F172" i="3"/>
  <c r="F165" i="3"/>
  <c r="F160" i="3"/>
  <c r="F159" i="3"/>
  <c r="F161" i="3"/>
  <c r="F162" i="3"/>
  <c r="F163" i="3"/>
  <c r="F164" i="3"/>
  <c r="F158" i="3"/>
  <c r="F157" i="3"/>
  <c r="F154" i="3"/>
  <c r="F153" i="3"/>
  <c r="F155" i="3"/>
  <c r="F156" i="3"/>
  <c r="F152" i="3"/>
  <c r="F143" i="3"/>
  <c r="F144" i="3"/>
  <c r="F145" i="3"/>
  <c r="F146" i="3"/>
  <c r="F147" i="3"/>
  <c r="F148" i="3"/>
  <c r="F149" i="3"/>
  <c r="F150" i="3"/>
  <c r="F151" i="3"/>
  <c r="F142" i="3"/>
  <c r="F137" i="3"/>
  <c r="F138" i="3"/>
  <c r="F139" i="3"/>
  <c r="F140" i="3"/>
  <c r="F141" i="3"/>
  <c r="F136" i="3"/>
  <c r="F133" i="3"/>
  <c r="F132" i="3"/>
  <c r="F134" i="3"/>
  <c r="F135" i="3"/>
  <c r="F131" i="3"/>
  <c r="F124" i="3"/>
  <c r="F125" i="3"/>
  <c r="F123" i="3"/>
  <c r="F126" i="3"/>
  <c r="F127" i="3"/>
  <c r="F128" i="3"/>
  <c r="J128" i="3" s="1"/>
  <c r="L128" i="3" s="1"/>
  <c r="F129" i="3"/>
  <c r="F130" i="3"/>
  <c r="F122" i="3"/>
  <c r="F121" i="3"/>
  <c r="F119" i="3"/>
  <c r="F120" i="3"/>
  <c r="F118" i="3"/>
  <c r="F114" i="3"/>
  <c r="F111" i="3"/>
  <c r="J111" i="3" s="1"/>
  <c r="L111" i="3" s="1"/>
  <c r="F112" i="3"/>
  <c r="F113" i="3"/>
  <c r="F115" i="3"/>
  <c r="F116" i="3"/>
  <c r="F117" i="3"/>
  <c r="F110" i="3"/>
  <c r="F103" i="3"/>
  <c r="F102" i="3"/>
  <c r="F104" i="3"/>
  <c r="F105" i="3"/>
  <c r="F106" i="3"/>
  <c r="J106" i="3" s="1"/>
  <c r="L106" i="3" s="1"/>
  <c r="F107" i="3"/>
  <c r="F108" i="3"/>
  <c r="F109" i="3"/>
  <c r="J109" i="3" s="1"/>
  <c r="L109" i="3" s="1"/>
  <c r="F101" i="3"/>
  <c r="F97" i="3"/>
  <c r="F96" i="3"/>
  <c r="F98" i="3"/>
  <c r="J98" i="3" s="1"/>
  <c r="L98" i="3" s="1"/>
  <c r="F99" i="3"/>
  <c r="J99" i="3" s="1"/>
  <c r="L99" i="3" s="1"/>
  <c r="F100" i="3"/>
  <c r="F95" i="3"/>
  <c r="F93" i="3"/>
  <c r="F89" i="3"/>
  <c r="F90" i="3"/>
  <c r="F91" i="3"/>
  <c r="F92" i="3"/>
  <c r="F94" i="3"/>
  <c r="F88" i="3"/>
  <c r="F86" i="3"/>
  <c r="F82" i="3"/>
  <c r="F83" i="3"/>
  <c r="F84" i="3"/>
  <c r="F85" i="3"/>
  <c r="F87" i="3"/>
  <c r="F81" i="3"/>
  <c r="F79" i="3"/>
  <c r="F76" i="3"/>
  <c r="F77" i="3"/>
  <c r="F78" i="3"/>
  <c r="F80" i="3"/>
  <c r="F75" i="3"/>
  <c r="F71" i="3"/>
  <c r="F72" i="3"/>
  <c r="F73" i="3"/>
  <c r="F74" i="3"/>
  <c r="F70" i="3"/>
  <c r="F65" i="3"/>
  <c r="F66" i="3"/>
  <c r="F67" i="3"/>
  <c r="F68" i="3"/>
  <c r="F64" i="3"/>
  <c r="F69" i="3"/>
  <c r="F63" i="3"/>
  <c r="F62" i="3"/>
  <c r="F59" i="3"/>
  <c r="F57" i="3"/>
  <c r="F58" i="3"/>
  <c r="F60" i="3"/>
  <c r="F61" i="3"/>
  <c r="F56" i="3"/>
  <c r="F53" i="3"/>
  <c r="F51" i="3"/>
  <c r="F52" i="3"/>
  <c r="F54" i="3"/>
  <c r="F55" i="3"/>
  <c r="F50" i="3"/>
  <c r="F49" i="3"/>
  <c r="F45" i="3"/>
  <c r="F46" i="3"/>
  <c r="F47" i="3"/>
  <c r="F48" i="3"/>
  <c r="F44" i="3"/>
  <c r="F39" i="3"/>
  <c r="F40" i="3"/>
  <c r="F41" i="3"/>
  <c r="F42" i="3"/>
  <c r="F43" i="3"/>
  <c r="F38" i="3"/>
  <c r="F33" i="3"/>
  <c r="F31" i="3"/>
  <c r="F32" i="3"/>
  <c r="F34" i="3"/>
  <c r="F35" i="3"/>
  <c r="F36" i="3"/>
  <c r="F37" i="3"/>
  <c r="F28" i="3"/>
  <c r="F26" i="3"/>
  <c r="F27" i="3"/>
  <c r="F29" i="3"/>
  <c r="F30" i="3"/>
  <c r="F25" i="3"/>
  <c r="F21" i="3"/>
  <c r="F20" i="3"/>
  <c r="F18" i="3"/>
  <c r="F19" i="3"/>
  <c r="F22" i="3"/>
  <c r="F23" i="3"/>
  <c r="F24" i="3"/>
  <c r="F17" i="3"/>
  <c r="F16" i="3"/>
  <c r="F10" i="3"/>
  <c r="F11" i="3"/>
  <c r="F12" i="3"/>
  <c r="F13" i="3"/>
  <c r="F14" i="3"/>
  <c r="F15" i="3"/>
  <c r="F9" i="3"/>
  <c r="F7" i="3"/>
  <c r="F3" i="3"/>
  <c r="F4" i="3"/>
  <c r="F5" i="3"/>
  <c r="F6" i="3"/>
  <c r="F8" i="3"/>
  <c r="F2" i="3"/>
  <c r="F181" i="3" l="1"/>
  <c r="I181" i="3" s="1"/>
  <c r="I25" i="3"/>
  <c r="J25" i="3" s="1"/>
  <c r="L25" i="3" s="1"/>
  <c r="I35" i="3"/>
  <c r="J35" i="3" s="1"/>
  <c r="L35" i="3" s="1"/>
  <c r="I41" i="3"/>
  <c r="J41" i="3" s="1"/>
  <c r="L41" i="3" s="1"/>
  <c r="I49" i="3"/>
  <c r="J49" i="3" s="1"/>
  <c r="L49" i="3" s="1"/>
  <c r="I61" i="3"/>
  <c r="J61" i="3" s="1"/>
  <c r="L61" i="3" s="1"/>
  <c r="I64" i="3"/>
  <c r="J64" i="3" s="1"/>
  <c r="L64" i="3" s="1"/>
  <c r="I72" i="3"/>
  <c r="J72" i="3" s="1"/>
  <c r="L72" i="3" s="1"/>
  <c r="I81" i="3"/>
  <c r="J81" i="3" s="1"/>
  <c r="L81" i="3" s="1"/>
  <c r="I94" i="3"/>
  <c r="J94" i="3" s="1"/>
  <c r="L94" i="3" s="1"/>
  <c r="I115" i="3"/>
  <c r="J115" i="3" s="1"/>
  <c r="L115" i="3" s="1"/>
  <c r="I121" i="3"/>
  <c r="J121" i="3" s="1"/>
  <c r="L121" i="3" s="1"/>
  <c r="I125" i="3"/>
  <c r="J125" i="3" s="1"/>
  <c r="L125" i="3" s="1"/>
  <c r="I141" i="3"/>
  <c r="J141" i="3" s="1"/>
  <c r="L141" i="3" s="1"/>
  <c r="I149" i="3"/>
  <c r="J149" i="3" s="1"/>
  <c r="L149" i="3" s="1"/>
  <c r="I156" i="3"/>
  <c r="J156" i="3" s="1"/>
  <c r="L156" i="3" s="1"/>
  <c r="I168" i="3"/>
  <c r="J168" i="3" s="1"/>
  <c r="L168" i="3" s="1"/>
  <c r="I15" i="3"/>
  <c r="J15" i="3" s="1"/>
  <c r="L15" i="3" s="1"/>
  <c r="I30" i="3"/>
  <c r="J30" i="3" s="1"/>
  <c r="L30" i="3" s="1"/>
  <c r="I40" i="3"/>
  <c r="J40" i="3" s="1"/>
  <c r="L40" i="3" s="1"/>
  <c r="I60" i="3"/>
  <c r="J60" i="3" s="1"/>
  <c r="L60" i="3" s="1"/>
  <c r="I68" i="3"/>
  <c r="J68" i="3" s="1"/>
  <c r="L68" i="3" s="1"/>
  <c r="J71" i="3"/>
  <c r="L71" i="3" s="1"/>
  <c r="I92" i="3"/>
  <c r="J92" i="3" s="1"/>
  <c r="L92" i="3" s="1"/>
  <c r="I105" i="3"/>
  <c r="J105" i="3" s="1"/>
  <c r="L105" i="3" s="1"/>
  <c r="I113" i="3"/>
  <c r="J113" i="3" s="1"/>
  <c r="L113" i="3" s="1"/>
  <c r="I122" i="3"/>
  <c r="J122" i="3" s="1"/>
  <c r="L122" i="3" s="1"/>
  <c r="I124" i="3"/>
  <c r="J124" i="3" s="1"/>
  <c r="L124" i="3" s="1"/>
  <c r="I140" i="3"/>
  <c r="J140" i="3" s="1"/>
  <c r="L140" i="3" s="1"/>
  <c r="I148" i="3"/>
  <c r="J148" i="3" s="1"/>
  <c r="L148" i="3" s="1"/>
  <c r="I155" i="3"/>
  <c r="J155" i="3" s="1"/>
  <c r="L155" i="3" s="1"/>
  <c r="I161" i="3"/>
  <c r="J161" i="3" s="1"/>
  <c r="L161" i="3" s="1"/>
  <c r="I167" i="3"/>
  <c r="J167" i="3" s="1"/>
  <c r="L167" i="3" s="1"/>
  <c r="I174" i="3"/>
  <c r="J174" i="3" s="1"/>
  <c r="L174" i="3" s="1"/>
  <c r="I8" i="3"/>
  <c r="J8" i="3" s="1"/>
  <c r="L8" i="3" s="1"/>
  <c r="I14" i="3"/>
  <c r="J14" i="3" s="1"/>
  <c r="L14" i="3" s="1"/>
  <c r="I23" i="3"/>
  <c r="J23" i="3" s="1"/>
  <c r="L23" i="3" s="1"/>
  <c r="I29" i="3"/>
  <c r="J29" i="3" s="1"/>
  <c r="L29" i="3" s="1"/>
  <c r="I32" i="3"/>
  <c r="J32" i="3" s="1"/>
  <c r="L32" i="3" s="1"/>
  <c r="I39" i="3"/>
  <c r="J39" i="3" s="1"/>
  <c r="L39" i="3" s="1"/>
  <c r="I55" i="3"/>
  <c r="J55" i="3" s="1"/>
  <c r="L55" i="3" s="1"/>
  <c r="I58" i="3"/>
  <c r="J58" i="3" s="1"/>
  <c r="L58" i="3" s="1"/>
  <c r="I67" i="3"/>
  <c r="J67" i="3" s="1"/>
  <c r="L67" i="3" s="1"/>
  <c r="I75" i="3"/>
  <c r="J75" i="3" s="1"/>
  <c r="L75" i="3" s="1"/>
  <c r="I91" i="3"/>
  <c r="J91" i="3" s="1"/>
  <c r="L91" i="3" s="1"/>
  <c r="I96" i="3"/>
  <c r="J96" i="3" s="1"/>
  <c r="L96" i="3" s="1"/>
  <c r="I104" i="3"/>
  <c r="J104" i="3" s="1"/>
  <c r="L104" i="3" s="1"/>
  <c r="I112" i="3"/>
  <c r="J112" i="3" s="1"/>
  <c r="L112" i="3" s="1"/>
  <c r="I130" i="3"/>
  <c r="J130" i="3" s="1"/>
  <c r="L130" i="3" s="1"/>
  <c r="I131" i="3"/>
  <c r="J131" i="3" s="1"/>
  <c r="L131" i="3" s="1"/>
  <c r="I139" i="3"/>
  <c r="J139" i="3" s="1"/>
  <c r="L139" i="3" s="1"/>
  <c r="I147" i="3"/>
  <c r="J147" i="3" s="1"/>
  <c r="L147" i="3" s="1"/>
  <c r="I153" i="3"/>
  <c r="J153" i="3" s="1"/>
  <c r="L153" i="3" s="1"/>
  <c r="I159" i="3"/>
  <c r="J159" i="3" s="1"/>
  <c r="L159" i="3" s="1"/>
  <c r="I166" i="3"/>
  <c r="J166" i="3" s="1"/>
  <c r="L166" i="3" s="1"/>
  <c r="I175" i="3"/>
  <c r="J175" i="3" s="1"/>
  <c r="L175" i="3" s="1"/>
  <c r="I6" i="3"/>
  <c r="J6" i="3" s="1"/>
  <c r="L6" i="3" s="1"/>
  <c r="I13" i="3"/>
  <c r="J13" i="3" s="1"/>
  <c r="L13" i="3" s="1"/>
  <c r="I22" i="3"/>
  <c r="J22" i="3" s="1"/>
  <c r="L22" i="3" s="1"/>
  <c r="I27" i="3"/>
  <c r="J27" i="3" s="1"/>
  <c r="L27" i="3" s="1"/>
  <c r="I31" i="3"/>
  <c r="J31" i="3" s="1"/>
  <c r="L31" i="3" s="1"/>
  <c r="I44" i="3"/>
  <c r="J44" i="3" s="1"/>
  <c r="L44" i="3" s="1"/>
  <c r="I54" i="3"/>
  <c r="J54" i="3" s="1"/>
  <c r="L54" i="3" s="1"/>
  <c r="I57" i="3"/>
  <c r="J57" i="3" s="1"/>
  <c r="L57" i="3" s="1"/>
  <c r="I66" i="3"/>
  <c r="J66" i="3" s="1"/>
  <c r="L66" i="3" s="1"/>
  <c r="I80" i="3"/>
  <c r="J80" i="3" s="1"/>
  <c r="L80" i="3" s="1"/>
  <c r="I84" i="3"/>
  <c r="J84" i="3" s="1"/>
  <c r="L84" i="3" s="1"/>
  <c r="I90" i="3"/>
  <c r="J90" i="3" s="1"/>
  <c r="L90" i="3" s="1"/>
  <c r="I97" i="3"/>
  <c r="J97" i="3" s="1"/>
  <c r="L97" i="3" s="1"/>
  <c r="I102" i="3"/>
  <c r="J102" i="3" s="1"/>
  <c r="L102" i="3" s="1"/>
  <c r="I129" i="3"/>
  <c r="J129" i="3" s="1"/>
  <c r="L129" i="3" s="1"/>
  <c r="I135" i="3"/>
  <c r="J135" i="3" s="1"/>
  <c r="L135" i="3" s="1"/>
  <c r="I138" i="3"/>
  <c r="J138" i="3" s="1"/>
  <c r="L138" i="3" s="1"/>
  <c r="I146" i="3"/>
  <c r="J146" i="3" s="1"/>
  <c r="L146" i="3" s="1"/>
  <c r="I154" i="3"/>
  <c r="J154" i="3" s="1"/>
  <c r="L154" i="3" s="1"/>
  <c r="I160" i="3"/>
  <c r="J160" i="3" s="1"/>
  <c r="L160" i="3" s="1"/>
  <c r="I169" i="3"/>
  <c r="J169" i="3" s="1"/>
  <c r="L169" i="3" s="1"/>
  <c r="I5" i="3"/>
  <c r="J5" i="3" s="1"/>
  <c r="L5" i="3" s="1"/>
  <c r="I52" i="3"/>
  <c r="J52" i="3" s="1"/>
  <c r="L52" i="3" s="1"/>
  <c r="I103" i="3"/>
  <c r="J103" i="3" s="1"/>
  <c r="L103" i="3" s="1"/>
  <c r="I157" i="3"/>
  <c r="J157" i="3" s="1"/>
  <c r="L157" i="3" s="1"/>
  <c r="I12" i="3"/>
  <c r="J12" i="3" s="1"/>
  <c r="L12" i="3" s="1"/>
  <c r="I33" i="3"/>
  <c r="J33" i="3" s="1"/>
  <c r="L33" i="3" s="1"/>
  <c r="I65" i="3"/>
  <c r="J65" i="3" s="1"/>
  <c r="L65" i="3" s="1"/>
  <c r="I89" i="3"/>
  <c r="J89" i="3" s="1"/>
  <c r="L89" i="3" s="1"/>
  <c r="I114" i="3"/>
  <c r="J114" i="3" s="1"/>
  <c r="L114" i="3" s="1"/>
  <c r="I173" i="3"/>
  <c r="J173" i="3" s="1"/>
  <c r="L173" i="3" s="1"/>
  <c r="I11" i="3"/>
  <c r="J11" i="3" s="1"/>
  <c r="L11" i="3" s="1"/>
  <c r="I38" i="3"/>
  <c r="J38" i="3" s="1"/>
  <c r="L38" i="3" s="1"/>
  <c r="I62" i="3"/>
  <c r="J62" i="3" s="1"/>
  <c r="L62" i="3" s="1"/>
  <c r="I10" i="3"/>
  <c r="J10" i="3" s="1"/>
  <c r="L10" i="3" s="1"/>
  <c r="I9" i="3"/>
  <c r="J9" i="3" s="1"/>
  <c r="L9" i="3" s="1"/>
  <c r="I19" i="3"/>
  <c r="J19" i="3" s="1"/>
  <c r="L19" i="3" s="1"/>
  <c r="I26" i="3"/>
  <c r="J26" i="3" s="1"/>
  <c r="L26" i="3" s="1"/>
  <c r="I48" i="3"/>
  <c r="J48" i="3" s="1"/>
  <c r="L48" i="3" s="1"/>
  <c r="I59" i="3"/>
  <c r="J59" i="3" s="1"/>
  <c r="L59" i="3" s="1"/>
  <c r="I78" i="3"/>
  <c r="J78" i="3" s="1"/>
  <c r="L78" i="3" s="1"/>
  <c r="I83" i="3"/>
  <c r="J83" i="3" s="1"/>
  <c r="L83" i="3" s="1"/>
  <c r="I101" i="3"/>
  <c r="J101" i="3" s="1"/>
  <c r="L101" i="3" s="1"/>
  <c r="I134" i="3"/>
  <c r="J134" i="3" s="1"/>
  <c r="L134" i="3" s="1"/>
  <c r="I137" i="3"/>
  <c r="J137" i="3" s="1"/>
  <c r="L137" i="3" s="1"/>
  <c r="I145" i="3"/>
  <c r="J145" i="3" s="1"/>
  <c r="L145" i="3" s="1"/>
  <c r="I165" i="3"/>
  <c r="J165" i="3" s="1"/>
  <c r="L165" i="3" s="1"/>
  <c r="I4" i="3"/>
  <c r="J4" i="3" s="1"/>
  <c r="L4" i="3" s="1"/>
  <c r="I18" i="3"/>
  <c r="J18" i="3" s="1"/>
  <c r="L18" i="3" s="1"/>
  <c r="I28" i="3"/>
  <c r="J28" i="3" s="1"/>
  <c r="L28" i="3" s="1"/>
  <c r="I47" i="3"/>
  <c r="J47" i="3" s="1"/>
  <c r="L47" i="3" s="1"/>
  <c r="I51" i="3"/>
  <c r="J51" i="3" s="1"/>
  <c r="L51" i="3" s="1"/>
  <c r="I70" i="3"/>
  <c r="J70" i="3" s="1"/>
  <c r="L70" i="3" s="1"/>
  <c r="I77" i="3"/>
  <c r="J77" i="3" s="1"/>
  <c r="L77" i="3" s="1"/>
  <c r="I82" i="3"/>
  <c r="J82" i="3" s="1"/>
  <c r="L82" i="3" s="1"/>
  <c r="I93" i="3"/>
  <c r="J93" i="3" s="1"/>
  <c r="L93" i="3" s="1"/>
  <c r="I110" i="3"/>
  <c r="J110" i="3" s="1"/>
  <c r="L110" i="3" s="1"/>
  <c r="I118" i="3"/>
  <c r="J118" i="3" s="1"/>
  <c r="L118" i="3" s="1"/>
  <c r="I127" i="3"/>
  <c r="J127" i="3" s="1"/>
  <c r="L127" i="3" s="1"/>
  <c r="I132" i="3"/>
  <c r="J132" i="3" s="1"/>
  <c r="L132" i="3" s="1"/>
  <c r="I142" i="3"/>
  <c r="J142" i="3" s="1"/>
  <c r="L142" i="3" s="1"/>
  <c r="I144" i="3"/>
  <c r="J144" i="3" s="1"/>
  <c r="L144" i="3" s="1"/>
  <c r="I158" i="3"/>
  <c r="J158" i="3" s="1"/>
  <c r="L158" i="3" s="1"/>
  <c r="I172" i="3"/>
  <c r="J172" i="3" s="1"/>
  <c r="L172" i="3" s="1"/>
  <c r="I179" i="3"/>
  <c r="J179" i="3" s="1"/>
  <c r="L179" i="3" s="1"/>
  <c r="I3" i="3"/>
  <c r="J3" i="3" s="1"/>
  <c r="L3" i="3" s="1"/>
  <c r="I20" i="3"/>
  <c r="J20" i="3" s="1"/>
  <c r="L20" i="3" s="1"/>
  <c r="I37" i="3"/>
  <c r="J37" i="3" s="1"/>
  <c r="L37" i="3" s="1"/>
  <c r="I43" i="3"/>
  <c r="J43" i="3" s="1"/>
  <c r="L43" i="3" s="1"/>
  <c r="I46" i="3"/>
  <c r="J46" i="3" s="1"/>
  <c r="L46" i="3" s="1"/>
  <c r="I53" i="3"/>
  <c r="J53" i="3" s="1"/>
  <c r="L53" i="3" s="1"/>
  <c r="I63" i="3"/>
  <c r="J63" i="3" s="1"/>
  <c r="L63" i="3" s="1"/>
  <c r="I74" i="3"/>
  <c r="J74" i="3" s="1"/>
  <c r="L74" i="3" s="1"/>
  <c r="I76" i="3"/>
  <c r="J76" i="3" s="1"/>
  <c r="L76" i="3" s="1"/>
  <c r="I86" i="3"/>
  <c r="J86" i="3" s="1"/>
  <c r="L86" i="3" s="1"/>
  <c r="I95" i="3"/>
  <c r="J95" i="3" s="1"/>
  <c r="L95" i="3" s="1"/>
  <c r="I108" i="3"/>
  <c r="J108" i="3" s="1"/>
  <c r="L108" i="3" s="1"/>
  <c r="I117" i="3"/>
  <c r="J117" i="3" s="1"/>
  <c r="L117" i="3" s="1"/>
  <c r="I120" i="3"/>
  <c r="J120" i="3" s="1"/>
  <c r="L120" i="3" s="1"/>
  <c r="I126" i="3"/>
  <c r="J126" i="3" s="1"/>
  <c r="L126" i="3" s="1"/>
  <c r="I133" i="3"/>
  <c r="J133" i="3" s="1"/>
  <c r="L133" i="3" s="1"/>
  <c r="I151" i="3"/>
  <c r="J151" i="3" s="1"/>
  <c r="L151" i="3" s="1"/>
  <c r="I143" i="3"/>
  <c r="J143" i="3" s="1"/>
  <c r="L143" i="3" s="1"/>
  <c r="I164" i="3"/>
  <c r="J164" i="3" s="1"/>
  <c r="L164" i="3" s="1"/>
  <c r="I171" i="3"/>
  <c r="J171" i="3" s="1"/>
  <c r="L171" i="3" s="1"/>
  <c r="I178" i="3"/>
  <c r="J178" i="3" s="1"/>
  <c r="L178" i="3" s="1"/>
  <c r="I7" i="3"/>
  <c r="J7" i="3" s="1"/>
  <c r="L7" i="3" s="1"/>
  <c r="I16" i="3"/>
  <c r="J16" i="3" s="1"/>
  <c r="L16" i="3" s="1"/>
  <c r="I21" i="3"/>
  <c r="J21" i="3" s="1"/>
  <c r="L21" i="3" s="1"/>
  <c r="I36" i="3"/>
  <c r="J36" i="3" s="1"/>
  <c r="L36" i="3" s="1"/>
  <c r="I42" i="3"/>
  <c r="J42" i="3" s="1"/>
  <c r="L42" i="3" s="1"/>
  <c r="I45" i="3"/>
  <c r="J45" i="3" s="1"/>
  <c r="L45" i="3" s="1"/>
  <c r="I56" i="3"/>
  <c r="J56" i="3" s="1"/>
  <c r="L56" i="3" s="1"/>
  <c r="I69" i="3"/>
  <c r="J69" i="3" s="1"/>
  <c r="L69" i="3" s="1"/>
  <c r="I73" i="3"/>
  <c r="J73" i="3" s="1"/>
  <c r="L73" i="3" s="1"/>
  <c r="I79" i="3"/>
  <c r="J79" i="3" s="1"/>
  <c r="L79" i="3" s="1"/>
  <c r="I88" i="3"/>
  <c r="J88" i="3" s="1"/>
  <c r="L88" i="3" s="1"/>
  <c r="I100" i="3"/>
  <c r="J100" i="3" s="1"/>
  <c r="L100" i="3" s="1"/>
  <c r="I107" i="3"/>
  <c r="J107" i="3" s="1"/>
  <c r="L107" i="3" s="1"/>
  <c r="I116" i="3"/>
  <c r="J116" i="3" s="1"/>
  <c r="L116" i="3" s="1"/>
  <c r="I119" i="3"/>
  <c r="J119" i="3" s="1"/>
  <c r="L119" i="3" s="1"/>
  <c r="I123" i="3"/>
  <c r="J123" i="3" s="1"/>
  <c r="L123" i="3" s="1"/>
  <c r="I136" i="3"/>
  <c r="J136" i="3" s="1"/>
  <c r="L136" i="3" s="1"/>
  <c r="I150" i="3"/>
  <c r="J150" i="3" s="1"/>
  <c r="L150" i="3" s="1"/>
  <c r="I152" i="3"/>
  <c r="J152" i="3" s="1"/>
  <c r="L152" i="3" s="1"/>
  <c r="I163" i="3"/>
  <c r="J163" i="3" s="1"/>
  <c r="L163" i="3" s="1"/>
  <c r="I170" i="3"/>
  <c r="J170" i="3" s="1"/>
  <c r="L170" i="3" s="1"/>
  <c r="I177" i="3"/>
  <c r="J177" i="3" s="1"/>
  <c r="L177" i="3" s="1"/>
  <c r="I176" i="3"/>
  <c r="J176" i="3" s="1"/>
  <c r="L176" i="3" s="1"/>
  <c r="I17" i="3"/>
  <c r="J17" i="3" s="1"/>
  <c r="L17" i="3" s="1"/>
  <c r="I162" i="3"/>
  <c r="J162" i="3" s="1"/>
  <c r="L162" i="3" s="1"/>
  <c r="I2" i="3"/>
  <c r="J2" i="3" s="1"/>
  <c r="I24" i="3"/>
  <c r="J24" i="3" s="1"/>
  <c r="L24" i="3" s="1"/>
  <c r="I34" i="3"/>
  <c r="J34" i="3" s="1"/>
  <c r="L34" i="3" s="1"/>
  <c r="I50" i="3"/>
  <c r="J50" i="3" s="1"/>
  <c r="L50" i="3" s="1"/>
  <c r="I87" i="3"/>
  <c r="J87" i="3" s="1"/>
  <c r="L87" i="3" s="1"/>
  <c r="I85" i="3"/>
  <c r="J85" i="3" s="1"/>
  <c r="L85" i="3" s="1"/>
  <c r="J181" i="3" l="1"/>
  <c r="J183" i="3" s="1"/>
  <c r="L2" i="3"/>
  <c r="L181" i="3" s="1"/>
  <c r="D22" i="4"/>
  <c r="D12" i="4"/>
  <c r="D2" i="4"/>
  <c r="D15" i="4"/>
  <c r="D19" i="4"/>
  <c r="D3" i="4"/>
  <c r="D13" i="4"/>
  <c r="D23" i="4"/>
  <c r="D17" i="4"/>
  <c r="D20" i="4"/>
  <c r="D26" i="4"/>
  <c r="D24" i="4"/>
  <c r="D4" i="4"/>
  <c r="D25" i="4"/>
  <c r="D18" i="4"/>
  <c r="D21" i="4"/>
  <c r="D27" i="4"/>
  <c r="D6" i="4"/>
  <c r="D16" i="4"/>
  <c r="D10" i="4"/>
  <c r="D7" i="4"/>
  <c r="D9" i="4"/>
  <c r="D8" i="4"/>
  <c r="D14" i="4"/>
  <c r="D5" i="4"/>
  <c r="F15" i="4" l="1"/>
  <c r="G15" i="4"/>
  <c r="F4" i="4"/>
  <c r="G4" i="4"/>
  <c r="F24" i="4"/>
  <c r="G24" i="4"/>
  <c r="F16" i="4"/>
  <c r="G16" i="4"/>
  <c r="F26" i="4"/>
  <c r="G26" i="4"/>
  <c r="F2" i="4"/>
  <c r="G2" i="4"/>
  <c r="F25" i="4"/>
  <c r="G25" i="4"/>
  <c r="F10" i="4"/>
  <c r="G10" i="4"/>
  <c r="F6" i="4"/>
  <c r="G6" i="4"/>
  <c r="F20" i="4"/>
  <c r="G20" i="4"/>
  <c r="F12" i="4"/>
  <c r="G12" i="4"/>
  <c r="F9" i="4"/>
  <c r="G9" i="4"/>
  <c r="F27" i="4"/>
  <c r="G27" i="4"/>
  <c r="F17" i="4"/>
  <c r="G17" i="4"/>
  <c r="F22" i="4"/>
  <c r="G22" i="4"/>
  <c r="F3" i="4"/>
  <c r="G3" i="4"/>
  <c r="F5" i="4"/>
  <c r="G5" i="4"/>
  <c r="F14" i="4"/>
  <c r="G14" i="4"/>
  <c r="F21" i="4"/>
  <c r="G21" i="4"/>
  <c r="F23" i="4"/>
  <c r="G23" i="4"/>
  <c r="F7" i="4"/>
  <c r="G7" i="4"/>
  <c r="F19" i="4"/>
  <c r="G19" i="4"/>
  <c r="F8" i="4"/>
  <c r="G8" i="4"/>
  <c r="F18" i="4"/>
  <c r="G18" i="4"/>
  <c r="F13" i="4"/>
  <c r="G13" i="4"/>
  <c r="D28" i="4"/>
  <c r="F28" i="4" l="1"/>
  <c r="G2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tc={C58F29C5-82F5-4AB4-86BA-F4CDFEEF8B3C}</author>
    <author>tc={F9A10F51-3EBB-43E0-884A-0316AD2004B6}</author>
  </authors>
  <commentList>
    <comment ref="I181" authorId="0" shapeId="0" xr:uid="{C58F29C5-82F5-4AB4-86BA-F4CDFEEF8B3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the obtained rate before filling data for new territories that were not there in 1984. This rate is used from 2016 to bridge to 2018.</t>
      </text>
    </comment>
    <comment ref="J183" authorId="1" shapeId="0" xr:uid="{F9A10F51-3EBB-43E0-884A-0316AD2004B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growth rate applies wherever there is missing data</t>
      </text>
    </comment>
  </commentList>
</comments>
</file>

<file path=xl/sharedStrings.xml><?xml version="1.0" encoding="utf-8"?>
<sst xmlns="http://schemas.openxmlformats.org/spreadsheetml/2006/main" count="458" uniqueCount="230">
  <si>
    <t>LISALA</t>
  </si>
  <si>
    <t>BUMBA</t>
  </si>
  <si>
    <t>MANKANZA</t>
  </si>
  <si>
    <t>BONGANDANGA</t>
  </si>
  <si>
    <t>KASONGO</t>
  </si>
  <si>
    <t>KABONGO</t>
  </si>
  <si>
    <t>DUNGU</t>
  </si>
  <si>
    <t>KIRI</t>
  </si>
  <si>
    <t>RUNGU</t>
  </si>
  <si>
    <t>SEKE-BANZA</t>
  </si>
  <si>
    <t>KASONGO-LUNDA</t>
  </si>
  <si>
    <t>MADIMBA</t>
  </si>
  <si>
    <t>KAHEMBA</t>
  </si>
  <si>
    <t>WAMBA</t>
  </si>
  <si>
    <t>MASI-MANIMBA</t>
  </si>
  <si>
    <t>BONDO</t>
  </si>
  <si>
    <t>Kasai</t>
  </si>
  <si>
    <t>Kasai Central</t>
  </si>
  <si>
    <t>TSHELA</t>
  </si>
  <si>
    <t>KASENGA</t>
  </si>
  <si>
    <t>BOMONGO</t>
  </si>
  <si>
    <t>BOKUNGU</t>
  </si>
  <si>
    <t>WALUNGU</t>
  </si>
  <si>
    <t>KUTU</t>
  </si>
  <si>
    <t>KUNGU</t>
  </si>
  <si>
    <t>BANALIA</t>
  </si>
  <si>
    <t>ISANGI</t>
  </si>
  <si>
    <t>AKETI</t>
  </si>
  <si>
    <t>ANGO</t>
  </si>
  <si>
    <t>BAMBESA</t>
  </si>
  <si>
    <t>BUTA</t>
  </si>
  <si>
    <t>Buta-ville</t>
  </si>
  <si>
    <t>POKO</t>
  </si>
  <si>
    <t>BASANKUSU</t>
  </si>
  <si>
    <t>BIKORO</t>
  </si>
  <si>
    <t>BOLOMBA</t>
  </si>
  <si>
    <t>INGENDE</t>
  </si>
  <si>
    <t>LUKOLELA</t>
  </si>
  <si>
    <t>Mbandaka-ville</t>
  </si>
  <si>
    <t>KAMBOVE</t>
  </si>
  <si>
    <t>KIPUSHI</t>
  </si>
  <si>
    <t>Likasi-ville</t>
  </si>
  <si>
    <t>Lubumbashi-ville</t>
  </si>
  <si>
    <t>MITWABA</t>
  </si>
  <si>
    <t>PWETO</t>
  </si>
  <si>
    <t>SAKANIA</t>
  </si>
  <si>
    <t>BUKAMA</t>
  </si>
  <si>
    <t>KAMINA</t>
  </si>
  <si>
    <t>Kamina-Ville</t>
  </si>
  <si>
    <t>KANIAMA</t>
  </si>
  <si>
    <t>MALEMBA-NKULU</t>
  </si>
  <si>
    <t>FARADJE</t>
  </si>
  <si>
    <t>Isiro-ville</t>
  </si>
  <si>
    <t>NIANGARA</t>
  </si>
  <si>
    <t>WATSA</t>
  </si>
  <si>
    <t>ARU</t>
  </si>
  <si>
    <t>Bunia-ville</t>
  </si>
  <si>
    <t>DJUGU</t>
  </si>
  <si>
    <t>IRUMU</t>
  </si>
  <si>
    <t>MAHAGI</t>
  </si>
  <si>
    <t>MAMBASA</t>
  </si>
  <si>
    <t>DEKESE</t>
  </si>
  <si>
    <t>ILEBO</t>
  </si>
  <si>
    <t>LUEBO</t>
  </si>
  <si>
    <t>MWEKA</t>
  </si>
  <si>
    <t>TSHIKAPA</t>
  </si>
  <si>
    <t>Tshikapa-ville</t>
  </si>
  <si>
    <t>DEMBA</t>
  </si>
  <si>
    <t>DIBAYA</t>
  </si>
  <si>
    <t>DIMBELENGE</t>
  </si>
  <si>
    <t>Kananga-ville</t>
  </si>
  <si>
    <t>KAZUMBA</t>
  </si>
  <si>
    <t>LUIZA</t>
  </si>
  <si>
    <t>KABEYA-KAMWANGA</t>
  </si>
  <si>
    <t>KATANDA</t>
  </si>
  <si>
    <t>LUPATAPATA</t>
  </si>
  <si>
    <t>Mbuji-Mayi-ville</t>
  </si>
  <si>
    <t>MIABI</t>
  </si>
  <si>
    <t>TSHILENGE</t>
  </si>
  <si>
    <t>Boma-ville</t>
  </si>
  <si>
    <t>KASANGULU</t>
  </si>
  <si>
    <t>KIMVULA</t>
  </si>
  <si>
    <t>LUKULA</t>
  </si>
  <si>
    <t>LUOZI</t>
  </si>
  <si>
    <t>Matadi-ville</t>
  </si>
  <si>
    <t>MBANZA-NGUNGU</t>
  </si>
  <si>
    <t>MOANDA</t>
  </si>
  <si>
    <t>SONGOLOLO</t>
  </si>
  <si>
    <t>FESHI</t>
  </si>
  <si>
    <t>KENGE</t>
  </si>
  <si>
    <t>Kenge-ville</t>
  </si>
  <si>
    <t>POPOKABAKA</t>
  </si>
  <si>
    <t>BAGATA</t>
  </si>
  <si>
    <t>Bandundu-ville</t>
  </si>
  <si>
    <t>BULUNGU</t>
  </si>
  <si>
    <t>GUNGU</t>
  </si>
  <si>
    <t>IDIOFA</t>
  </si>
  <si>
    <t>Kikwit-ville</t>
  </si>
  <si>
    <t>KABINDA</t>
  </si>
  <si>
    <t>Kabinda-Ville</t>
  </si>
  <si>
    <t>KAMIJI</t>
  </si>
  <si>
    <t>LUBAO</t>
  </si>
  <si>
    <t>LUILU-(MWENE-DITU)</t>
  </si>
  <si>
    <t>Mwene-Ditu-ville</t>
  </si>
  <si>
    <t>NGANDAJIKA</t>
  </si>
  <si>
    <t>DILOLO</t>
  </si>
  <si>
    <t>KAPANGA</t>
  </si>
  <si>
    <t>Kolwezi-ville</t>
  </si>
  <si>
    <t>LUBUDI</t>
  </si>
  <si>
    <t>MUTSHATSHA</t>
  </si>
  <si>
    <t>SANDOA</t>
  </si>
  <si>
    <t>BOLOBO</t>
  </si>
  <si>
    <t>INONGO</t>
  </si>
  <si>
    <t>Inongo-ville</t>
  </si>
  <si>
    <t>KWAMOUTH</t>
  </si>
  <si>
    <t>MUSHIE</t>
  </si>
  <si>
    <t>OSHWE</t>
  </si>
  <si>
    <t>YUMBI</t>
  </si>
  <si>
    <t>KABAMBARE</t>
  </si>
  <si>
    <t>KAILO</t>
  </si>
  <si>
    <t>KIBOMBO</t>
  </si>
  <si>
    <t>Kindu-ville</t>
  </si>
  <si>
    <t>LUBUTU</t>
  </si>
  <si>
    <t>PANGI</t>
  </si>
  <si>
    <t>PUNIA</t>
  </si>
  <si>
    <t>Lisala-ville</t>
  </si>
  <si>
    <t>BENI</t>
  </si>
  <si>
    <t>Beniville</t>
  </si>
  <si>
    <t>Butembo-ville</t>
  </si>
  <si>
    <t>Goma-ville</t>
  </si>
  <si>
    <t>LUBERO</t>
  </si>
  <si>
    <t>MASISI</t>
  </si>
  <si>
    <t>NYIRAGONGO</t>
  </si>
  <si>
    <t>RUTSHURU</t>
  </si>
  <si>
    <t>WALIKALE</t>
  </si>
  <si>
    <t>BOSOBOLO</t>
  </si>
  <si>
    <t>BUSINGA</t>
  </si>
  <si>
    <t>Gbadolite-ville</t>
  </si>
  <si>
    <t>MOBAYI-MBONGO</t>
  </si>
  <si>
    <t>YAKOMA</t>
  </si>
  <si>
    <t>KATAKO-KOMBE</t>
  </si>
  <si>
    <t>KOLE</t>
  </si>
  <si>
    <t>LODJA</t>
  </si>
  <si>
    <t>LOMELA</t>
  </si>
  <si>
    <t>LUBEFU</t>
  </si>
  <si>
    <t>LUSAMBO</t>
  </si>
  <si>
    <t>Lusambo-Ville</t>
  </si>
  <si>
    <t>Bukavu-ville</t>
  </si>
  <si>
    <t>FIZI</t>
  </si>
  <si>
    <t>IDJWI</t>
  </si>
  <si>
    <t>KABARE</t>
  </si>
  <si>
    <t>KALEHE</t>
  </si>
  <si>
    <t>MWENGA</t>
  </si>
  <si>
    <t>SHABUNDA</t>
  </si>
  <si>
    <t>UVIRA</t>
  </si>
  <si>
    <t>BUDJALA</t>
  </si>
  <si>
    <t>GEMENA</t>
  </si>
  <si>
    <t>Gemena-ville</t>
  </si>
  <si>
    <t>LIBENGE</t>
  </si>
  <si>
    <t>Zongo-ville</t>
  </si>
  <si>
    <t>KABALO</t>
  </si>
  <si>
    <t>KALEMIE</t>
  </si>
  <si>
    <t>Kalemie-Ville</t>
  </si>
  <si>
    <t>KONGOLO</t>
  </si>
  <si>
    <t>MANONO</t>
  </si>
  <si>
    <t>MOBA</t>
  </si>
  <si>
    <t>NYUNZU</t>
  </si>
  <si>
    <t>BAFWASENDE</t>
  </si>
  <si>
    <t>BASOKO</t>
  </si>
  <si>
    <t>Kisangani-ville</t>
  </si>
  <si>
    <t>OPALA</t>
  </si>
  <si>
    <t>UBUNDU</t>
  </si>
  <si>
    <t>YAHUMA</t>
  </si>
  <si>
    <t>BEFALE</t>
  </si>
  <si>
    <t>BOENDE</t>
  </si>
  <si>
    <t>Boende-ville</t>
  </si>
  <si>
    <t>DJOLU</t>
  </si>
  <si>
    <t>IKELA</t>
  </si>
  <si>
    <t>MONKOTO</t>
  </si>
  <si>
    <t>Total-general</t>
  </si>
  <si>
    <t>Bas Uele</t>
  </si>
  <si>
    <t>Equateur</t>
  </si>
  <si>
    <t xml:space="preserve">Haut Katanga </t>
  </si>
  <si>
    <t>Haut Lomami</t>
  </si>
  <si>
    <t>Haut Uele</t>
  </si>
  <si>
    <t>Ituri</t>
  </si>
  <si>
    <t>Kasai-Central</t>
  </si>
  <si>
    <t>Kasai Oriental</t>
  </si>
  <si>
    <t>Kinshasa</t>
  </si>
  <si>
    <t>Kongo-Central</t>
  </si>
  <si>
    <t>Kongo Central</t>
  </si>
  <si>
    <t>Kwango</t>
  </si>
  <si>
    <t>Kwilu</t>
  </si>
  <si>
    <t>Lomami</t>
  </si>
  <si>
    <t>Lualaba</t>
  </si>
  <si>
    <t>Mai-Ndombe</t>
  </si>
  <si>
    <t>Maniema</t>
  </si>
  <si>
    <t>Mongala</t>
  </si>
  <si>
    <t>Nord-Kivu</t>
  </si>
  <si>
    <t>Nord Ubangi</t>
  </si>
  <si>
    <t>Sankuru</t>
  </si>
  <si>
    <t>Sud-Kivu</t>
  </si>
  <si>
    <t>Sud -Ubangi</t>
  </si>
  <si>
    <t>Tanganyika</t>
  </si>
  <si>
    <t>Tshuapa</t>
  </si>
  <si>
    <t>N°</t>
  </si>
  <si>
    <t>Provinces</t>
  </si>
  <si>
    <t>Terrioires+Villes</t>
  </si>
  <si>
    <t>Province</t>
  </si>
  <si>
    <t>Bas-Uele</t>
  </si>
  <si>
    <t>Haut Katanga</t>
  </si>
  <si>
    <t>Haut-Lomami</t>
  </si>
  <si>
    <t>Haut-Uele</t>
  </si>
  <si>
    <t>Kasai-Oriental</t>
  </si>
  <si>
    <t>Nord-Ubangi</t>
  </si>
  <si>
    <t>Sud-Ubangi</t>
  </si>
  <si>
    <t>Tshopo</t>
  </si>
  <si>
    <t>TOTAL</t>
  </si>
  <si>
    <t>Residence</t>
  </si>
  <si>
    <t>Territoire</t>
  </si>
  <si>
    <t>Ville</t>
  </si>
  <si>
    <t>Voter's enrolment</t>
  </si>
  <si>
    <t>Prov Weight</t>
  </si>
  <si>
    <t>Population in 1984</t>
  </si>
  <si>
    <t>Adjustment</t>
  </si>
  <si>
    <t>Pop 1984</t>
  </si>
  <si>
    <t xml:space="preserve">Pop 2018 </t>
  </si>
  <si>
    <t>Total pop in 2016</t>
  </si>
  <si>
    <t>Population 2018</t>
  </si>
  <si>
    <t>Pop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</si>
</sst>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.5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1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4" borderId="0" xfId="0" applyFill="1"/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6" fillId="0" borderId="1" xfId="0" applyFont="1" applyBorder="1"/>
    <xf numFmtId="0" fontId="7" fillId="0" borderId="1" xfId="0" applyFont="1" applyBorder="1" applyAlignment="1">
      <alignment horizontal="right" vertical="center"/>
    </xf>
    <xf numFmtId="0" fontId="4" fillId="0" borderId="1" xfId="0" applyFont="1" applyBorder="1"/>
    <xf numFmtId="43" fontId="4" fillId="0" borderId="0" xfId="0" applyNumberFormat="1" applyFont="1"/>
    <xf numFmtId="0" fontId="5" fillId="0" borderId="0" xfId="0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horizontal="right" vertical="center" wrapText="1"/>
    </xf>
    <xf numFmtId="1" fontId="4" fillId="0" borderId="0" xfId="0" applyNumberFormat="1" applyFont="1" applyFill="1" applyBorder="1"/>
    <xf numFmtId="1" fontId="5" fillId="0" borderId="0" xfId="0" applyNumberFormat="1" applyFont="1" applyFill="1" applyBorder="1" applyAlignment="1">
      <alignment horizontal="right" vertical="center" wrapText="1"/>
    </xf>
    <xf numFmtId="0" fontId="4" fillId="0" borderId="0" xfId="0" applyFont="1" applyFill="1" applyBorder="1"/>
    <xf numFmtId="0" fontId="0" fillId="0" borderId="0" xfId="0" applyFill="1" applyBorder="1"/>
    <xf numFmtId="1" fontId="4" fillId="2" borderId="1" xfId="0" applyNumberFormat="1" applyFont="1" applyFill="1" applyBorder="1" applyAlignment="1">
      <alignment horizontal="right" vertical="center" wrapText="1"/>
    </xf>
    <xf numFmtId="1" fontId="4" fillId="0" borderId="1" xfId="0" applyNumberFormat="1" applyFont="1" applyBorder="1"/>
    <xf numFmtId="1" fontId="5" fillId="3" borderId="1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njamin Muhoza Kanze" id="{B65D0D2E-8B0A-4160-AAAE-C03084EEA911}" userId="S::BMuhozaKanze@ad.ua.ac.be::6fbf96dd-7190-42c3-8e8e-960444f958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81" dT="2021-02-19T15:05:55.56" personId="{B65D0D2E-8B0A-4160-AAAE-C03084EEA911}" id="{C58F29C5-82F5-4AB4-86BA-F4CDFEEF8B3C}">
    <text>This is the obtained rate before filling data for new territories that were not there in 1984. This rate is used from 2016 to bridge to 2018.</text>
  </threadedComment>
  <threadedComment ref="J183" dT="2021-02-19T15:06:24.45" personId="{B65D0D2E-8B0A-4160-AAAE-C03084EEA911}" id="{F9A10F51-3EBB-43E0-884A-0316AD2004B6}">
    <text>This growth rate applies wherever there is missing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3A7B-E4CC-4EBD-B176-11E2D7A467FF}">
  <dimension ref="A1:M183"/>
  <sheetViews>
    <sheetView tabSelected="1" workbookViewId="0">
      <pane ySplit="1" topLeftCell="A53" activePane="bottomLeft" state="frozen"/>
      <selection pane="bottomLeft" activeCell="N56" sqref="N56"/>
    </sheetView>
  </sheetViews>
  <sheetFormatPr defaultRowHeight="14.5" x14ac:dyDescent="0.35"/>
  <cols>
    <col min="1" max="1" width="4.81640625" customWidth="1"/>
    <col min="2" max="2" width="17.453125" customWidth="1"/>
    <col min="3" max="3" width="19.1796875" customWidth="1"/>
    <col min="5" max="5" width="10.90625" customWidth="1"/>
    <col min="9" max="9" width="10.7265625" bestFit="1" customWidth="1"/>
    <col min="10" max="10" width="8.81640625" bestFit="1" customWidth="1"/>
    <col min="11" max="11" width="8.81640625" customWidth="1"/>
    <col min="12" max="12" width="10.90625" customWidth="1"/>
  </cols>
  <sheetData>
    <row r="1" spans="1:12" ht="29" customHeight="1" x14ac:dyDescent="0.35">
      <c r="A1" s="4" t="s">
        <v>205</v>
      </c>
      <c r="B1" s="4" t="s">
        <v>206</v>
      </c>
      <c r="C1" s="4" t="s">
        <v>207</v>
      </c>
      <c r="D1" s="7" t="s">
        <v>218</v>
      </c>
      <c r="E1" s="4" t="s">
        <v>221</v>
      </c>
      <c r="F1" s="4" t="s">
        <v>227</v>
      </c>
      <c r="G1" s="4"/>
      <c r="H1" s="4" t="s">
        <v>225</v>
      </c>
      <c r="I1" s="4" t="s">
        <v>224</v>
      </c>
      <c r="J1" s="4" t="s">
        <v>226</v>
      </c>
      <c r="K1" s="4"/>
      <c r="L1" s="4" t="s">
        <v>229</v>
      </c>
    </row>
    <row r="2" spans="1:12" x14ac:dyDescent="0.35">
      <c r="A2" s="1">
        <v>1</v>
      </c>
      <c r="B2" s="1" t="s">
        <v>180</v>
      </c>
      <c r="C2" s="2" t="s">
        <v>27</v>
      </c>
      <c r="D2" t="s">
        <v>219</v>
      </c>
      <c r="E2" s="2">
        <v>83097</v>
      </c>
      <c r="F2" s="5">
        <f>(100*E2)/54.53</f>
        <v>152387.67650834404</v>
      </c>
      <c r="G2" s="5"/>
      <c r="H2">
        <v>93434</v>
      </c>
      <c r="I2">
        <f>POWER(F2/H2,1/32)</f>
        <v>1.0154040780922677</v>
      </c>
      <c r="J2" s="5">
        <f>F2*POWER(I2,2)</f>
        <v>157118.61925139758</v>
      </c>
      <c r="K2" s="5"/>
      <c r="L2" s="5">
        <f>J2*POWER(I2,12)</f>
        <v>188753.27404076999</v>
      </c>
    </row>
    <row r="3" spans="1:12" x14ac:dyDescent="0.35">
      <c r="A3" s="1"/>
      <c r="B3" s="1"/>
      <c r="C3" s="2" t="s">
        <v>28</v>
      </c>
      <c r="D3" t="s">
        <v>219</v>
      </c>
      <c r="E3" s="2">
        <v>39322</v>
      </c>
      <c r="F3" s="5">
        <f t="shared" ref="F3:F8" si="0">(100*E3)/54.53</f>
        <v>72110.764716669728</v>
      </c>
      <c r="G3" s="5"/>
      <c r="H3">
        <v>48862</v>
      </c>
      <c r="I3">
        <f t="shared" ref="I3:I66" si="1">POWER(F3/H3,1/32)</f>
        <v>1.0122368695482831</v>
      </c>
      <c r="J3" s="5">
        <f t="shared" ref="J3:J66" si="2">F3*POWER(I3,2)</f>
        <v>73886.382694712796</v>
      </c>
      <c r="K3" s="5"/>
      <c r="L3" s="5">
        <f t="shared" ref="L3:L66" si="3">J3*POWER(I3,12)</f>
        <v>85496.872461522828</v>
      </c>
    </row>
    <row r="4" spans="1:12" x14ac:dyDescent="0.35">
      <c r="A4" s="1"/>
      <c r="B4" s="1"/>
      <c r="C4" s="2" t="s">
        <v>29</v>
      </c>
      <c r="D4" t="s">
        <v>219</v>
      </c>
      <c r="E4" s="2">
        <v>56795</v>
      </c>
      <c r="F4" s="5">
        <f t="shared" si="0"/>
        <v>104153.67687511462</v>
      </c>
      <c r="G4" s="5"/>
      <c r="H4">
        <v>99419</v>
      </c>
      <c r="I4">
        <f t="shared" si="1"/>
        <v>1.0014549395382675</v>
      </c>
      <c r="J4" s="5">
        <f t="shared" si="2"/>
        <v>104456.97195781069</v>
      </c>
      <c r="K4" s="5"/>
      <c r="L4" s="5">
        <f t="shared" si="3"/>
        <v>106295.37980652633</v>
      </c>
    </row>
    <row r="5" spans="1:12" x14ac:dyDescent="0.35">
      <c r="A5" s="1"/>
      <c r="B5" s="1"/>
      <c r="C5" s="2" t="s">
        <v>15</v>
      </c>
      <c r="D5" t="s">
        <v>219</v>
      </c>
      <c r="E5" s="2">
        <v>128646</v>
      </c>
      <c r="F5" s="5">
        <f t="shared" si="0"/>
        <v>235917.8433889602</v>
      </c>
      <c r="G5" s="5"/>
      <c r="H5">
        <v>116538</v>
      </c>
      <c r="I5">
        <f t="shared" si="1"/>
        <v>1.0222842349176076</v>
      </c>
      <c r="J5" s="5">
        <f t="shared" si="2"/>
        <v>246549.49443941843</v>
      </c>
      <c r="K5" s="5"/>
      <c r="L5" s="5">
        <f t="shared" si="3"/>
        <v>321191.52483881661</v>
      </c>
    </row>
    <row r="6" spans="1:12" x14ac:dyDescent="0.35">
      <c r="A6" s="1"/>
      <c r="B6" s="1"/>
      <c r="C6" s="2" t="s">
        <v>30</v>
      </c>
      <c r="D6" t="s">
        <v>219</v>
      </c>
      <c r="E6" s="2">
        <v>39638</v>
      </c>
      <c r="F6" s="5">
        <f t="shared" si="0"/>
        <v>72690.262240968266</v>
      </c>
      <c r="G6" s="5"/>
      <c r="H6">
        <v>46839</v>
      </c>
      <c r="I6">
        <f t="shared" si="1"/>
        <v>1.013828847333156</v>
      </c>
      <c r="J6" s="5">
        <f t="shared" si="2"/>
        <v>74714.608388272696</v>
      </c>
      <c r="K6" s="5"/>
      <c r="L6" s="5">
        <f t="shared" si="3"/>
        <v>88101.085094934329</v>
      </c>
    </row>
    <row r="7" spans="1:12" x14ac:dyDescent="0.35">
      <c r="A7" s="1"/>
      <c r="B7" s="1"/>
      <c r="C7" s="2" t="s">
        <v>31</v>
      </c>
      <c r="D7" t="s">
        <v>220</v>
      </c>
      <c r="E7" s="2">
        <v>33712</v>
      </c>
      <c r="F7" s="5">
        <f>(100*E7)/52.8</f>
        <v>63848.484848484855</v>
      </c>
      <c r="G7" s="5"/>
      <c r="H7">
        <v>28133</v>
      </c>
      <c r="I7">
        <f t="shared" si="1"/>
        <v>1.025942343365372</v>
      </c>
      <c r="J7" s="5">
        <f t="shared" si="2"/>
        <v>67204.213844073805</v>
      </c>
      <c r="K7" s="5"/>
      <c r="L7" s="5">
        <f t="shared" si="3"/>
        <v>91384.378200345061</v>
      </c>
    </row>
    <row r="8" spans="1:12" x14ac:dyDescent="0.35">
      <c r="A8" s="1"/>
      <c r="B8" s="1"/>
      <c r="C8" s="2" t="s">
        <v>32</v>
      </c>
      <c r="D8" t="s">
        <v>219</v>
      </c>
      <c r="E8" s="2">
        <v>96414</v>
      </c>
      <c r="F8" s="5">
        <f t="shared" si="0"/>
        <v>176809.09591050798</v>
      </c>
      <c r="G8" s="5"/>
      <c r="H8">
        <v>112233</v>
      </c>
      <c r="I8">
        <f t="shared" si="1"/>
        <v>1.0143042634938788</v>
      </c>
      <c r="J8" s="5">
        <f t="shared" si="2"/>
        <v>181903.52095716211</v>
      </c>
      <c r="K8" s="5"/>
      <c r="L8" s="5">
        <f t="shared" si="3"/>
        <v>215704.95291991011</v>
      </c>
    </row>
    <row r="9" spans="1:12" x14ac:dyDescent="0.35">
      <c r="A9" s="1">
        <v>2</v>
      </c>
      <c r="B9" s="1" t="s">
        <v>181</v>
      </c>
      <c r="C9" s="2" t="s">
        <v>33</v>
      </c>
      <c r="D9" t="s">
        <v>219</v>
      </c>
      <c r="E9" s="2">
        <v>139557</v>
      </c>
      <c r="F9" s="5">
        <f>(100*E9)/42.36</f>
        <v>329454.67422096315</v>
      </c>
      <c r="G9" s="5"/>
      <c r="H9">
        <v>84484</v>
      </c>
      <c r="I9">
        <f t="shared" si="1"/>
        <v>1.0434446404271198</v>
      </c>
      <c r="J9" s="5">
        <f t="shared" si="2"/>
        <v>358702.57880816481</v>
      </c>
      <c r="K9" s="5"/>
      <c r="L9" s="5">
        <f t="shared" si="3"/>
        <v>597540.64436771185</v>
      </c>
    </row>
    <row r="10" spans="1:12" x14ac:dyDescent="0.35">
      <c r="A10" s="1"/>
      <c r="B10" s="1"/>
      <c r="C10" s="2" t="s">
        <v>34</v>
      </c>
      <c r="D10" t="s">
        <v>219</v>
      </c>
      <c r="E10" s="2">
        <v>131580</v>
      </c>
      <c r="F10" s="5">
        <f t="shared" ref="F10:F15" si="4">(100*E10)/42.36</f>
        <v>310623.22946175636</v>
      </c>
      <c r="G10" s="5"/>
      <c r="H10">
        <v>119993</v>
      </c>
      <c r="I10">
        <f t="shared" si="1"/>
        <v>1.0301695010065821</v>
      </c>
      <c r="J10" s="5">
        <f t="shared" si="2"/>
        <v>329648.65401749313</v>
      </c>
      <c r="K10" s="5"/>
      <c r="L10" s="5">
        <f t="shared" si="3"/>
        <v>470929.13956872403</v>
      </c>
    </row>
    <row r="11" spans="1:12" x14ac:dyDescent="0.35">
      <c r="A11" s="1"/>
      <c r="B11" s="1"/>
      <c r="C11" s="2" t="s">
        <v>35</v>
      </c>
      <c r="D11" t="s">
        <v>219</v>
      </c>
      <c r="E11" s="2">
        <v>151977</v>
      </c>
      <c r="F11" s="5">
        <f t="shared" si="4"/>
        <v>358774.78753541078</v>
      </c>
      <c r="G11" s="5"/>
      <c r="H11">
        <v>98246</v>
      </c>
      <c r="I11">
        <f t="shared" si="1"/>
        <v>1.0413059380201282</v>
      </c>
      <c r="J11" s="5">
        <f t="shared" si="2"/>
        <v>389025.98036168085</v>
      </c>
      <c r="K11" s="5"/>
      <c r="L11" s="5">
        <f t="shared" si="3"/>
        <v>632293.54071832029</v>
      </c>
    </row>
    <row r="12" spans="1:12" x14ac:dyDescent="0.35">
      <c r="A12" s="1"/>
      <c r="B12" s="1"/>
      <c r="C12" s="2" t="s">
        <v>20</v>
      </c>
      <c r="D12" t="s">
        <v>219</v>
      </c>
      <c r="E12" s="2">
        <v>100187</v>
      </c>
      <c r="F12" s="5">
        <f t="shared" si="4"/>
        <v>236513.22001888574</v>
      </c>
      <c r="G12" s="5"/>
      <c r="H12">
        <v>35760</v>
      </c>
      <c r="I12">
        <f t="shared" si="1"/>
        <v>1.0608141637728912</v>
      </c>
      <c r="J12" s="5">
        <f t="shared" si="2"/>
        <v>266154.63903956395</v>
      </c>
      <c r="K12" s="5"/>
      <c r="L12" s="5">
        <f t="shared" si="3"/>
        <v>540512.51842551038</v>
      </c>
    </row>
    <row r="13" spans="1:12" x14ac:dyDescent="0.35">
      <c r="A13" s="1"/>
      <c r="B13" s="1"/>
      <c r="C13" s="2" t="s">
        <v>36</v>
      </c>
      <c r="D13" t="s">
        <v>219</v>
      </c>
      <c r="E13" s="2">
        <v>114294</v>
      </c>
      <c r="F13" s="5">
        <f t="shared" si="4"/>
        <v>269815.86402266292</v>
      </c>
      <c r="G13" s="5"/>
      <c r="H13">
        <v>90255</v>
      </c>
      <c r="I13">
        <f t="shared" si="1"/>
        <v>1.0348142047113178</v>
      </c>
      <c r="J13" s="5">
        <f t="shared" si="2"/>
        <v>288929.73808285227</v>
      </c>
      <c r="K13" s="5"/>
      <c r="L13" s="5">
        <f t="shared" si="3"/>
        <v>435653.11404519423</v>
      </c>
    </row>
    <row r="14" spans="1:12" x14ac:dyDescent="0.35">
      <c r="A14" s="1"/>
      <c r="B14" s="1"/>
      <c r="C14" s="2" t="s">
        <v>37</v>
      </c>
      <c r="D14" t="s">
        <v>219</v>
      </c>
      <c r="E14" s="2">
        <v>102060</v>
      </c>
      <c r="F14" s="5">
        <f t="shared" si="4"/>
        <v>240934.84419263457</v>
      </c>
      <c r="G14" s="5"/>
      <c r="H14">
        <v>45824</v>
      </c>
      <c r="I14">
        <f t="shared" si="1"/>
        <v>1.0532348158481761</v>
      </c>
      <c r="J14" s="5">
        <f t="shared" si="2"/>
        <v>267269.88456265943</v>
      </c>
      <c r="K14" s="5"/>
      <c r="L14" s="5">
        <f t="shared" si="3"/>
        <v>498026.56305495935</v>
      </c>
    </row>
    <row r="15" spans="1:12" x14ac:dyDescent="0.35">
      <c r="A15" s="1"/>
      <c r="B15" s="1"/>
      <c r="C15" s="2" t="s">
        <v>2</v>
      </c>
      <c r="D15" t="s">
        <v>219</v>
      </c>
      <c r="E15" s="2">
        <v>67337</v>
      </c>
      <c r="F15" s="5">
        <f t="shared" si="4"/>
        <v>158963.6449480642</v>
      </c>
      <c r="G15" s="5"/>
      <c r="H15">
        <v>23445</v>
      </c>
      <c r="I15">
        <f t="shared" si="1"/>
        <v>1.0616380771650891</v>
      </c>
      <c r="J15" s="5">
        <f t="shared" si="2"/>
        <v>179164.0148100463</v>
      </c>
      <c r="K15" s="5"/>
      <c r="L15" s="5">
        <f t="shared" si="3"/>
        <v>367255.76895097917</v>
      </c>
    </row>
    <row r="16" spans="1:12" x14ac:dyDescent="0.35">
      <c r="A16" s="1"/>
      <c r="B16" s="1"/>
      <c r="C16" s="2" t="s">
        <v>38</v>
      </c>
      <c r="D16" t="s">
        <v>220</v>
      </c>
      <c r="E16" s="2">
        <v>159890</v>
      </c>
      <c r="F16" s="5">
        <f>(100*E16)/46.63</f>
        <v>342890.84280506108</v>
      </c>
      <c r="G16" s="5"/>
      <c r="H16">
        <v>137291</v>
      </c>
      <c r="I16">
        <f t="shared" si="1"/>
        <v>1.029016424706533</v>
      </c>
      <c r="J16" s="5">
        <f t="shared" si="2"/>
        <v>363078.47339111252</v>
      </c>
      <c r="K16" s="5"/>
      <c r="L16" s="5">
        <f t="shared" si="3"/>
        <v>511762.17414617789</v>
      </c>
    </row>
    <row r="17" spans="1:12" x14ac:dyDescent="0.35">
      <c r="A17" s="1">
        <v>3</v>
      </c>
      <c r="B17" s="1" t="s">
        <v>182</v>
      </c>
      <c r="C17" s="2" t="s">
        <v>39</v>
      </c>
      <c r="D17" t="s">
        <v>219</v>
      </c>
      <c r="E17" s="2">
        <v>211193</v>
      </c>
      <c r="F17" s="5">
        <f>(100*E17)/43.11</f>
        <v>489893.29621897475</v>
      </c>
      <c r="G17" s="5"/>
      <c r="H17">
        <v>123366</v>
      </c>
      <c r="I17">
        <f t="shared" si="1"/>
        <v>1.0440368145383581</v>
      </c>
      <c r="J17" s="5">
        <f t="shared" si="2"/>
        <v>533989.99785997986</v>
      </c>
      <c r="K17" s="5"/>
      <c r="L17" s="5">
        <f t="shared" si="3"/>
        <v>895618.13172991574</v>
      </c>
    </row>
    <row r="18" spans="1:12" x14ac:dyDescent="0.35">
      <c r="A18" s="1"/>
      <c r="B18" s="1"/>
      <c r="C18" s="2" t="s">
        <v>19</v>
      </c>
      <c r="D18" t="s">
        <v>219</v>
      </c>
      <c r="E18" s="2">
        <v>162193</v>
      </c>
      <c r="F18" s="5">
        <f t="shared" ref="F18:F24" si="5">(100*E18)/43.11</f>
        <v>376230.57295291114</v>
      </c>
      <c r="G18" s="5"/>
      <c r="H18">
        <v>105887</v>
      </c>
      <c r="I18">
        <f t="shared" si="1"/>
        <v>1.0404150061444235</v>
      </c>
      <c r="J18" s="5">
        <f t="shared" si="2"/>
        <v>407255.81954304833</v>
      </c>
      <c r="K18" s="5"/>
      <c r="L18" s="5">
        <f t="shared" si="3"/>
        <v>655158.81529526785</v>
      </c>
    </row>
    <row r="19" spans="1:12" x14ac:dyDescent="0.35">
      <c r="A19" s="1"/>
      <c r="B19" s="1"/>
      <c r="C19" s="2" t="s">
        <v>40</v>
      </c>
      <c r="D19" t="s">
        <v>219</v>
      </c>
      <c r="E19" s="2">
        <v>172254</v>
      </c>
      <c r="F19" s="5">
        <f t="shared" si="5"/>
        <v>399568.5455810717</v>
      </c>
      <c r="G19" s="5"/>
      <c r="H19">
        <v>88492</v>
      </c>
      <c r="I19">
        <f t="shared" si="1"/>
        <v>1.0482357750251834</v>
      </c>
      <c r="J19" s="5">
        <f t="shared" si="2"/>
        <v>439045.21466088167</v>
      </c>
      <c r="K19" s="5"/>
      <c r="L19" s="5">
        <f t="shared" si="3"/>
        <v>772710.79367338773</v>
      </c>
    </row>
    <row r="20" spans="1:12" x14ac:dyDescent="0.35">
      <c r="A20" s="1"/>
      <c r="B20" s="1"/>
      <c r="C20" s="2" t="s">
        <v>41</v>
      </c>
      <c r="D20" t="s">
        <v>220</v>
      </c>
      <c r="E20" s="2">
        <v>224415</v>
      </c>
      <c r="F20" s="5">
        <f>(100*E20)/44.05</f>
        <v>509455.1645856981</v>
      </c>
      <c r="G20" s="5"/>
      <c r="H20">
        <v>213862</v>
      </c>
      <c r="I20">
        <f t="shared" si="1"/>
        <v>1.0274965818445183</v>
      </c>
      <c r="J20" s="5">
        <f t="shared" si="2"/>
        <v>537856.89554132184</v>
      </c>
      <c r="K20" s="5"/>
      <c r="L20" s="5">
        <f t="shared" si="3"/>
        <v>744785.76993306668</v>
      </c>
    </row>
    <row r="21" spans="1:12" x14ac:dyDescent="0.35">
      <c r="A21" s="1"/>
      <c r="B21" s="1"/>
      <c r="C21" s="2" t="s">
        <v>42</v>
      </c>
      <c r="D21" t="s">
        <v>220</v>
      </c>
      <c r="E21" s="2">
        <v>1185700</v>
      </c>
      <c r="F21" s="5">
        <f>(100*E21)/44.05</f>
        <v>2691713.9614074915</v>
      </c>
      <c r="G21" s="5"/>
      <c r="H21">
        <v>564830</v>
      </c>
      <c r="I21">
        <f t="shared" si="1"/>
        <v>1.0500040482740225</v>
      </c>
      <c r="J21" s="5">
        <f t="shared" si="2"/>
        <v>2967637.5257668556</v>
      </c>
      <c r="K21" s="5"/>
      <c r="L21" s="5">
        <f t="shared" si="3"/>
        <v>5329697.2015207941</v>
      </c>
    </row>
    <row r="22" spans="1:12" x14ac:dyDescent="0.35">
      <c r="A22" s="1"/>
      <c r="B22" s="1"/>
      <c r="C22" s="2" t="s">
        <v>43</v>
      </c>
      <c r="D22" t="s">
        <v>219</v>
      </c>
      <c r="E22" s="2">
        <v>111115</v>
      </c>
      <c r="F22" s="5">
        <f t="shared" si="5"/>
        <v>257747.62236140107</v>
      </c>
      <c r="G22" s="5"/>
      <c r="H22">
        <v>79052</v>
      </c>
      <c r="I22">
        <f t="shared" si="1"/>
        <v>1.0376241149421248</v>
      </c>
      <c r="J22" s="5">
        <f t="shared" si="2"/>
        <v>277507.5355402368</v>
      </c>
      <c r="K22" s="5"/>
      <c r="L22" s="5">
        <f t="shared" si="3"/>
        <v>432270.36001034343</v>
      </c>
    </row>
    <row r="23" spans="1:12" x14ac:dyDescent="0.35">
      <c r="A23" s="1"/>
      <c r="B23" s="1"/>
      <c r="C23" s="2" t="s">
        <v>44</v>
      </c>
      <c r="D23" t="s">
        <v>219</v>
      </c>
      <c r="E23" s="2">
        <v>215225</v>
      </c>
      <c r="F23" s="5">
        <f t="shared" si="5"/>
        <v>499246.11459058226</v>
      </c>
      <c r="G23" s="5"/>
      <c r="H23">
        <v>131765</v>
      </c>
      <c r="I23">
        <f t="shared" si="1"/>
        <v>1.042506045433772</v>
      </c>
      <c r="J23" s="5">
        <f t="shared" si="2"/>
        <v>542590.09050569276</v>
      </c>
      <c r="K23" s="5"/>
      <c r="L23" s="5">
        <f t="shared" si="3"/>
        <v>894159.18704184436</v>
      </c>
    </row>
    <row r="24" spans="1:12" x14ac:dyDescent="0.35">
      <c r="A24" s="1"/>
      <c r="B24" s="1"/>
      <c r="C24" s="2" t="s">
        <v>45</v>
      </c>
      <c r="D24" t="s">
        <v>219</v>
      </c>
      <c r="E24" s="2">
        <v>179608</v>
      </c>
      <c r="F24" s="5">
        <f t="shared" si="5"/>
        <v>416627.23266063561</v>
      </c>
      <c r="G24" s="5"/>
      <c r="H24">
        <v>84363</v>
      </c>
      <c r="I24">
        <f t="shared" si="1"/>
        <v>1.0511746131280451</v>
      </c>
      <c r="J24" s="5">
        <f t="shared" si="2"/>
        <v>460359.78805127688</v>
      </c>
      <c r="K24" s="5"/>
      <c r="L24" s="5">
        <f t="shared" si="3"/>
        <v>837906.85998894786</v>
      </c>
    </row>
    <row r="25" spans="1:12" x14ac:dyDescent="0.35">
      <c r="A25" s="1">
        <v>4</v>
      </c>
      <c r="B25" s="1" t="s">
        <v>183</v>
      </c>
      <c r="C25" s="2" t="s">
        <v>46</v>
      </c>
      <c r="D25" t="s">
        <v>219</v>
      </c>
      <c r="E25" s="2">
        <v>348329</v>
      </c>
      <c r="F25" s="5">
        <f>(100*E25)/42.53</f>
        <v>819019.51563602162</v>
      </c>
      <c r="G25" s="5"/>
      <c r="H25">
        <v>217054</v>
      </c>
      <c r="I25">
        <f t="shared" si="1"/>
        <v>1.0423719156193805</v>
      </c>
      <c r="J25" s="5">
        <f t="shared" si="2"/>
        <v>889896.81788033654</v>
      </c>
      <c r="K25" s="5"/>
      <c r="L25" s="5">
        <f t="shared" si="3"/>
        <v>1464239.3537663848</v>
      </c>
    </row>
    <row r="26" spans="1:12" x14ac:dyDescent="0.35">
      <c r="A26" s="1"/>
      <c r="B26" s="1"/>
      <c r="C26" s="2" t="s">
        <v>5</v>
      </c>
      <c r="D26" t="s">
        <v>219</v>
      </c>
      <c r="E26" s="2">
        <v>279654</v>
      </c>
      <c r="F26" s="5">
        <f t="shared" ref="F26:F30" si="6">(100*E26)/42.53</f>
        <v>657545.26216788148</v>
      </c>
      <c r="G26" s="5"/>
      <c r="H26">
        <v>179480</v>
      </c>
      <c r="I26">
        <f t="shared" si="1"/>
        <v>1.0414110338372704</v>
      </c>
      <c r="J26" s="5">
        <f t="shared" si="2"/>
        <v>713132.12746230839</v>
      </c>
      <c r="K26" s="5"/>
      <c r="L26" s="5">
        <f t="shared" si="3"/>
        <v>1160475.8295674068</v>
      </c>
    </row>
    <row r="27" spans="1:12" x14ac:dyDescent="0.35">
      <c r="A27" s="1"/>
      <c r="B27" s="1"/>
      <c r="C27" s="2" t="s">
        <v>47</v>
      </c>
      <c r="D27" t="s">
        <v>219</v>
      </c>
      <c r="E27" s="2">
        <v>141823</v>
      </c>
      <c r="F27" s="5">
        <f t="shared" si="6"/>
        <v>333465.78885492595</v>
      </c>
      <c r="G27" s="5"/>
      <c r="H27">
        <v>108219</v>
      </c>
      <c r="I27">
        <f t="shared" si="1"/>
        <v>1.0357939446651572</v>
      </c>
      <c r="J27" s="5">
        <f t="shared" si="2"/>
        <v>357765.13937068766</v>
      </c>
      <c r="K27" s="5"/>
      <c r="L27" s="5">
        <f t="shared" si="3"/>
        <v>545605.11591818905</v>
      </c>
    </row>
    <row r="28" spans="1:12" x14ac:dyDescent="0.35">
      <c r="A28" s="1"/>
      <c r="B28" s="1"/>
      <c r="C28" s="2" t="s">
        <v>48</v>
      </c>
      <c r="D28" t="s">
        <v>220</v>
      </c>
      <c r="E28" s="2">
        <v>72767</v>
      </c>
      <c r="F28" s="5">
        <f>(100*E28)/42.65</f>
        <v>170614.30246189918</v>
      </c>
      <c r="G28" s="5"/>
      <c r="H28">
        <v>62789</v>
      </c>
      <c r="I28">
        <f t="shared" si="1"/>
        <v>1.0317313351686039</v>
      </c>
      <c r="J28" s="5">
        <f t="shared" si="2"/>
        <v>181613.72941862827</v>
      </c>
      <c r="K28" s="5"/>
      <c r="L28" s="5">
        <f t="shared" si="3"/>
        <v>264209.31640526734</v>
      </c>
    </row>
    <row r="29" spans="1:12" x14ac:dyDescent="0.35">
      <c r="A29" s="1"/>
      <c r="B29" s="1"/>
      <c r="C29" s="2" t="s">
        <v>49</v>
      </c>
      <c r="D29" t="s">
        <v>219</v>
      </c>
      <c r="E29" s="2">
        <v>142703</v>
      </c>
      <c r="F29" s="5">
        <f t="shared" si="6"/>
        <v>335534.9165295086</v>
      </c>
      <c r="G29" s="5"/>
      <c r="H29">
        <v>80850</v>
      </c>
      <c r="I29">
        <f t="shared" si="1"/>
        <v>1.0454765667430879</v>
      </c>
      <c r="J29" s="5">
        <f t="shared" si="2"/>
        <v>366746.79442357604</v>
      </c>
      <c r="K29" s="5"/>
      <c r="L29" s="5">
        <f t="shared" si="3"/>
        <v>625371.32340888656</v>
      </c>
    </row>
    <row r="30" spans="1:12" x14ac:dyDescent="0.35">
      <c r="A30" s="1"/>
      <c r="B30" s="1"/>
      <c r="C30" s="2" t="s">
        <v>50</v>
      </c>
      <c r="D30" t="s">
        <v>219</v>
      </c>
      <c r="E30" s="2">
        <v>327683</v>
      </c>
      <c r="F30" s="5">
        <f t="shared" si="6"/>
        <v>770474.95885257458</v>
      </c>
      <c r="G30" s="5"/>
      <c r="H30">
        <v>242629</v>
      </c>
      <c r="I30">
        <f t="shared" si="1"/>
        <v>1.0367683824547005</v>
      </c>
      <c r="J30" s="5">
        <f t="shared" si="2"/>
        <v>828174.81061401241</v>
      </c>
      <c r="K30" s="5"/>
      <c r="L30" s="5">
        <f t="shared" si="3"/>
        <v>1277329.5212760314</v>
      </c>
    </row>
    <row r="31" spans="1:12" x14ac:dyDescent="0.35">
      <c r="A31" s="1">
        <v>5</v>
      </c>
      <c r="B31" s="1" t="s">
        <v>184</v>
      </c>
      <c r="C31" s="2" t="s">
        <v>6</v>
      </c>
      <c r="D31" t="s">
        <v>219</v>
      </c>
      <c r="E31" s="2">
        <v>107342</v>
      </c>
      <c r="F31" s="5">
        <f>(100*E31)/47.59</f>
        <v>225555.78903130908</v>
      </c>
      <c r="G31" s="5"/>
      <c r="H31">
        <v>122499</v>
      </c>
      <c r="I31">
        <f t="shared" si="1"/>
        <v>1.0192601497476375</v>
      </c>
      <c r="J31" s="5">
        <f t="shared" si="2"/>
        <v>234327.93625736918</v>
      </c>
      <c r="K31" s="5"/>
      <c r="L31" s="5">
        <f t="shared" si="3"/>
        <v>294608.04737488437</v>
      </c>
    </row>
    <row r="32" spans="1:12" x14ac:dyDescent="0.35">
      <c r="A32" s="1"/>
      <c r="B32" s="1"/>
      <c r="C32" s="2" t="s">
        <v>51</v>
      </c>
      <c r="D32" t="s">
        <v>219</v>
      </c>
      <c r="E32" s="2">
        <v>186520</v>
      </c>
      <c r="F32" s="5">
        <f t="shared" ref="F32:F37" si="7">(100*E32)/47.59</f>
        <v>391931.07795755408</v>
      </c>
      <c r="G32" s="5"/>
      <c r="H32">
        <v>158258</v>
      </c>
      <c r="I32">
        <f t="shared" si="1"/>
        <v>1.0287447358300694</v>
      </c>
      <c r="J32" s="5">
        <f t="shared" si="2"/>
        <v>414786.82546547963</v>
      </c>
      <c r="K32" s="5"/>
      <c r="L32" s="5">
        <f t="shared" si="3"/>
        <v>582795.86892676761</v>
      </c>
    </row>
    <row r="33" spans="1:13" x14ac:dyDescent="0.35">
      <c r="A33" s="1"/>
      <c r="B33" s="1"/>
      <c r="C33" s="2" t="s">
        <v>52</v>
      </c>
      <c r="D33" t="s">
        <v>220</v>
      </c>
      <c r="E33" s="2">
        <v>49486</v>
      </c>
      <c r="F33" s="5">
        <f>(100*E33)/47.98</f>
        <v>103138.80783659859</v>
      </c>
      <c r="G33" s="5"/>
      <c r="H33" s="8">
        <v>78268</v>
      </c>
      <c r="I33">
        <f t="shared" si="1"/>
        <v>1.0086603133667775</v>
      </c>
      <c r="J33" s="5">
        <f t="shared" si="2"/>
        <v>104932.97214545446</v>
      </c>
      <c r="K33" s="5"/>
      <c r="L33" s="5">
        <f t="shared" si="3"/>
        <v>116372.71742077665</v>
      </c>
    </row>
    <row r="34" spans="1:13" x14ac:dyDescent="0.35">
      <c r="A34" s="1"/>
      <c r="B34" s="1"/>
      <c r="C34" s="2" t="s">
        <v>53</v>
      </c>
      <c r="D34" t="s">
        <v>219</v>
      </c>
      <c r="E34" s="2">
        <v>48956</v>
      </c>
      <c r="F34" s="5">
        <f t="shared" si="7"/>
        <v>102870.35091405756</v>
      </c>
      <c r="G34" s="5"/>
      <c r="H34">
        <v>60138</v>
      </c>
      <c r="I34">
        <f t="shared" si="1"/>
        <v>1.0169173657186192</v>
      </c>
      <c r="J34" s="5">
        <f t="shared" si="2"/>
        <v>106380.38282294998</v>
      </c>
      <c r="K34" s="5"/>
      <c r="L34" s="5">
        <f t="shared" si="3"/>
        <v>130103.66000384846</v>
      </c>
    </row>
    <row r="35" spans="1:13" x14ac:dyDescent="0.35">
      <c r="A35" s="1"/>
      <c r="B35" s="1"/>
      <c r="C35" s="2" t="s">
        <v>8</v>
      </c>
      <c r="D35" t="s">
        <v>219</v>
      </c>
      <c r="E35" s="2">
        <v>110476</v>
      </c>
      <c r="F35" s="5">
        <f t="shared" si="7"/>
        <v>232141.20613574277</v>
      </c>
      <c r="G35" s="5"/>
      <c r="H35">
        <v>137411</v>
      </c>
      <c r="I35">
        <f t="shared" si="1"/>
        <v>1.0165215394846934</v>
      </c>
      <c r="J35" s="5">
        <f t="shared" si="2"/>
        <v>239875.23189987161</v>
      </c>
      <c r="K35" s="5"/>
      <c r="L35" s="5">
        <f t="shared" si="3"/>
        <v>292001.06386856106</v>
      </c>
    </row>
    <row r="36" spans="1:13" x14ac:dyDescent="0.35">
      <c r="A36" s="1"/>
      <c r="B36" s="1"/>
      <c r="C36" s="2" t="s">
        <v>13</v>
      </c>
      <c r="D36" t="s">
        <v>219</v>
      </c>
      <c r="E36" s="2">
        <v>238978</v>
      </c>
      <c r="F36" s="5">
        <f t="shared" si="7"/>
        <v>502160.11767177976</v>
      </c>
      <c r="G36" s="5"/>
      <c r="H36">
        <v>227268</v>
      </c>
      <c r="I36">
        <f t="shared" si="1"/>
        <v>1.0250841010999647</v>
      </c>
      <c r="J36" s="5">
        <f t="shared" si="2"/>
        <v>527668.55322811159</v>
      </c>
      <c r="K36" s="5"/>
      <c r="L36" s="5">
        <f t="shared" si="3"/>
        <v>710354.581144094</v>
      </c>
    </row>
    <row r="37" spans="1:13" x14ac:dyDescent="0.35">
      <c r="A37" s="1"/>
      <c r="B37" s="1"/>
      <c r="C37" s="2" t="s">
        <v>54</v>
      </c>
      <c r="D37" t="s">
        <v>219</v>
      </c>
      <c r="E37" s="2">
        <v>187657</v>
      </c>
      <c r="F37" s="5">
        <f t="shared" si="7"/>
        <v>394320.23534355953</v>
      </c>
      <c r="G37" s="5"/>
      <c r="H37">
        <v>109269</v>
      </c>
      <c r="I37">
        <f t="shared" si="1"/>
        <v>1.0409197601802269</v>
      </c>
      <c r="J37" s="5">
        <f t="shared" si="2"/>
        <v>427251.47463177441</v>
      </c>
      <c r="K37" s="5"/>
      <c r="L37" s="5">
        <f t="shared" si="3"/>
        <v>691338.28230747185</v>
      </c>
    </row>
    <row r="38" spans="1:13" x14ac:dyDescent="0.35">
      <c r="A38" s="1">
        <v>6</v>
      </c>
      <c r="B38" s="1" t="s">
        <v>185</v>
      </c>
      <c r="C38" s="2" t="s">
        <v>55</v>
      </c>
      <c r="D38" t="s">
        <v>219</v>
      </c>
      <c r="E38" s="2">
        <v>469536</v>
      </c>
      <c r="F38" s="5">
        <f>(100*E38)/44.59</f>
        <v>1053007.4007625028</v>
      </c>
      <c r="G38" s="5"/>
      <c r="H38">
        <v>396062</v>
      </c>
      <c r="I38">
        <f t="shared" si="1"/>
        <v>1.0310290041972237</v>
      </c>
      <c r="J38" s="5">
        <f t="shared" si="2"/>
        <v>1119368.7774577341</v>
      </c>
      <c r="K38" s="5"/>
      <c r="L38" s="5">
        <f t="shared" si="3"/>
        <v>1615190.6120838127</v>
      </c>
    </row>
    <row r="39" spans="1:13" x14ac:dyDescent="0.35">
      <c r="A39" s="1"/>
      <c r="B39" s="1"/>
      <c r="C39" s="2" t="s">
        <v>56</v>
      </c>
      <c r="D39" t="s">
        <v>220</v>
      </c>
      <c r="E39" s="2">
        <v>139602</v>
      </c>
      <c r="F39" s="5">
        <f>(100*E39)/46.89</f>
        <v>297722.3288547665</v>
      </c>
      <c r="G39" s="5"/>
      <c r="H39" s="8">
        <v>59598</v>
      </c>
      <c r="I39">
        <f t="shared" si="1"/>
        <v>1.0515516672528051</v>
      </c>
      <c r="J39" s="5">
        <f t="shared" si="2"/>
        <v>329209.71295491268</v>
      </c>
      <c r="K39" s="5"/>
      <c r="L39" s="5">
        <f t="shared" si="3"/>
        <v>601783.16721658746</v>
      </c>
    </row>
    <row r="40" spans="1:13" x14ac:dyDescent="0.35">
      <c r="A40" s="1"/>
      <c r="B40" s="1"/>
      <c r="C40" s="2" t="s">
        <v>57</v>
      </c>
      <c r="D40" t="s">
        <v>219</v>
      </c>
      <c r="E40" s="2">
        <v>577069</v>
      </c>
      <c r="F40" s="5">
        <f t="shared" ref="F40:F43" si="8">(100*E40)/44.59</f>
        <v>1294166.8535546085</v>
      </c>
      <c r="G40" s="5"/>
      <c r="H40">
        <v>551137</v>
      </c>
      <c r="I40">
        <f t="shared" si="1"/>
        <v>1.0270352139750378</v>
      </c>
      <c r="J40" s="5">
        <f t="shared" si="2"/>
        <v>1365088.9193351492</v>
      </c>
      <c r="K40" s="5"/>
      <c r="L40" s="5">
        <f t="shared" si="3"/>
        <v>1880117.3432457824</v>
      </c>
    </row>
    <row r="41" spans="1:13" x14ac:dyDescent="0.35">
      <c r="A41" s="1"/>
      <c r="B41" s="1"/>
      <c r="C41" s="2" t="s">
        <v>58</v>
      </c>
      <c r="D41" t="s">
        <v>219</v>
      </c>
      <c r="E41" s="2">
        <v>280450</v>
      </c>
      <c r="F41" s="5">
        <f t="shared" si="8"/>
        <v>628952.67997308809</v>
      </c>
      <c r="G41" s="5"/>
      <c r="H41">
        <v>235509</v>
      </c>
      <c r="I41">
        <f t="shared" si="1"/>
        <v>1.0311731043811283</v>
      </c>
      <c r="J41" s="5">
        <f t="shared" si="2"/>
        <v>668776.68764916633</v>
      </c>
      <c r="K41" s="5"/>
      <c r="L41" s="5">
        <f t="shared" si="3"/>
        <v>966629.51077187352</v>
      </c>
    </row>
    <row r="42" spans="1:13" x14ac:dyDescent="0.35">
      <c r="A42" s="1"/>
      <c r="B42" s="1"/>
      <c r="C42" s="2" t="s">
        <v>59</v>
      </c>
      <c r="D42" t="s">
        <v>219</v>
      </c>
      <c r="E42" s="2">
        <v>545268</v>
      </c>
      <c r="F42" s="5">
        <f t="shared" si="8"/>
        <v>1222848.1722359273</v>
      </c>
      <c r="G42" s="5"/>
      <c r="H42">
        <v>422919</v>
      </c>
      <c r="I42">
        <f t="shared" si="1"/>
        <v>1.0337365082786463</v>
      </c>
      <c r="J42" s="5">
        <f t="shared" si="2"/>
        <v>1306749.2142899763</v>
      </c>
      <c r="K42" s="5"/>
      <c r="L42" s="5">
        <f t="shared" si="3"/>
        <v>1945855.1177547893</v>
      </c>
    </row>
    <row r="43" spans="1:13" x14ac:dyDescent="0.35">
      <c r="A43" s="1"/>
      <c r="B43" s="1"/>
      <c r="C43" s="2" t="s">
        <v>60</v>
      </c>
      <c r="D43" t="s">
        <v>219</v>
      </c>
      <c r="E43" s="2">
        <v>226836</v>
      </c>
      <c r="F43" s="5">
        <f t="shared" si="8"/>
        <v>508714.95851087687</v>
      </c>
      <c r="G43" s="5"/>
      <c r="H43">
        <v>84031</v>
      </c>
      <c r="I43">
        <f t="shared" si="1"/>
        <v>1.0578853259062337</v>
      </c>
      <c r="J43" s="5">
        <f t="shared" si="2"/>
        <v>569313.77762902598</v>
      </c>
      <c r="K43" s="5"/>
      <c r="L43" s="5">
        <f t="shared" si="3"/>
        <v>1118445.4578198972</v>
      </c>
    </row>
    <row r="44" spans="1:13" x14ac:dyDescent="0.35">
      <c r="A44" s="1">
        <v>7</v>
      </c>
      <c r="B44" s="1" t="s">
        <v>16</v>
      </c>
      <c r="C44" s="2" t="s">
        <v>61</v>
      </c>
      <c r="D44" t="s">
        <v>219</v>
      </c>
      <c r="E44" s="2">
        <v>65873</v>
      </c>
      <c r="F44" s="5">
        <f>(100*E44)/45.08</f>
        <v>146124.66725820763</v>
      </c>
      <c r="G44" s="5"/>
      <c r="H44">
        <v>56695</v>
      </c>
      <c r="I44">
        <f t="shared" si="1"/>
        <v>1.0300287260555245</v>
      </c>
      <c r="J44" s="5">
        <f t="shared" si="2"/>
        <v>155032.30664054115</v>
      </c>
      <c r="K44" s="5"/>
      <c r="L44" s="5">
        <f t="shared" si="3"/>
        <v>221112.98602645178</v>
      </c>
    </row>
    <row r="45" spans="1:13" x14ac:dyDescent="0.35">
      <c r="A45" s="1"/>
      <c r="B45" s="1"/>
      <c r="C45" s="2" t="s">
        <v>62</v>
      </c>
      <c r="D45" t="s">
        <v>219</v>
      </c>
      <c r="E45" s="2">
        <v>199940</v>
      </c>
      <c r="F45" s="5">
        <f t="shared" ref="F45:F48" si="9">(100*E45)/45.08</f>
        <v>443522.62644188112</v>
      </c>
      <c r="G45" s="5"/>
      <c r="H45">
        <v>167258</v>
      </c>
      <c r="I45">
        <f t="shared" si="1"/>
        <v>1.0309444797862521</v>
      </c>
      <c r="J45" s="5">
        <f t="shared" si="2"/>
        <v>471396.48023319681</v>
      </c>
      <c r="K45" s="5"/>
      <c r="L45" s="5">
        <f t="shared" si="3"/>
        <v>679531.61326531635</v>
      </c>
      <c r="M45" s="5"/>
    </row>
    <row r="46" spans="1:13" x14ac:dyDescent="0.35">
      <c r="A46" s="1"/>
      <c r="B46" s="1"/>
      <c r="C46" s="2" t="s">
        <v>63</v>
      </c>
      <c r="D46" t="s">
        <v>219</v>
      </c>
      <c r="E46" s="2">
        <v>154683</v>
      </c>
      <c r="F46" s="5">
        <f t="shared" si="9"/>
        <v>343129.99112688552</v>
      </c>
      <c r="G46" s="5"/>
      <c r="H46">
        <v>111133</v>
      </c>
      <c r="I46">
        <f t="shared" si="1"/>
        <v>1.0358586303914983</v>
      </c>
      <c r="J46" s="5">
        <f t="shared" si="2"/>
        <v>368179.54492209788</v>
      </c>
      <c r="K46" s="5"/>
      <c r="L46" s="5">
        <f t="shared" si="3"/>
        <v>561908.39674828935</v>
      </c>
    </row>
    <row r="47" spans="1:13" x14ac:dyDescent="0.35">
      <c r="A47" s="1"/>
      <c r="B47" s="1"/>
      <c r="C47" s="2" t="s">
        <v>64</v>
      </c>
      <c r="D47" t="s">
        <v>219</v>
      </c>
      <c r="E47" s="2">
        <v>278645</v>
      </c>
      <c r="F47" s="5">
        <f t="shared" si="9"/>
        <v>618112.24489795917</v>
      </c>
      <c r="G47" s="5"/>
      <c r="H47">
        <v>231440</v>
      </c>
      <c r="I47">
        <f t="shared" si="1"/>
        <v>1.0311744743061404</v>
      </c>
      <c r="J47" s="5">
        <f t="shared" si="2"/>
        <v>657251.60454691341</v>
      </c>
      <c r="K47" s="5"/>
      <c r="L47" s="5">
        <f t="shared" si="3"/>
        <v>949986.65040505677</v>
      </c>
    </row>
    <row r="48" spans="1:13" x14ac:dyDescent="0.35">
      <c r="A48" s="1"/>
      <c r="B48" s="1"/>
      <c r="C48" s="2" t="s">
        <v>65</v>
      </c>
      <c r="D48" t="s">
        <v>219</v>
      </c>
      <c r="E48" s="2">
        <v>579801</v>
      </c>
      <c r="F48" s="5">
        <f t="shared" si="9"/>
        <v>1286160.1597160604</v>
      </c>
      <c r="G48" s="5"/>
      <c r="H48">
        <v>414241</v>
      </c>
      <c r="I48">
        <f t="shared" si="1"/>
        <v>1.0360394951830851</v>
      </c>
      <c r="J48" s="5">
        <f t="shared" si="2"/>
        <v>1380535.8084442511</v>
      </c>
      <c r="K48" s="5"/>
      <c r="L48" s="5">
        <f t="shared" si="3"/>
        <v>2111365.4719646438</v>
      </c>
    </row>
    <row r="49" spans="1:12" x14ac:dyDescent="0.35">
      <c r="A49" s="1"/>
      <c r="B49" s="1"/>
      <c r="C49" s="2" t="s">
        <v>66</v>
      </c>
      <c r="D49" t="s">
        <v>220</v>
      </c>
      <c r="E49" s="2">
        <v>216147</v>
      </c>
      <c r="F49" s="5">
        <f>(100*E49)/41.9</f>
        <v>515863.96181384253</v>
      </c>
      <c r="G49" s="5"/>
      <c r="H49" s="8">
        <v>116016</v>
      </c>
      <c r="I49">
        <f t="shared" si="1"/>
        <v>1.0477328015822631</v>
      </c>
      <c r="J49" s="5">
        <f t="shared" si="2"/>
        <v>566286.58102606796</v>
      </c>
      <c r="K49" s="5"/>
      <c r="L49" s="5">
        <f t="shared" si="3"/>
        <v>990929.50223077834</v>
      </c>
    </row>
    <row r="50" spans="1:12" x14ac:dyDescent="0.35">
      <c r="A50" s="1">
        <v>8</v>
      </c>
      <c r="B50" s="1" t="s">
        <v>17</v>
      </c>
      <c r="C50" s="2" t="s">
        <v>67</v>
      </c>
      <c r="D50" t="s">
        <v>219</v>
      </c>
      <c r="E50" s="2">
        <v>241115</v>
      </c>
      <c r="F50" s="5">
        <f>(100*E50)/42.14</f>
        <v>572176.07973421924</v>
      </c>
      <c r="G50" s="5"/>
      <c r="H50">
        <v>187593</v>
      </c>
      <c r="I50">
        <f t="shared" si="1"/>
        <v>1.0354634731862122</v>
      </c>
      <c r="J50" s="5">
        <f t="shared" si="2"/>
        <v>613478.38364139188</v>
      </c>
      <c r="K50" s="5"/>
      <c r="L50" s="5">
        <f t="shared" si="3"/>
        <v>932001.61639909644</v>
      </c>
    </row>
    <row r="51" spans="1:12" x14ac:dyDescent="0.35">
      <c r="A51" s="1"/>
      <c r="B51" s="1"/>
      <c r="C51" s="2" t="s">
        <v>68</v>
      </c>
      <c r="D51" t="s">
        <v>219</v>
      </c>
      <c r="E51" s="2">
        <v>170643</v>
      </c>
      <c r="F51" s="5">
        <f t="shared" ref="F51:F55" si="10">(100*E51)/42.14</f>
        <v>404943.04698623635</v>
      </c>
      <c r="G51" s="5"/>
      <c r="H51">
        <v>178573</v>
      </c>
      <c r="I51">
        <f t="shared" si="1"/>
        <v>1.0259160335227444</v>
      </c>
      <c r="J51" s="5">
        <f t="shared" si="2"/>
        <v>426204.05841665273</v>
      </c>
      <c r="K51" s="5"/>
      <c r="L51" s="5">
        <f t="shared" si="3"/>
        <v>579374.51469368732</v>
      </c>
    </row>
    <row r="52" spans="1:12" x14ac:dyDescent="0.35">
      <c r="A52" s="1"/>
      <c r="B52" s="1"/>
      <c r="C52" s="2" t="s">
        <v>69</v>
      </c>
      <c r="D52" t="s">
        <v>219</v>
      </c>
      <c r="E52" s="2">
        <v>192178</v>
      </c>
      <c r="F52" s="5">
        <f t="shared" si="10"/>
        <v>456046.51162790699</v>
      </c>
      <c r="G52" s="5"/>
      <c r="H52">
        <v>139748</v>
      </c>
      <c r="I52">
        <f t="shared" si="1"/>
        <v>1.0376526165446882</v>
      </c>
      <c r="J52" s="5">
        <f t="shared" si="2"/>
        <v>491035.74653298047</v>
      </c>
      <c r="K52" s="5"/>
      <c r="L52" s="5">
        <f t="shared" si="3"/>
        <v>765133.0036820675</v>
      </c>
    </row>
    <row r="53" spans="1:12" x14ac:dyDescent="0.35">
      <c r="A53" s="1"/>
      <c r="B53" s="1"/>
      <c r="C53" s="2" t="s">
        <v>70</v>
      </c>
      <c r="D53" t="s">
        <v>220</v>
      </c>
      <c r="E53" s="2">
        <v>319684</v>
      </c>
      <c r="F53" s="5">
        <f>(100*E53)/43.13</f>
        <v>741210.2944586135</v>
      </c>
      <c r="G53" s="5"/>
      <c r="H53">
        <v>298693</v>
      </c>
      <c r="I53">
        <f t="shared" si="1"/>
        <v>1.0288093141903971</v>
      </c>
      <c r="J53" s="5">
        <f t="shared" si="2"/>
        <v>784533.00215535355</v>
      </c>
      <c r="K53" s="5"/>
      <c r="L53" s="5">
        <f t="shared" si="3"/>
        <v>1103138.0543024114</v>
      </c>
    </row>
    <row r="54" spans="1:12" x14ac:dyDescent="0.35">
      <c r="A54" s="1"/>
      <c r="B54" s="1"/>
      <c r="C54" s="2" t="s">
        <v>71</v>
      </c>
      <c r="D54" t="s">
        <v>219</v>
      </c>
      <c r="E54" s="2">
        <v>314964</v>
      </c>
      <c r="F54" s="5">
        <f t="shared" si="10"/>
        <v>747422.87612719508</v>
      </c>
      <c r="G54" s="5"/>
      <c r="H54">
        <v>266863</v>
      </c>
      <c r="I54">
        <f t="shared" si="1"/>
        <v>1.0327077546974834</v>
      </c>
      <c r="J54" s="5">
        <f t="shared" si="2"/>
        <v>797115.51521557197</v>
      </c>
      <c r="K54" s="5"/>
      <c r="L54" s="5">
        <f t="shared" si="3"/>
        <v>1172871.7358900416</v>
      </c>
    </row>
    <row r="55" spans="1:12" x14ac:dyDescent="0.35">
      <c r="A55" s="1"/>
      <c r="B55" s="1"/>
      <c r="C55" s="2" t="s">
        <v>72</v>
      </c>
      <c r="D55" t="s">
        <v>219</v>
      </c>
      <c r="E55" s="2">
        <v>313555</v>
      </c>
      <c r="F55" s="5">
        <f t="shared" si="10"/>
        <v>744079.25961082103</v>
      </c>
      <c r="G55" s="5"/>
      <c r="H55">
        <v>226993</v>
      </c>
      <c r="I55">
        <f t="shared" si="1"/>
        <v>1.0377977157542628</v>
      </c>
      <c r="J55" s="5">
        <f t="shared" si="2"/>
        <v>801391.29403654335</v>
      </c>
      <c r="K55" s="5"/>
      <c r="L55" s="5">
        <f t="shared" si="3"/>
        <v>1250826.7073050863</v>
      </c>
    </row>
    <row r="56" spans="1:12" x14ac:dyDescent="0.35">
      <c r="A56" s="1">
        <v>9</v>
      </c>
      <c r="B56" s="1" t="s">
        <v>187</v>
      </c>
      <c r="C56" s="2" t="s">
        <v>73</v>
      </c>
      <c r="D56" t="s">
        <v>219</v>
      </c>
      <c r="E56" s="2">
        <v>92584</v>
      </c>
      <c r="F56" s="5">
        <f>(100*E56)/39.66</f>
        <v>233444.27634896623</v>
      </c>
      <c r="G56" s="5"/>
      <c r="H56">
        <v>63575</v>
      </c>
      <c r="I56">
        <f t="shared" si="1"/>
        <v>1.0414850180368351</v>
      </c>
      <c r="J56" s="5">
        <f t="shared" si="2"/>
        <v>253214.91554752795</v>
      </c>
      <c r="K56" s="5"/>
      <c r="L56" s="5">
        <f t="shared" si="3"/>
        <v>412406.60014697636</v>
      </c>
    </row>
    <row r="57" spans="1:12" x14ac:dyDescent="0.35">
      <c r="A57" s="1"/>
      <c r="B57" s="1"/>
      <c r="C57" s="2" t="s">
        <v>74</v>
      </c>
      <c r="D57" t="s">
        <v>219</v>
      </c>
      <c r="E57" s="2">
        <v>114903</v>
      </c>
      <c r="F57" s="5">
        <f t="shared" ref="F57:F61" si="11">(100*E57)/39.66</f>
        <v>289720.12102874432</v>
      </c>
      <c r="G57" s="5"/>
      <c r="H57">
        <v>127120</v>
      </c>
      <c r="I57">
        <f t="shared" si="1"/>
        <v>1.0260774639647481</v>
      </c>
      <c r="J57" s="5">
        <f t="shared" si="2"/>
        <v>305027.47263025306</v>
      </c>
      <c r="K57" s="5"/>
      <c r="L57" s="5">
        <f t="shared" si="3"/>
        <v>415432.76529104076</v>
      </c>
    </row>
    <row r="58" spans="1:12" x14ac:dyDescent="0.35">
      <c r="A58" s="1"/>
      <c r="B58" s="1"/>
      <c r="C58" s="2" t="s">
        <v>75</v>
      </c>
      <c r="D58" t="s">
        <v>219</v>
      </c>
      <c r="E58" s="2">
        <v>109513</v>
      </c>
      <c r="F58" s="5">
        <f t="shared" si="11"/>
        <v>276129.60161371663</v>
      </c>
      <c r="G58" s="5"/>
      <c r="H58">
        <v>86960</v>
      </c>
      <c r="I58">
        <f t="shared" si="1"/>
        <v>1.0367667125166802</v>
      </c>
      <c r="J58" s="5">
        <f t="shared" si="2"/>
        <v>296807.62652498734</v>
      </c>
      <c r="K58" s="5"/>
      <c r="L58" s="5">
        <f t="shared" si="3"/>
        <v>457770.28090521885</v>
      </c>
    </row>
    <row r="59" spans="1:12" x14ac:dyDescent="0.35">
      <c r="A59" s="1"/>
      <c r="B59" s="1"/>
      <c r="C59" s="2" t="s">
        <v>76</v>
      </c>
      <c r="D59" t="s">
        <v>220</v>
      </c>
      <c r="E59" s="2">
        <v>507757</v>
      </c>
      <c r="F59" s="5">
        <f>(100*E59)/39.64</f>
        <v>1280920.7870837539</v>
      </c>
      <c r="G59" s="5"/>
      <c r="H59">
        <v>486235</v>
      </c>
      <c r="I59">
        <f t="shared" si="1"/>
        <v>1.0307328720961246</v>
      </c>
      <c r="J59" s="5">
        <f t="shared" si="2"/>
        <v>1360863.3782721739</v>
      </c>
      <c r="K59" s="5"/>
      <c r="L59" s="5">
        <f t="shared" si="3"/>
        <v>1956897.3644578233</v>
      </c>
    </row>
    <row r="60" spans="1:12" x14ac:dyDescent="0.35">
      <c r="A60" s="1"/>
      <c r="B60" s="1"/>
      <c r="C60" s="2" t="s">
        <v>77</v>
      </c>
      <c r="D60" t="s">
        <v>219</v>
      </c>
      <c r="E60" s="2">
        <v>109890</v>
      </c>
      <c r="F60" s="5">
        <f t="shared" si="11"/>
        <v>277080.18154311652</v>
      </c>
      <c r="G60" s="5"/>
      <c r="H60">
        <v>125085</v>
      </c>
      <c r="I60">
        <f t="shared" si="1"/>
        <v>1.025164968422035</v>
      </c>
      <c r="J60" s="5">
        <f t="shared" si="2"/>
        <v>291201.07770902658</v>
      </c>
      <c r="K60" s="5"/>
      <c r="L60" s="5">
        <f t="shared" si="3"/>
        <v>392390.12061224191</v>
      </c>
    </row>
    <row r="61" spans="1:12" x14ac:dyDescent="0.35">
      <c r="A61" s="1"/>
      <c r="B61" s="1"/>
      <c r="C61" s="2" t="s">
        <v>78</v>
      </c>
      <c r="D61" t="s">
        <v>219</v>
      </c>
      <c r="E61" s="2">
        <v>159773</v>
      </c>
      <c r="F61" s="5">
        <f t="shared" si="11"/>
        <v>402856.78265254671</v>
      </c>
      <c r="G61" s="5"/>
      <c r="H61">
        <v>191635</v>
      </c>
      <c r="I61">
        <f t="shared" si="1"/>
        <v>1.0234900389578268</v>
      </c>
      <c r="J61" s="5">
        <f t="shared" si="2"/>
        <v>422005.31478355528</v>
      </c>
      <c r="K61" s="5"/>
      <c r="L61" s="5">
        <f t="shared" si="3"/>
        <v>557598.20099462452</v>
      </c>
    </row>
    <row r="62" spans="1:12" x14ac:dyDescent="0.35">
      <c r="A62" s="1">
        <v>10</v>
      </c>
      <c r="B62" s="1" t="s">
        <v>188</v>
      </c>
      <c r="C62" s="1" t="s">
        <v>188</v>
      </c>
      <c r="D62" t="s">
        <v>188</v>
      </c>
      <c r="E62" s="2">
        <v>4462245</v>
      </c>
      <c r="F62" s="5">
        <f>(100*E62)/56.26</f>
        <v>7931469.960895841</v>
      </c>
      <c r="G62" s="5"/>
      <c r="H62">
        <v>2664309</v>
      </c>
      <c r="I62">
        <f t="shared" si="1"/>
        <v>1.0346781648424466</v>
      </c>
      <c r="J62" s="5">
        <f t="shared" si="2"/>
        <v>8491105.7948044948</v>
      </c>
      <c r="K62" s="5"/>
      <c r="L62" s="5">
        <f t="shared" si="3"/>
        <v>12782849.079918891</v>
      </c>
    </row>
    <row r="63" spans="1:12" x14ac:dyDescent="0.35">
      <c r="A63" s="1">
        <v>11</v>
      </c>
      <c r="B63" s="1" t="s">
        <v>190</v>
      </c>
      <c r="C63" s="2" t="s">
        <v>79</v>
      </c>
      <c r="D63" t="s">
        <v>220</v>
      </c>
      <c r="E63" s="2">
        <v>139566</v>
      </c>
      <c r="F63" s="5">
        <f>(100*E63)/51.35</f>
        <v>271793.57351509249</v>
      </c>
      <c r="G63" s="5"/>
      <c r="H63">
        <v>197617</v>
      </c>
      <c r="I63">
        <f t="shared" si="1"/>
        <v>1.0100095147487471</v>
      </c>
      <c r="J63" s="5">
        <f t="shared" si="2"/>
        <v>277261.84818342887</v>
      </c>
      <c r="K63" s="5"/>
      <c r="L63" s="5">
        <f t="shared" si="3"/>
        <v>312460.91088944359</v>
      </c>
    </row>
    <row r="64" spans="1:12" x14ac:dyDescent="0.35">
      <c r="A64" s="1"/>
      <c r="B64" s="1"/>
      <c r="C64" s="2" t="s">
        <v>80</v>
      </c>
      <c r="D64" t="s">
        <v>219</v>
      </c>
      <c r="E64" s="2">
        <v>144220</v>
      </c>
      <c r="F64" s="5">
        <f>(100*E64)/47.23</f>
        <v>305356.76476815587</v>
      </c>
      <c r="G64" s="5"/>
      <c r="H64">
        <v>92956</v>
      </c>
      <c r="I64">
        <f t="shared" si="1"/>
        <v>1.0378666722362713</v>
      </c>
      <c r="J64" s="5">
        <f t="shared" si="2"/>
        <v>328920.30026517162</v>
      </c>
      <c r="K64" s="5"/>
      <c r="L64" s="5">
        <f t="shared" si="3"/>
        <v>513794.52538874384</v>
      </c>
    </row>
    <row r="65" spans="1:12" x14ac:dyDescent="0.35">
      <c r="A65" s="1"/>
      <c r="B65" s="1"/>
      <c r="C65" s="2" t="s">
        <v>81</v>
      </c>
      <c r="D65" t="s">
        <v>219</v>
      </c>
      <c r="E65" s="2">
        <v>35917</v>
      </c>
      <c r="F65" s="5">
        <f t="shared" ref="F65:F68" si="12">(100*E65)/47.23</f>
        <v>76047.004022866822</v>
      </c>
      <c r="G65" s="5"/>
      <c r="H65">
        <v>54899</v>
      </c>
      <c r="I65">
        <f t="shared" si="1"/>
        <v>1.0102350386377417</v>
      </c>
      <c r="J65" s="5">
        <f t="shared" si="2"/>
        <v>77611.658452947682</v>
      </c>
      <c r="K65" s="5"/>
      <c r="L65" s="5">
        <f t="shared" si="3"/>
        <v>87699.292961318119</v>
      </c>
    </row>
    <row r="66" spans="1:12" x14ac:dyDescent="0.35">
      <c r="A66" s="1"/>
      <c r="B66" s="1"/>
      <c r="C66" s="2" t="s">
        <v>82</v>
      </c>
      <c r="D66" t="s">
        <v>219</v>
      </c>
      <c r="E66" s="2">
        <v>144993</v>
      </c>
      <c r="F66" s="5">
        <f t="shared" si="12"/>
        <v>306993.43637518527</v>
      </c>
      <c r="G66" s="5"/>
      <c r="H66">
        <v>183709</v>
      </c>
      <c r="I66">
        <f t="shared" si="1"/>
        <v>1.0161754723353369</v>
      </c>
      <c r="J66" s="5">
        <f t="shared" si="2"/>
        <v>317005.28762519162</v>
      </c>
      <c r="K66" s="5"/>
      <c r="L66" s="5">
        <f t="shared" si="3"/>
        <v>384318.24515107408</v>
      </c>
    </row>
    <row r="67" spans="1:12" x14ac:dyDescent="0.35">
      <c r="A67" s="1"/>
      <c r="B67" s="1"/>
      <c r="C67" s="2" t="s">
        <v>83</v>
      </c>
      <c r="D67" t="s">
        <v>219</v>
      </c>
      <c r="E67" s="2">
        <v>96796</v>
      </c>
      <c r="F67" s="5">
        <f t="shared" si="12"/>
        <v>204946.00889265299</v>
      </c>
      <c r="G67" s="5"/>
      <c r="H67">
        <v>140825</v>
      </c>
      <c r="I67">
        <f t="shared" ref="I67:I130" si="13">POWER(F67/H67,1/32)</f>
        <v>1.0117949111770796</v>
      </c>
      <c r="J67" s="5">
        <f t="shared" ref="J67:J130" si="14">F67*POWER(I67,2)</f>
        <v>209809.16090896897</v>
      </c>
      <c r="K67" s="5"/>
      <c r="L67" s="5">
        <f t="shared" ref="L67:L130" si="15">J67*POWER(I67,12)</f>
        <v>241509.56540870856</v>
      </c>
    </row>
    <row r="68" spans="1:12" x14ac:dyDescent="0.35">
      <c r="A68" s="1"/>
      <c r="B68" s="1"/>
      <c r="C68" s="2" t="s">
        <v>11</v>
      </c>
      <c r="D68" t="s">
        <v>219</v>
      </c>
      <c r="E68" s="2">
        <v>203685</v>
      </c>
      <c r="F68" s="5">
        <f t="shared" si="12"/>
        <v>431261.90980309126</v>
      </c>
      <c r="G68" s="5"/>
      <c r="H68">
        <v>234291</v>
      </c>
      <c r="I68">
        <f t="shared" si="13"/>
        <v>1.0192501798168545</v>
      </c>
      <c r="J68" s="5">
        <f t="shared" si="14"/>
        <v>448025.46090389998</v>
      </c>
      <c r="K68" s="5"/>
      <c r="L68" s="5">
        <f t="shared" si="15"/>
        <v>563212.46261994587</v>
      </c>
    </row>
    <row r="69" spans="1:12" ht="15" x14ac:dyDescent="0.35">
      <c r="A69" s="1"/>
      <c r="B69" s="1"/>
      <c r="C69" s="2" t="s">
        <v>84</v>
      </c>
      <c r="D69" t="s">
        <v>220</v>
      </c>
      <c r="E69" s="2">
        <v>232416</v>
      </c>
      <c r="F69" s="5">
        <f t="shared" ref="F69" si="16">(100*E69)/51.35</f>
        <v>452611.48977604671</v>
      </c>
      <c r="G69" s="5"/>
      <c r="H69" s="9">
        <v>138798</v>
      </c>
      <c r="I69">
        <f t="shared" si="13"/>
        <v>1.0376286365873215</v>
      </c>
      <c r="J69" s="5">
        <f t="shared" si="14"/>
        <v>487314.65538093995</v>
      </c>
      <c r="K69" s="5"/>
      <c r="L69" s="5">
        <f t="shared" si="15"/>
        <v>759124.24083480146</v>
      </c>
    </row>
    <row r="70" spans="1:12" x14ac:dyDescent="0.35">
      <c r="A70" s="1"/>
      <c r="B70" s="1"/>
      <c r="C70" s="2" t="s">
        <v>85</v>
      </c>
      <c r="D70" t="s">
        <v>219</v>
      </c>
      <c r="E70" s="2">
        <v>317325</v>
      </c>
      <c r="F70" s="5">
        <f>(100*E70)/47.23</f>
        <v>671871.69172136358</v>
      </c>
      <c r="G70" s="5"/>
      <c r="H70">
        <v>386121</v>
      </c>
      <c r="I70">
        <f t="shared" si="13"/>
        <v>1.0174605780060526</v>
      </c>
      <c r="J70" s="5">
        <f t="shared" si="14"/>
        <v>695539.06260956184</v>
      </c>
      <c r="K70" s="5"/>
      <c r="L70" s="5">
        <f t="shared" si="15"/>
        <v>856116.01447707019</v>
      </c>
    </row>
    <row r="71" spans="1:12" x14ac:dyDescent="0.35">
      <c r="A71" s="1"/>
      <c r="B71" s="1"/>
      <c r="C71" s="2" t="s">
        <v>86</v>
      </c>
      <c r="D71" s="10" t="s">
        <v>219</v>
      </c>
      <c r="E71" s="2">
        <v>175026</v>
      </c>
      <c r="F71" s="5">
        <f t="shared" ref="F71:F74" si="17">(100*E71)/47.23</f>
        <v>370582.25704001694</v>
      </c>
      <c r="G71" s="5"/>
      <c r="H71" s="10"/>
      <c r="I71">
        <v>1.03437</v>
      </c>
      <c r="J71" s="5">
        <f>F71*POWER(1.0343,2)</f>
        <v>396440.18619254709</v>
      </c>
      <c r="K71" s="5"/>
      <c r="L71" s="5">
        <f t="shared" si="15"/>
        <v>594687.30168737913</v>
      </c>
    </row>
    <row r="72" spans="1:12" x14ac:dyDescent="0.35">
      <c r="A72" s="1"/>
      <c r="B72" s="1"/>
      <c r="C72" s="2" t="s">
        <v>9</v>
      </c>
      <c r="D72" t="s">
        <v>219</v>
      </c>
      <c r="E72" s="2">
        <v>118328</v>
      </c>
      <c r="F72" s="5">
        <f t="shared" si="17"/>
        <v>250535.6764768156</v>
      </c>
      <c r="G72" s="5"/>
      <c r="H72">
        <v>122782</v>
      </c>
      <c r="I72">
        <f t="shared" si="13"/>
        <v>1.0225374312266355</v>
      </c>
      <c r="J72" s="5">
        <f t="shared" si="14"/>
        <v>261955.79367448229</v>
      </c>
      <c r="K72" s="5"/>
      <c r="L72" s="5">
        <f t="shared" si="15"/>
        <v>342277.68530467391</v>
      </c>
    </row>
    <row r="73" spans="1:12" x14ac:dyDescent="0.35">
      <c r="A73" s="1"/>
      <c r="B73" s="1"/>
      <c r="C73" s="2" t="s">
        <v>87</v>
      </c>
      <c r="D73" t="s">
        <v>219</v>
      </c>
      <c r="E73" s="2">
        <v>175953</v>
      </c>
      <c r="F73" s="5">
        <f t="shared" si="17"/>
        <v>372544.99258945585</v>
      </c>
      <c r="G73" s="5"/>
      <c r="H73">
        <v>197675</v>
      </c>
      <c r="I73">
        <f t="shared" si="13"/>
        <v>1.0200015770030086</v>
      </c>
      <c r="J73" s="5">
        <f t="shared" si="14"/>
        <v>387597.00880032766</v>
      </c>
      <c r="K73" s="5"/>
      <c r="L73" s="5">
        <f t="shared" si="15"/>
        <v>491575.84611150587</v>
      </c>
    </row>
    <row r="74" spans="1:12" x14ac:dyDescent="0.35">
      <c r="A74" s="1"/>
      <c r="B74" s="1"/>
      <c r="C74" s="2" t="s">
        <v>18</v>
      </c>
      <c r="D74" t="s">
        <v>219</v>
      </c>
      <c r="E74" s="2">
        <v>146781</v>
      </c>
      <c r="F74" s="5">
        <f t="shared" si="17"/>
        <v>310779.16578445904</v>
      </c>
      <c r="G74" s="5"/>
      <c r="H74">
        <v>244900</v>
      </c>
      <c r="I74">
        <f t="shared" si="13"/>
        <v>1.0074725505104776</v>
      </c>
      <c r="J74" s="5">
        <f t="shared" si="14"/>
        <v>315441.14541361365</v>
      </c>
      <c r="K74" s="5"/>
      <c r="L74" s="5">
        <f t="shared" si="15"/>
        <v>344918.91227583552</v>
      </c>
    </row>
    <row r="75" spans="1:12" x14ac:dyDescent="0.35">
      <c r="A75" s="1">
        <v>12</v>
      </c>
      <c r="B75" s="1" t="s">
        <v>191</v>
      </c>
      <c r="C75" s="2" t="s">
        <v>88</v>
      </c>
      <c r="D75" t="s">
        <v>219</v>
      </c>
      <c r="E75" s="2">
        <v>156545</v>
      </c>
      <c r="F75" s="5">
        <f>(100*E75)/45.37</f>
        <v>345040.77584306814</v>
      </c>
      <c r="G75" s="5"/>
      <c r="H75">
        <v>114839</v>
      </c>
      <c r="I75">
        <f t="shared" si="13"/>
        <v>1.0349769003028388</v>
      </c>
      <c r="J75" s="5">
        <f t="shared" si="14"/>
        <v>369599.80668812251</v>
      </c>
      <c r="K75" s="5"/>
      <c r="L75" s="5">
        <f t="shared" si="15"/>
        <v>558341.12559369195</v>
      </c>
    </row>
    <row r="76" spans="1:12" x14ac:dyDescent="0.35">
      <c r="A76" s="1"/>
      <c r="B76" s="1"/>
      <c r="C76" s="2" t="s">
        <v>12</v>
      </c>
      <c r="D76" t="s">
        <v>219</v>
      </c>
      <c r="E76" s="2">
        <v>109219</v>
      </c>
      <c r="F76" s="5">
        <f t="shared" ref="F76:F80" si="18">(100*E76)/45.37</f>
        <v>240729.55697597534</v>
      </c>
      <c r="G76" s="5"/>
      <c r="H76">
        <v>92597</v>
      </c>
      <c r="I76">
        <f t="shared" si="13"/>
        <v>1.0303069766497988</v>
      </c>
      <c r="J76" s="5">
        <f t="shared" si="14"/>
        <v>255542.24028787159</v>
      </c>
      <c r="K76" s="5"/>
      <c r="L76" s="5">
        <f t="shared" si="15"/>
        <v>365647.31223606481</v>
      </c>
    </row>
    <row r="77" spans="1:12" x14ac:dyDescent="0.35">
      <c r="A77" s="1"/>
      <c r="B77" s="1"/>
      <c r="C77" s="2" t="s">
        <v>10</v>
      </c>
      <c r="D77" t="s">
        <v>219</v>
      </c>
      <c r="E77" s="2">
        <v>329111</v>
      </c>
      <c r="F77" s="5">
        <f t="shared" si="18"/>
        <v>725393.43178311666</v>
      </c>
      <c r="G77" s="5"/>
      <c r="H77">
        <v>278346</v>
      </c>
      <c r="I77">
        <f t="shared" si="13"/>
        <v>1.0303852777593208</v>
      </c>
      <c r="J77" s="5">
        <f t="shared" si="14"/>
        <v>770145.72404475731</v>
      </c>
      <c r="K77" s="5"/>
      <c r="L77" s="5">
        <f t="shared" si="15"/>
        <v>1102982.5619491369</v>
      </c>
    </row>
    <row r="78" spans="1:12" x14ac:dyDescent="0.35">
      <c r="A78" s="1"/>
      <c r="B78" s="1"/>
      <c r="C78" s="2" t="s">
        <v>89</v>
      </c>
      <c r="D78" t="s">
        <v>219</v>
      </c>
      <c r="E78" s="2">
        <v>246468</v>
      </c>
      <c r="F78" s="5">
        <f t="shared" si="18"/>
        <v>543240.02644919557</v>
      </c>
      <c r="G78" s="5"/>
      <c r="H78">
        <v>249100</v>
      </c>
      <c r="I78">
        <f t="shared" si="13"/>
        <v>1.0246647912501274</v>
      </c>
      <c r="J78" s="5">
        <f t="shared" si="14"/>
        <v>570368.3112684997</v>
      </c>
      <c r="K78" s="5"/>
      <c r="L78" s="5">
        <f t="shared" si="15"/>
        <v>764077.0435292538</v>
      </c>
    </row>
    <row r="79" spans="1:12" x14ac:dyDescent="0.35">
      <c r="A79" s="1"/>
      <c r="B79" s="1"/>
      <c r="C79" s="2" t="s">
        <v>90</v>
      </c>
      <c r="D79" t="s">
        <v>220</v>
      </c>
      <c r="E79" s="2">
        <v>29566</v>
      </c>
      <c r="F79" s="5">
        <f>(100*E79)/45.94</f>
        <v>64357.858075750984</v>
      </c>
      <c r="G79" s="5"/>
      <c r="H79">
        <v>19860</v>
      </c>
      <c r="I79">
        <f t="shared" si="13"/>
        <v>1.037425569912489</v>
      </c>
      <c r="J79" s="5">
        <f t="shared" si="14"/>
        <v>69265.261441790586</v>
      </c>
      <c r="K79" s="5"/>
      <c r="L79" s="5">
        <f t="shared" si="15"/>
        <v>107646.23740527195</v>
      </c>
    </row>
    <row r="80" spans="1:12" x14ac:dyDescent="0.35">
      <c r="A80" s="1"/>
      <c r="B80" s="1"/>
      <c r="C80" s="2" t="s">
        <v>91</v>
      </c>
      <c r="D80" t="s">
        <v>219</v>
      </c>
      <c r="E80" s="2">
        <v>114168</v>
      </c>
      <c r="F80" s="5">
        <f t="shared" si="18"/>
        <v>251637.6460216002</v>
      </c>
      <c r="G80" s="5"/>
      <c r="H80">
        <v>99583</v>
      </c>
      <c r="I80">
        <f t="shared" si="13"/>
        <v>1.0293923827657465</v>
      </c>
      <c r="J80" s="5">
        <f t="shared" si="14"/>
        <v>266647.4988653583</v>
      </c>
      <c r="K80" s="5"/>
      <c r="L80" s="5">
        <f t="shared" si="15"/>
        <v>377493.01283388073</v>
      </c>
    </row>
    <row r="81" spans="1:12" x14ac:dyDescent="0.35">
      <c r="A81" s="1">
        <v>13</v>
      </c>
      <c r="B81" s="1" t="s">
        <v>192</v>
      </c>
      <c r="C81" s="2" t="s">
        <v>92</v>
      </c>
      <c r="D81" t="s">
        <v>219</v>
      </c>
      <c r="E81" s="2">
        <v>229898</v>
      </c>
      <c r="F81" s="5">
        <f>(100*E81)/44.87</f>
        <v>512364.60887006909</v>
      </c>
      <c r="G81" s="5"/>
      <c r="H81">
        <v>214231</v>
      </c>
      <c r="I81">
        <f t="shared" si="13"/>
        <v>1.0276240867793964</v>
      </c>
      <c r="J81" s="5">
        <f t="shared" si="14"/>
        <v>541062.79810299305</v>
      </c>
      <c r="K81" s="5"/>
      <c r="L81" s="5">
        <f t="shared" si="15"/>
        <v>750341.51765391231</v>
      </c>
    </row>
    <row r="82" spans="1:12" x14ac:dyDescent="0.35">
      <c r="A82" s="1"/>
      <c r="B82" s="1"/>
      <c r="C82" s="2" t="s">
        <v>93</v>
      </c>
      <c r="D82" t="s">
        <v>220</v>
      </c>
      <c r="E82" s="2">
        <v>108937</v>
      </c>
      <c r="F82" s="5">
        <f>(100*E82)/50.86</f>
        <v>214189.93314982305</v>
      </c>
      <c r="G82" s="5"/>
      <c r="H82">
        <v>63642</v>
      </c>
      <c r="I82">
        <f t="shared" si="13"/>
        <v>1.038652991114124</v>
      </c>
      <c r="J82" s="5">
        <f t="shared" si="14"/>
        <v>231068.107582225</v>
      </c>
      <c r="K82" s="5"/>
      <c r="L82" s="5">
        <f t="shared" si="15"/>
        <v>364238.39286890021</v>
      </c>
    </row>
    <row r="83" spans="1:12" x14ac:dyDescent="0.35">
      <c r="A83" s="1"/>
      <c r="B83" s="1"/>
      <c r="C83" s="2" t="s">
        <v>94</v>
      </c>
      <c r="D83" t="s">
        <v>219</v>
      </c>
      <c r="E83" s="2">
        <v>477546</v>
      </c>
      <c r="F83" s="5">
        <f t="shared" ref="F83:F87" si="19">(100*E83)/44.87</f>
        <v>1064287.9429462894</v>
      </c>
      <c r="G83" s="5"/>
      <c r="H83">
        <v>555124</v>
      </c>
      <c r="I83">
        <f t="shared" si="13"/>
        <v>1.0205479403756439</v>
      </c>
      <c r="J83" s="5">
        <f t="shared" si="14"/>
        <v>1108475.1547056129</v>
      </c>
      <c r="K83" s="5"/>
      <c r="L83" s="5">
        <f t="shared" si="15"/>
        <v>1414903.7257494912</v>
      </c>
    </row>
    <row r="84" spans="1:12" x14ac:dyDescent="0.35">
      <c r="A84" s="1"/>
      <c r="B84" s="1"/>
      <c r="C84" s="2" t="s">
        <v>95</v>
      </c>
      <c r="D84" t="s">
        <v>219</v>
      </c>
      <c r="E84" s="2">
        <v>355273</v>
      </c>
      <c r="F84" s="5">
        <f t="shared" si="19"/>
        <v>791782.92845999554</v>
      </c>
      <c r="G84" s="5"/>
      <c r="H84">
        <v>291310</v>
      </c>
      <c r="I84">
        <f t="shared" si="13"/>
        <v>1.0317401601490208</v>
      </c>
      <c r="J84" s="5">
        <f t="shared" si="14"/>
        <v>842843.23438998812</v>
      </c>
      <c r="K84" s="5"/>
      <c r="L84" s="5">
        <f t="shared" si="15"/>
        <v>1226283.353125128</v>
      </c>
    </row>
    <row r="85" spans="1:12" x14ac:dyDescent="0.35">
      <c r="A85" s="1"/>
      <c r="B85" s="1"/>
      <c r="C85" s="2" t="s">
        <v>96</v>
      </c>
      <c r="D85" t="s">
        <v>219</v>
      </c>
      <c r="E85" s="2">
        <v>564733</v>
      </c>
      <c r="F85" s="5">
        <f t="shared" si="19"/>
        <v>1258598.1724983286</v>
      </c>
      <c r="G85" s="5"/>
      <c r="H85">
        <v>477458</v>
      </c>
      <c r="I85">
        <f t="shared" si="13"/>
        <v>1.0307533324777078</v>
      </c>
      <c r="J85" s="5">
        <f t="shared" si="14"/>
        <v>1337200.6898025388</v>
      </c>
      <c r="K85" s="5"/>
      <c r="L85" s="5">
        <f t="shared" si="15"/>
        <v>1923328.9240898064</v>
      </c>
    </row>
    <row r="86" spans="1:12" x14ac:dyDescent="0.35">
      <c r="A86" s="1"/>
      <c r="B86" s="1"/>
      <c r="C86" s="2" t="s">
        <v>97</v>
      </c>
      <c r="D86" t="s">
        <v>220</v>
      </c>
      <c r="E86" s="2">
        <v>224237</v>
      </c>
      <c r="F86" s="5">
        <f>(100*E86)/50.86</f>
        <v>440890.6802988596</v>
      </c>
      <c r="G86" s="5"/>
      <c r="H86">
        <v>149296</v>
      </c>
      <c r="I86">
        <f t="shared" si="13"/>
        <v>1.0344186352242462</v>
      </c>
      <c r="J86" s="5">
        <f t="shared" si="14"/>
        <v>471762.68911281193</v>
      </c>
      <c r="K86" s="5"/>
      <c r="L86" s="5">
        <f t="shared" si="15"/>
        <v>708075.58573088795</v>
      </c>
    </row>
    <row r="87" spans="1:12" x14ac:dyDescent="0.35">
      <c r="A87" s="1"/>
      <c r="B87" s="1"/>
      <c r="C87" s="2" t="s">
        <v>14</v>
      </c>
      <c r="D87" t="s">
        <v>219</v>
      </c>
      <c r="E87" s="2">
        <v>390174</v>
      </c>
      <c r="F87" s="5">
        <f t="shared" si="19"/>
        <v>869565.41118787613</v>
      </c>
      <c r="G87" s="5"/>
      <c r="H87">
        <v>428962</v>
      </c>
      <c r="I87">
        <f t="shared" si="13"/>
        <v>1.0223276509555685</v>
      </c>
      <c r="J87" s="5">
        <f t="shared" si="14"/>
        <v>908829.61638055963</v>
      </c>
      <c r="K87" s="5"/>
      <c r="L87" s="5">
        <f t="shared" si="15"/>
        <v>1184578.2633802644</v>
      </c>
    </row>
    <row r="88" spans="1:12" x14ac:dyDescent="0.35">
      <c r="A88" s="1">
        <v>14</v>
      </c>
      <c r="B88" s="1" t="s">
        <v>193</v>
      </c>
      <c r="C88" s="2" t="s">
        <v>98</v>
      </c>
      <c r="D88" t="s">
        <v>219</v>
      </c>
      <c r="E88" s="2">
        <v>220769</v>
      </c>
      <c r="F88" s="5">
        <f>(100*E88)/40.48</f>
        <v>545377.96442687756</v>
      </c>
      <c r="G88" s="5"/>
      <c r="H88">
        <v>163323</v>
      </c>
      <c r="I88">
        <f t="shared" si="13"/>
        <v>1.0383985426361249</v>
      </c>
      <c r="J88" s="5">
        <f t="shared" si="14"/>
        <v>588065.53395723179</v>
      </c>
      <c r="K88" s="5"/>
      <c r="L88" s="5">
        <f t="shared" si="15"/>
        <v>924260.8675182712</v>
      </c>
    </row>
    <row r="89" spans="1:12" x14ac:dyDescent="0.35">
      <c r="A89" s="1"/>
      <c r="B89" s="1"/>
      <c r="C89" s="2" t="s">
        <v>99</v>
      </c>
      <c r="D89" t="s">
        <v>220</v>
      </c>
      <c r="E89" s="2">
        <v>42763</v>
      </c>
      <c r="F89" s="5">
        <f>(100*E89)/40.33</f>
        <v>106032.72997768411</v>
      </c>
      <c r="G89" s="5"/>
      <c r="H89">
        <v>24789</v>
      </c>
      <c r="I89">
        <f t="shared" si="13"/>
        <v>1.0464642691924049</v>
      </c>
      <c r="J89" s="5">
        <f t="shared" si="14"/>
        <v>116115.1136581649</v>
      </c>
      <c r="K89" s="5"/>
      <c r="L89" s="5">
        <f t="shared" si="15"/>
        <v>200254.18572064527</v>
      </c>
    </row>
    <row r="90" spans="1:12" x14ac:dyDescent="0.35">
      <c r="A90" s="1"/>
      <c r="B90" s="1"/>
      <c r="C90" s="2" t="s">
        <v>100</v>
      </c>
      <c r="D90" t="s">
        <v>219</v>
      </c>
      <c r="E90" s="2">
        <v>29812</v>
      </c>
      <c r="F90" s="5">
        <f t="shared" ref="F90:F94" si="20">(100*E90)/40.48</f>
        <v>73646.245059288543</v>
      </c>
      <c r="G90" s="5"/>
      <c r="H90">
        <v>21811</v>
      </c>
      <c r="I90">
        <f t="shared" si="13"/>
        <v>1.0387591078758212</v>
      </c>
      <c r="J90" s="5">
        <f t="shared" si="14"/>
        <v>79465.80700301507</v>
      </c>
      <c r="K90" s="5"/>
      <c r="L90" s="5">
        <f t="shared" si="15"/>
        <v>125417.58525700173</v>
      </c>
    </row>
    <row r="91" spans="1:12" x14ac:dyDescent="0.35">
      <c r="A91" s="1"/>
      <c r="B91" s="1"/>
      <c r="C91" s="2" t="s">
        <v>101</v>
      </c>
      <c r="D91" t="s">
        <v>219</v>
      </c>
      <c r="E91" s="2">
        <v>203122</v>
      </c>
      <c r="F91" s="5">
        <f t="shared" si="20"/>
        <v>501783.5968379447</v>
      </c>
      <c r="G91" s="5"/>
      <c r="H91">
        <v>136463</v>
      </c>
      <c r="I91">
        <f t="shared" si="13"/>
        <v>1.0415303345894207</v>
      </c>
      <c r="J91" s="5">
        <f t="shared" si="14"/>
        <v>544327.53881180857</v>
      </c>
      <c r="K91" s="5"/>
      <c r="L91" s="5">
        <f t="shared" si="15"/>
        <v>886999.5234093332</v>
      </c>
    </row>
    <row r="92" spans="1:12" x14ac:dyDescent="0.35">
      <c r="A92" s="1"/>
      <c r="B92" s="1"/>
      <c r="C92" s="2" t="s">
        <v>102</v>
      </c>
      <c r="D92" t="s">
        <v>219</v>
      </c>
      <c r="E92" s="2">
        <v>325083</v>
      </c>
      <c r="F92" s="5">
        <f t="shared" si="20"/>
        <v>803070.65217391308</v>
      </c>
      <c r="G92" s="5"/>
      <c r="H92">
        <v>170677</v>
      </c>
      <c r="I92">
        <f t="shared" si="13"/>
        <v>1.049586137476237</v>
      </c>
      <c r="J92" s="5">
        <f t="shared" si="14"/>
        <v>884687.57379501383</v>
      </c>
      <c r="K92" s="5"/>
      <c r="L92" s="5">
        <f t="shared" si="15"/>
        <v>1581273.381278245</v>
      </c>
    </row>
    <row r="93" spans="1:12" x14ac:dyDescent="0.35">
      <c r="A93" s="1"/>
      <c r="B93" s="1"/>
      <c r="C93" s="2" t="s">
        <v>103</v>
      </c>
      <c r="D93" t="s">
        <v>220</v>
      </c>
      <c r="E93" s="2">
        <v>153323</v>
      </c>
      <c r="F93" s="5">
        <f>(100*E93)/40.33</f>
        <v>380171.08851971239</v>
      </c>
      <c r="G93" s="5"/>
      <c r="H93" s="8">
        <v>94560</v>
      </c>
      <c r="I93">
        <f t="shared" si="13"/>
        <v>1.0444399810406615</v>
      </c>
      <c r="J93" s="5">
        <f t="shared" si="14"/>
        <v>414711.48486417567</v>
      </c>
      <c r="K93" s="5"/>
      <c r="L93" s="5">
        <f t="shared" si="15"/>
        <v>698791.9949475571</v>
      </c>
    </row>
    <row r="94" spans="1:12" x14ac:dyDescent="0.35">
      <c r="A94" s="1"/>
      <c r="B94" s="1"/>
      <c r="C94" s="2" t="s">
        <v>104</v>
      </c>
      <c r="D94" t="s">
        <v>219</v>
      </c>
      <c r="E94" s="2">
        <v>270779</v>
      </c>
      <c r="F94" s="5">
        <f t="shared" si="20"/>
        <v>668920.45454545459</v>
      </c>
      <c r="G94" s="5"/>
      <c r="H94">
        <v>227801</v>
      </c>
      <c r="I94">
        <f t="shared" si="13"/>
        <v>1.0342352577347482</v>
      </c>
      <c r="J94" s="5">
        <f t="shared" si="14"/>
        <v>715505.79301627143</v>
      </c>
      <c r="K94" s="5"/>
      <c r="L94" s="5">
        <f t="shared" si="15"/>
        <v>1071630.8883321912</v>
      </c>
    </row>
    <row r="95" spans="1:12" x14ac:dyDescent="0.35">
      <c r="A95" s="1">
        <v>15</v>
      </c>
      <c r="B95" s="1" t="s">
        <v>194</v>
      </c>
      <c r="C95" s="2" t="s">
        <v>105</v>
      </c>
      <c r="D95" t="s">
        <v>219</v>
      </c>
      <c r="E95" s="2">
        <v>154959</v>
      </c>
      <c r="F95" s="5">
        <f>(100*E95)/43.65</f>
        <v>355003.43642611685</v>
      </c>
      <c r="G95" s="5"/>
      <c r="H95">
        <v>161174</v>
      </c>
      <c r="I95">
        <f t="shared" si="13"/>
        <v>1.0249833227408534</v>
      </c>
      <c r="J95" s="5">
        <f t="shared" si="14"/>
        <v>372963.34850109665</v>
      </c>
      <c r="K95" s="5"/>
      <c r="L95" s="5">
        <f t="shared" si="15"/>
        <v>501496.31376689568</v>
      </c>
    </row>
    <row r="96" spans="1:12" x14ac:dyDescent="0.35">
      <c r="A96" s="1"/>
      <c r="B96" s="1"/>
      <c r="C96" s="2" t="s">
        <v>106</v>
      </c>
      <c r="D96" t="s">
        <v>219</v>
      </c>
      <c r="E96" s="2">
        <v>106658</v>
      </c>
      <c r="F96" s="5">
        <f t="shared" ref="F96:F100" si="21">(100*E96)/43.65</f>
        <v>244348.22451317299</v>
      </c>
      <c r="G96" s="5"/>
      <c r="H96">
        <v>82844</v>
      </c>
      <c r="I96">
        <f t="shared" si="13"/>
        <v>1.0343788430221272</v>
      </c>
      <c r="J96" s="5">
        <f t="shared" si="14"/>
        <v>261437.83937076069</v>
      </c>
      <c r="K96" s="5"/>
      <c r="L96" s="5">
        <f t="shared" si="15"/>
        <v>392214.81451779883</v>
      </c>
    </row>
    <row r="97" spans="1:12" x14ac:dyDescent="0.35">
      <c r="A97" s="1"/>
      <c r="B97" s="1"/>
      <c r="C97" s="2" t="s">
        <v>107</v>
      </c>
      <c r="D97" t="s">
        <v>220</v>
      </c>
      <c r="E97" s="2">
        <v>299202</v>
      </c>
      <c r="F97" s="5">
        <f>(100*E97)/43.73</f>
        <v>684203.06425794656</v>
      </c>
      <c r="G97" s="5"/>
      <c r="H97">
        <v>416122</v>
      </c>
      <c r="I97">
        <f t="shared" si="13"/>
        <v>1.0156612551424749</v>
      </c>
      <c r="J97" s="5">
        <f t="shared" si="14"/>
        <v>705801.83962197241</v>
      </c>
      <c r="K97" s="5"/>
      <c r="L97" s="5">
        <f t="shared" si="15"/>
        <v>850490.3937210869</v>
      </c>
    </row>
    <row r="98" spans="1:12" x14ac:dyDescent="0.35">
      <c r="A98" s="1"/>
      <c r="B98" s="1"/>
      <c r="C98" s="2" t="s">
        <v>108</v>
      </c>
      <c r="D98" s="10" t="s">
        <v>219</v>
      </c>
      <c r="E98" s="2">
        <v>208364</v>
      </c>
      <c r="F98" s="5">
        <f t="shared" si="21"/>
        <v>477351.66093928984</v>
      </c>
      <c r="G98" s="5"/>
      <c r="H98" s="10"/>
      <c r="I98">
        <v>1.03437</v>
      </c>
      <c r="J98" s="5">
        <f>F98*POWER(1.0343,2)</f>
        <v>510659.58433530357</v>
      </c>
      <c r="K98" s="5"/>
      <c r="L98" s="5">
        <f t="shared" si="15"/>
        <v>766024.18439402257</v>
      </c>
    </row>
    <row r="99" spans="1:12" x14ac:dyDescent="0.35">
      <c r="A99" s="1"/>
      <c r="B99" s="1"/>
      <c r="C99" s="2" t="s">
        <v>109</v>
      </c>
      <c r="D99" s="10" t="s">
        <v>219</v>
      </c>
      <c r="E99" s="2">
        <v>146403</v>
      </c>
      <c r="F99" s="5">
        <f t="shared" si="21"/>
        <v>335402.06185567012</v>
      </c>
      <c r="G99" s="5"/>
      <c r="H99" s="10"/>
      <c r="I99">
        <v>1.03437</v>
      </c>
      <c r="J99" s="5">
        <f>F99*POWER(1.0343,2)</f>
        <v>358805.24047072168</v>
      </c>
      <c r="K99" s="5"/>
      <c r="L99" s="5">
        <f t="shared" si="15"/>
        <v>538232.31780844135</v>
      </c>
    </row>
    <row r="100" spans="1:12" x14ac:dyDescent="0.35">
      <c r="A100" s="1"/>
      <c r="B100" s="1"/>
      <c r="C100" s="2" t="s">
        <v>110</v>
      </c>
      <c r="D100" t="s">
        <v>219</v>
      </c>
      <c r="E100" s="2">
        <v>107601</v>
      </c>
      <c r="F100" s="5">
        <f t="shared" si="21"/>
        <v>246508.5910652921</v>
      </c>
      <c r="G100" s="5"/>
      <c r="H100">
        <v>114081</v>
      </c>
      <c r="I100">
        <f t="shared" si="13"/>
        <v>1.0243699634854473</v>
      </c>
      <c r="J100" s="5">
        <f t="shared" si="14"/>
        <v>258669.8020408538</v>
      </c>
      <c r="K100" s="5"/>
      <c r="L100" s="5">
        <f t="shared" si="15"/>
        <v>345324.7914740335</v>
      </c>
    </row>
    <row r="101" spans="1:12" x14ac:dyDescent="0.35">
      <c r="A101" s="1">
        <v>16</v>
      </c>
      <c r="B101" s="1" t="s">
        <v>195</v>
      </c>
      <c r="C101" s="2" t="s">
        <v>111</v>
      </c>
      <c r="D101" t="s">
        <v>219</v>
      </c>
      <c r="E101" s="2">
        <v>68499</v>
      </c>
      <c r="F101" s="5">
        <f>(100*E101)/47.75</f>
        <v>143453.40314136125</v>
      </c>
      <c r="G101" s="5"/>
      <c r="H101">
        <v>88154</v>
      </c>
      <c r="I101">
        <f t="shared" si="13"/>
        <v>1.0153327645854822</v>
      </c>
      <c r="J101" s="5">
        <f t="shared" si="14"/>
        <v>147886.20264706144</v>
      </c>
      <c r="K101" s="5"/>
      <c r="L101" s="5">
        <f t="shared" si="15"/>
        <v>177512.30753307074</v>
      </c>
    </row>
    <row r="102" spans="1:12" x14ac:dyDescent="0.35">
      <c r="A102" s="1"/>
      <c r="B102" s="1"/>
      <c r="C102" s="2" t="s">
        <v>112</v>
      </c>
      <c r="D102" t="s">
        <v>219</v>
      </c>
      <c r="E102" s="2">
        <v>174393</v>
      </c>
      <c r="F102" s="5">
        <f t="shared" ref="F102:F109" si="22">(100*E102)/47.75</f>
        <v>365220.94240837696</v>
      </c>
      <c r="G102" s="5"/>
      <c r="H102">
        <v>129192</v>
      </c>
      <c r="I102">
        <f t="shared" si="13"/>
        <v>1.0330081587239768</v>
      </c>
      <c r="J102" s="5">
        <f t="shared" si="14"/>
        <v>389729.40637427545</v>
      </c>
      <c r="K102" s="5"/>
      <c r="L102" s="5">
        <f t="shared" si="15"/>
        <v>575450.79608344112</v>
      </c>
    </row>
    <row r="103" spans="1:12" x14ac:dyDescent="0.35">
      <c r="A103" s="1"/>
      <c r="B103" s="1"/>
      <c r="C103" s="2" t="s">
        <v>113</v>
      </c>
      <c r="D103" t="s">
        <v>220</v>
      </c>
      <c r="E103" s="2">
        <v>27228</v>
      </c>
      <c r="F103" s="5">
        <f>(100*E103)/48.08</f>
        <v>56630.615640599004</v>
      </c>
      <c r="G103" s="5"/>
      <c r="H103">
        <v>21596</v>
      </c>
      <c r="I103">
        <f t="shared" si="13"/>
        <v>1.0305846898359758</v>
      </c>
      <c r="J103" s="5">
        <f t="shared" si="14"/>
        <v>60147.648864441006</v>
      </c>
      <c r="K103" s="5"/>
      <c r="L103" s="5">
        <f t="shared" si="15"/>
        <v>86342.156651456316</v>
      </c>
    </row>
    <row r="104" spans="1:12" x14ac:dyDescent="0.35">
      <c r="A104" s="1"/>
      <c r="B104" s="1"/>
      <c r="C104" s="2" t="s">
        <v>7</v>
      </c>
      <c r="D104" t="s">
        <v>219</v>
      </c>
      <c r="E104" s="2">
        <v>110131</v>
      </c>
      <c r="F104" s="5">
        <f t="shared" si="22"/>
        <v>230640.83769633507</v>
      </c>
      <c r="G104" s="5"/>
      <c r="H104">
        <v>85640</v>
      </c>
      <c r="I104">
        <f t="shared" si="13"/>
        <v>1.0314438978771188</v>
      </c>
      <c r="J104" s="5">
        <f t="shared" si="14"/>
        <v>245373.37050234381</v>
      </c>
      <c r="K104" s="5"/>
      <c r="L104" s="5">
        <f t="shared" si="15"/>
        <v>355774.45256182313</v>
      </c>
    </row>
    <row r="105" spans="1:12" x14ac:dyDescent="0.35">
      <c r="A105" s="1"/>
      <c r="B105" s="1"/>
      <c r="C105" s="2" t="s">
        <v>23</v>
      </c>
      <c r="D105" t="s">
        <v>219</v>
      </c>
      <c r="E105" s="2">
        <v>277319</v>
      </c>
      <c r="F105" s="5">
        <f t="shared" si="22"/>
        <v>580772.77486910997</v>
      </c>
      <c r="G105" s="5"/>
      <c r="H105">
        <v>232528</v>
      </c>
      <c r="I105">
        <f t="shared" si="13"/>
        <v>1.0290176963810018</v>
      </c>
      <c r="J105" s="5">
        <f t="shared" si="14"/>
        <v>614967.1771490837</v>
      </c>
      <c r="K105" s="5"/>
      <c r="L105" s="5">
        <f t="shared" si="15"/>
        <v>866814.28365486569</v>
      </c>
    </row>
    <row r="106" spans="1:12" x14ac:dyDescent="0.35">
      <c r="A106" s="1"/>
      <c r="B106" s="1"/>
      <c r="C106" s="2" t="s">
        <v>114</v>
      </c>
      <c r="D106" s="10" t="s">
        <v>219</v>
      </c>
      <c r="E106" s="2">
        <v>89166</v>
      </c>
      <c r="F106" s="5">
        <f t="shared" si="22"/>
        <v>186735.0785340314</v>
      </c>
      <c r="G106" s="5"/>
      <c r="H106" s="10"/>
      <c r="I106">
        <v>1.03437</v>
      </c>
      <c r="J106" s="5">
        <f>F106*POWER(1.0343,2)</f>
        <v>199764.79687401044</v>
      </c>
      <c r="K106" s="5"/>
      <c r="L106" s="5">
        <f t="shared" si="15"/>
        <v>299660.81180133903</v>
      </c>
    </row>
    <row r="107" spans="1:12" x14ac:dyDescent="0.35">
      <c r="A107" s="1"/>
      <c r="B107" s="1"/>
      <c r="C107" s="2" t="s">
        <v>115</v>
      </c>
      <c r="D107" t="s">
        <v>219</v>
      </c>
      <c r="E107" s="2">
        <v>73793</v>
      </c>
      <c r="F107" s="5">
        <f t="shared" si="22"/>
        <v>154540.31413612564</v>
      </c>
      <c r="G107" s="5"/>
      <c r="H107">
        <v>92693</v>
      </c>
      <c r="I107">
        <f t="shared" si="13"/>
        <v>1.0161020770881906</v>
      </c>
      <c r="J107" s="5">
        <f t="shared" si="14"/>
        <v>159557.22297052812</v>
      </c>
      <c r="K107" s="5"/>
      <c r="L107" s="5">
        <f t="shared" si="15"/>
        <v>193270.04093593819</v>
      </c>
    </row>
    <row r="108" spans="1:12" x14ac:dyDescent="0.35">
      <c r="A108" s="1"/>
      <c r="B108" s="1"/>
      <c r="C108" s="2" t="s">
        <v>116</v>
      </c>
      <c r="D108" t="s">
        <v>219</v>
      </c>
      <c r="E108" s="2">
        <v>91295</v>
      </c>
      <c r="F108" s="5">
        <f t="shared" si="22"/>
        <v>191193.71727748693</v>
      </c>
      <c r="G108" s="5"/>
      <c r="H108">
        <v>85590</v>
      </c>
      <c r="I108">
        <f t="shared" si="13"/>
        <v>1.0254342782528916</v>
      </c>
      <c r="J108" s="5">
        <f t="shared" si="14"/>
        <v>201043.14938401748</v>
      </c>
      <c r="K108" s="5"/>
      <c r="L108" s="5">
        <f t="shared" si="15"/>
        <v>271758.57115862245</v>
      </c>
    </row>
    <row r="109" spans="1:12" x14ac:dyDescent="0.35">
      <c r="A109" s="1"/>
      <c r="B109" s="1"/>
      <c r="C109" s="2" t="s">
        <v>117</v>
      </c>
      <c r="D109" s="10" t="s">
        <v>219</v>
      </c>
      <c r="E109" s="2">
        <v>66962</v>
      </c>
      <c r="F109" s="5">
        <f t="shared" si="22"/>
        <v>140234.554973822</v>
      </c>
      <c r="G109" s="5"/>
      <c r="H109" s="10"/>
      <c r="I109">
        <v>1.03437</v>
      </c>
      <c r="J109" s="5">
        <f>F109*POWER(1.0343,2)</f>
        <v>150019.62999660734</v>
      </c>
      <c r="K109" s="5"/>
      <c r="L109" s="5">
        <f t="shared" si="15"/>
        <v>225039.67072472995</v>
      </c>
    </row>
    <row r="110" spans="1:12" x14ac:dyDescent="0.35">
      <c r="A110" s="1">
        <v>17</v>
      </c>
      <c r="B110" s="1" t="s">
        <v>196</v>
      </c>
      <c r="C110" s="2" t="s">
        <v>118</v>
      </c>
      <c r="D110" t="s">
        <v>219</v>
      </c>
      <c r="E110" s="2">
        <v>169974</v>
      </c>
      <c r="F110" s="5">
        <f>(100*E110)/44.66</f>
        <v>380595.61128526647</v>
      </c>
      <c r="G110" s="5"/>
      <c r="H110">
        <v>112580</v>
      </c>
      <c r="I110">
        <f t="shared" si="13"/>
        <v>1.0387985365237067</v>
      </c>
      <c r="J110" s="5">
        <f t="shared" si="14"/>
        <v>410701.63737093267</v>
      </c>
      <c r="K110" s="5"/>
      <c r="L110" s="5">
        <f t="shared" si="15"/>
        <v>648488.65645484801</v>
      </c>
    </row>
    <row r="111" spans="1:12" x14ac:dyDescent="0.35">
      <c r="A111" s="1"/>
      <c r="B111" s="1"/>
      <c r="C111" s="2" t="s">
        <v>119</v>
      </c>
      <c r="D111" s="10" t="s">
        <v>219</v>
      </c>
      <c r="E111" s="2">
        <v>82054</v>
      </c>
      <c r="F111" s="5">
        <f t="shared" ref="F111:F117" si="23">(100*E111)/44.66</f>
        <v>183730.40752351098</v>
      </c>
      <c r="G111" s="5"/>
      <c r="H111" s="10"/>
      <c r="I111">
        <v>1.03437</v>
      </c>
      <c r="J111" s="5">
        <f>F111*POWER(1.0343,2)</f>
        <v>196550.47046677116</v>
      </c>
      <c r="K111" s="5"/>
      <c r="L111" s="5">
        <f t="shared" si="15"/>
        <v>294839.10309359664</v>
      </c>
    </row>
    <row r="112" spans="1:12" x14ac:dyDescent="0.35">
      <c r="A112" s="1"/>
      <c r="B112" s="1"/>
      <c r="C112" s="2" t="s">
        <v>4</v>
      </c>
      <c r="D112" t="s">
        <v>219</v>
      </c>
      <c r="E112" s="2">
        <v>262421</v>
      </c>
      <c r="F112" s="5">
        <f t="shared" si="23"/>
        <v>587597.40259740269</v>
      </c>
      <c r="G112" s="5"/>
      <c r="H112">
        <v>246959</v>
      </c>
      <c r="I112">
        <f t="shared" si="13"/>
        <v>1.0274583336828289</v>
      </c>
      <c r="J112" s="5">
        <f t="shared" si="14"/>
        <v>620309.31869051431</v>
      </c>
      <c r="K112" s="5"/>
      <c r="L112" s="5">
        <f t="shared" si="15"/>
        <v>858576.37493447296</v>
      </c>
    </row>
    <row r="113" spans="1:12" x14ac:dyDescent="0.35">
      <c r="A113" s="1"/>
      <c r="B113" s="1"/>
      <c r="C113" s="2" t="s">
        <v>120</v>
      </c>
      <c r="D113" t="s">
        <v>219</v>
      </c>
      <c r="E113" s="2">
        <v>65156</v>
      </c>
      <c r="F113" s="5">
        <f t="shared" si="23"/>
        <v>145893.4169278997</v>
      </c>
      <c r="G113" s="5"/>
      <c r="H113">
        <v>56017</v>
      </c>
      <c r="I113">
        <f t="shared" si="13"/>
        <v>1.0303650531019362</v>
      </c>
      <c r="J113" s="5">
        <f t="shared" si="14"/>
        <v>154888.05868058244</v>
      </c>
      <c r="K113" s="5"/>
      <c r="L113" s="5">
        <f t="shared" si="15"/>
        <v>221774.38319565373</v>
      </c>
    </row>
    <row r="114" spans="1:12" x14ac:dyDescent="0.35">
      <c r="A114" s="1"/>
      <c r="B114" s="1"/>
      <c r="C114" s="2" t="s">
        <v>121</v>
      </c>
      <c r="D114" t="s">
        <v>220</v>
      </c>
      <c r="E114" s="2">
        <v>148086</v>
      </c>
      <c r="F114" s="5">
        <f>(100*E114)/45.27</f>
        <v>327117.29622266401</v>
      </c>
      <c r="G114" s="5"/>
      <c r="H114">
        <v>149164</v>
      </c>
      <c r="I114">
        <f t="shared" si="13"/>
        <v>1.0248433418739937</v>
      </c>
      <c r="J114" s="5">
        <f t="shared" si="14"/>
        <v>343572.56392762181</v>
      </c>
      <c r="K114" s="5"/>
      <c r="L114" s="5">
        <f t="shared" si="15"/>
        <v>461220.16143750388</v>
      </c>
    </row>
    <row r="115" spans="1:12" x14ac:dyDescent="0.35">
      <c r="A115" s="1"/>
      <c r="B115" s="1"/>
      <c r="C115" s="2" t="s">
        <v>122</v>
      </c>
      <c r="D115" t="s">
        <v>219</v>
      </c>
      <c r="E115" s="2">
        <v>75878</v>
      </c>
      <c r="F115" s="5">
        <f t="shared" si="23"/>
        <v>169901.47783251232</v>
      </c>
      <c r="G115" s="5"/>
      <c r="H115">
        <v>52907</v>
      </c>
      <c r="I115">
        <f t="shared" si="13"/>
        <v>1.03713162101298</v>
      </c>
      <c r="J115" s="5">
        <f t="shared" si="14"/>
        <v>182753.16530063964</v>
      </c>
      <c r="K115" s="5"/>
      <c r="L115" s="5">
        <f t="shared" si="15"/>
        <v>283055.38090176776</v>
      </c>
    </row>
    <row r="116" spans="1:12" x14ac:dyDescent="0.35">
      <c r="A116" s="1"/>
      <c r="B116" s="1"/>
      <c r="C116" s="2" t="s">
        <v>123</v>
      </c>
      <c r="D116" t="s">
        <v>219</v>
      </c>
      <c r="E116" s="2">
        <v>153265</v>
      </c>
      <c r="F116" s="5">
        <f t="shared" si="23"/>
        <v>343181.81818181823</v>
      </c>
      <c r="G116" s="5"/>
      <c r="H116">
        <v>171600</v>
      </c>
      <c r="I116">
        <f t="shared" si="13"/>
        <v>1.0218954568176373</v>
      </c>
      <c r="J116" s="5">
        <f t="shared" si="14"/>
        <v>358374.58869169018</v>
      </c>
      <c r="K116" s="5"/>
      <c r="L116" s="5">
        <f t="shared" si="15"/>
        <v>464745.10880350351</v>
      </c>
    </row>
    <row r="117" spans="1:12" x14ac:dyDescent="0.35">
      <c r="A117" s="1"/>
      <c r="B117" s="1"/>
      <c r="C117" s="2" t="s">
        <v>124</v>
      </c>
      <c r="D117" t="s">
        <v>219</v>
      </c>
      <c r="E117" s="2">
        <v>71842</v>
      </c>
      <c r="F117" s="5">
        <f t="shared" si="23"/>
        <v>160864.30810568744</v>
      </c>
      <c r="G117" s="5"/>
      <c r="H117">
        <v>60448</v>
      </c>
      <c r="I117">
        <f t="shared" si="13"/>
        <v>1.0310593857119619</v>
      </c>
      <c r="J117" s="5">
        <f t="shared" si="14"/>
        <v>171012.18474714694</v>
      </c>
      <c r="K117" s="5"/>
      <c r="L117" s="5">
        <f t="shared" si="15"/>
        <v>246848.9106300585</v>
      </c>
    </row>
    <row r="118" spans="1:12" x14ac:dyDescent="0.35">
      <c r="A118" s="1">
        <v>18</v>
      </c>
      <c r="B118" s="1" t="s">
        <v>197</v>
      </c>
      <c r="C118" s="2" t="s">
        <v>3</v>
      </c>
      <c r="D118" t="s">
        <v>219</v>
      </c>
      <c r="E118" s="2">
        <v>268705</v>
      </c>
      <c r="F118" s="5">
        <f>(100*E118)/44.41</f>
        <v>605055.16775501019</v>
      </c>
      <c r="G118" s="5"/>
      <c r="H118">
        <v>149605</v>
      </c>
      <c r="I118">
        <f t="shared" si="13"/>
        <v>1.0446336878538793</v>
      </c>
      <c r="J118" s="5">
        <f t="shared" si="14"/>
        <v>660272.22512756824</v>
      </c>
      <c r="K118" s="5"/>
      <c r="L118" s="5">
        <f t="shared" si="15"/>
        <v>1115042.3269871869</v>
      </c>
    </row>
    <row r="119" spans="1:12" x14ac:dyDescent="0.35">
      <c r="A119" s="1"/>
      <c r="B119" s="1"/>
      <c r="C119" s="2" t="s">
        <v>1</v>
      </c>
      <c r="D119" t="s">
        <v>219</v>
      </c>
      <c r="E119" s="2">
        <v>405314</v>
      </c>
      <c r="F119" s="5">
        <f t="shared" ref="F119:F120" si="24">(100*E119)/44.41</f>
        <v>912663.8144562036</v>
      </c>
      <c r="G119" s="5"/>
      <c r="H119">
        <v>359490</v>
      </c>
      <c r="I119">
        <f t="shared" si="13"/>
        <v>1.02954302473773</v>
      </c>
      <c r="J119" s="5">
        <f t="shared" si="14"/>
        <v>967386.07788576675</v>
      </c>
      <c r="K119" s="5"/>
      <c r="L119" s="5">
        <f t="shared" si="15"/>
        <v>1371935.9601120579</v>
      </c>
    </row>
    <row r="120" spans="1:12" x14ac:dyDescent="0.35">
      <c r="A120" s="1"/>
      <c r="B120" s="1"/>
      <c r="C120" s="2" t="s">
        <v>0</v>
      </c>
      <c r="D120" t="s">
        <v>219</v>
      </c>
      <c r="E120" s="2">
        <v>244490</v>
      </c>
      <c r="F120" s="5">
        <f t="shared" si="24"/>
        <v>550529.16009907681</v>
      </c>
      <c r="G120" s="5"/>
      <c r="H120">
        <v>176839</v>
      </c>
      <c r="I120">
        <f t="shared" si="13"/>
        <v>1.0361259984723279</v>
      </c>
      <c r="J120" s="5">
        <f t="shared" si="14"/>
        <v>591024.48016396305</v>
      </c>
      <c r="K120" s="5"/>
      <c r="L120" s="5">
        <f t="shared" si="15"/>
        <v>904807.77444950899</v>
      </c>
    </row>
    <row r="121" spans="1:12" x14ac:dyDescent="0.35">
      <c r="A121" s="1"/>
      <c r="B121" s="1"/>
      <c r="C121" s="2" t="s">
        <v>125</v>
      </c>
      <c r="D121" t="s">
        <v>220</v>
      </c>
      <c r="E121" s="2">
        <v>55740</v>
      </c>
      <c r="F121" s="5">
        <f>(100*E121)/44.93</f>
        <v>124059.64834186512</v>
      </c>
      <c r="G121" s="5"/>
      <c r="H121">
        <v>37565</v>
      </c>
      <c r="I121">
        <f t="shared" si="13"/>
        <v>1.0380397239606971</v>
      </c>
      <c r="J121" s="5">
        <f t="shared" si="14"/>
        <v>133677.55476369263</v>
      </c>
      <c r="K121" s="5"/>
      <c r="L121" s="5">
        <f t="shared" si="15"/>
        <v>209231.06953038782</v>
      </c>
    </row>
    <row r="122" spans="1:12" x14ac:dyDescent="0.35">
      <c r="A122" s="1">
        <v>19</v>
      </c>
      <c r="B122" s="1" t="s">
        <v>198</v>
      </c>
      <c r="C122" s="2" t="s">
        <v>126</v>
      </c>
      <c r="D122" t="s">
        <v>219</v>
      </c>
      <c r="E122" s="2">
        <v>677185</v>
      </c>
      <c r="F122" s="5">
        <f>(100*E122)/40.81</f>
        <v>1659360.4508698848</v>
      </c>
      <c r="G122" s="5"/>
      <c r="H122">
        <v>560069</v>
      </c>
      <c r="I122">
        <f t="shared" si="13"/>
        <v>1.034524070625781</v>
      </c>
      <c r="J122" s="5">
        <f t="shared" si="14"/>
        <v>1775914.0163941444</v>
      </c>
      <c r="K122" s="5"/>
      <c r="L122" s="5">
        <f t="shared" si="15"/>
        <v>2668757.6353297187</v>
      </c>
    </row>
    <row r="123" spans="1:12" x14ac:dyDescent="0.35">
      <c r="A123" s="1"/>
      <c r="B123" s="1"/>
      <c r="C123" s="2" t="s">
        <v>127</v>
      </c>
      <c r="D123" t="s">
        <v>220</v>
      </c>
      <c r="E123" s="2">
        <v>182877</v>
      </c>
      <c r="F123" s="5">
        <f>(100*E123)/48.5</f>
        <v>377065.97938144329</v>
      </c>
      <c r="G123" s="5"/>
      <c r="H123" s="8">
        <v>44141</v>
      </c>
      <c r="I123">
        <f t="shared" si="13"/>
        <v>1.0693299343705072</v>
      </c>
      <c r="J123" s="5">
        <f t="shared" si="14"/>
        <v>431162.31893282873</v>
      </c>
      <c r="K123" s="5"/>
      <c r="L123" s="5">
        <f t="shared" si="15"/>
        <v>963787.95069556113</v>
      </c>
    </row>
    <row r="124" spans="1:12" x14ac:dyDescent="0.35">
      <c r="A124" s="1"/>
      <c r="B124" s="1"/>
      <c r="C124" s="2" t="s">
        <v>128</v>
      </c>
      <c r="D124" t="s">
        <v>220</v>
      </c>
      <c r="E124" s="2">
        <v>330612</v>
      </c>
      <c r="F124" s="5">
        <f t="shared" ref="F124:F125" si="25">(100*E124)/48.5</f>
        <v>681674.22680412373</v>
      </c>
      <c r="G124" s="5"/>
      <c r="H124" s="8">
        <v>73312</v>
      </c>
      <c r="I124">
        <f t="shared" si="13"/>
        <v>1.0721672972923859</v>
      </c>
      <c r="J124" s="5">
        <f t="shared" si="14"/>
        <v>783613.64032384777</v>
      </c>
      <c r="K124" s="5"/>
      <c r="L124" s="5">
        <f t="shared" si="15"/>
        <v>1808225.8130032511</v>
      </c>
    </row>
    <row r="125" spans="1:12" x14ac:dyDescent="0.35">
      <c r="A125" s="1"/>
      <c r="B125" s="1"/>
      <c r="C125" s="2" t="s">
        <v>129</v>
      </c>
      <c r="D125" t="s">
        <v>220</v>
      </c>
      <c r="E125" s="2">
        <v>410417</v>
      </c>
      <c r="F125" s="5">
        <f t="shared" si="25"/>
        <v>846220.618556701</v>
      </c>
      <c r="G125" s="5"/>
      <c r="H125">
        <v>115659</v>
      </c>
      <c r="I125">
        <f t="shared" si="13"/>
        <v>1.0641663091458917</v>
      </c>
      <c r="J125" s="5">
        <f t="shared" si="14"/>
        <v>958302.48322879593</v>
      </c>
      <c r="K125" s="5"/>
      <c r="L125" s="5">
        <f t="shared" si="15"/>
        <v>2021234.3823860029</v>
      </c>
    </row>
    <row r="126" spans="1:12" x14ac:dyDescent="0.35">
      <c r="A126" s="1"/>
      <c r="B126" s="1"/>
      <c r="C126" s="2" t="s">
        <v>130</v>
      </c>
      <c r="D126" t="s">
        <v>219</v>
      </c>
      <c r="E126" s="2">
        <v>701012</v>
      </c>
      <c r="F126" s="5">
        <f t="shared" ref="F126:F130" si="26">(100*E126)/40.81</f>
        <v>1717745.6505758392</v>
      </c>
      <c r="G126" s="5"/>
      <c r="H126">
        <v>546515</v>
      </c>
      <c r="I126">
        <f t="shared" si="13"/>
        <v>1.0364357841622496</v>
      </c>
      <c r="J126" s="5">
        <f t="shared" si="14"/>
        <v>1845200.8914695426</v>
      </c>
      <c r="K126" s="5"/>
      <c r="L126" s="5">
        <f t="shared" si="15"/>
        <v>2834995.9639870618</v>
      </c>
    </row>
    <row r="127" spans="1:12" x14ac:dyDescent="0.35">
      <c r="A127" s="1"/>
      <c r="B127" s="1"/>
      <c r="C127" s="2" t="s">
        <v>131</v>
      </c>
      <c r="D127" t="s">
        <v>219</v>
      </c>
      <c r="E127" s="2">
        <v>623112</v>
      </c>
      <c r="F127" s="5">
        <f t="shared" si="26"/>
        <v>1526861.0634648369</v>
      </c>
      <c r="G127" s="5"/>
      <c r="H127">
        <v>478450</v>
      </c>
      <c r="I127">
        <f t="shared" si="13"/>
        <v>1.0369285747534431</v>
      </c>
      <c r="J127" s="5">
        <f t="shared" si="14"/>
        <v>1641712.8797150026</v>
      </c>
      <c r="K127" s="5"/>
      <c r="L127" s="5">
        <f t="shared" si="15"/>
        <v>2536782.9838213236</v>
      </c>
    </row>
    <row r="128" spans="1:12" x14ac:dyDescent="0.35">
      <c r="A128" s="1"/>
      <c r="B128" s="1"/>
      <c r="C128" s="2" t="s">
        <v>132</v>
      </c>
      <c r="D128" s="10" t="s">
        <v>219</v>
      </c>
      <c r="E128" s="2">
        <v>150037</v>
      </c>
      <c r="F128" s="5">
        <f t="shared" si="26"/>
        <v>367647.63538348442</v>
      </c>
      <c r="G128" s="5"/>
      <c r="H128" s="10"/>
      <c r="I128">
        <v>1.03437</v>
      </c>
      <c r="J128" s="5">
        <f>F128*POWER(1.0343,2)</f>
        <v>393300.79693734378</v>
      </c>
      <c r="K128" s="5"/>
      <c r="L128" s="5">
        <f t="shared" si="15"/>
        <v>589978.00381560274</v>
      </c>
    </row>
    <row r="129" spans="1:12" x14ac:dyDescent="0.35">
      <c r="A129" s="1"/>
      <c r="B129" s="1"/>
      <c r="C129" s="2" t="s">
        <v>133</v>
      </c>
      <c r="D129" t="s">
        <v>219</v>
      </c>
      <c r="E129" s="2">
        <v>588664</v>
      </c>
      <c r="F129" s="5">
        <f t="shared" si="26"/>
        <v>1442450.3798088704</v>
      </c>
      <c r="G129" s="5"/>
      <c r="H129">
        <v>479064</v>
      </c>
      <c r="I129">
        <f t="shared" si="13"/>
        <v>1.0350458885156877</v>
      </c>
      <c r="J129" s="5">
        <f t="shared" si="14"/>
        <v>1545325.9283954524</v>
      </c>
      <c r="K129" s="5"/>
      <c r="L129" s="5">
        <f t="shared" si="15"/>
        <v>2336336.2437454732</v>
      </c>
    </row>
    <row r="130" spans="1:12" x14ac:dyDescent="0.35">
      <c r="A130" s="1"/>
      <c r="B130" s="1"/>
      <c r="C130" s="2" t="s">
        <v>134</v>
      </c>
      <c r="D130" t="s">
        <v>219</v>
      </c>
      <c r="E130" s="2">
        <v>200684</v>
      </c>
      <c r="F130" s="5">
        <f t="shared" si="26"/>
        <v>491752.02156334231</v>
      </c>
      <c r="G130" s="5"/>
      <c r="H130">
        <v>137065</v>
      </c>
      <c r="I130">
        <f t="shared" si="13"/>
        <v>1.0407300917935267</v>
      </c>
      <c r="J130" s="5">
        <f t="shared" si="14"/>
        <v>532626.01880348998</v>
      </c>
      <c r="K130" s="5"/>
      <c r="L130" s="5">
        <f t="shared" si="15"/>
        <v>859962.9122245661</v>
      </c>
    </row>
    <row r="131" spans="1:12" x14ac:dyDescent="0.35">
      <c r="A131" s="1">
        <v>20</v>
      </c>
      <c r="B131" s="1" t="s">
        <v>199</v>
      </c>
      <c r="C131" s="2" t="s">
        <v>135</v>
      </c>
      <c r="D131" t="s">
        <v>219</v>
      </c>
      <c r="E131" s="2">
        <v>123209</v>
      </c>
      <c r="F131" s="5">
        <f>(100*E131)/42.28</f>
        <v>291412.01513718069</v>
      </c>
      <c r="G131" s="5"/>
      <c r="H131">
        <v>119627</v>
      </c>
      <c r="I131">
        <f t="shared" ref="I131:I179" si="27">POWER(F131/H131,1/32)</f>
        <v>1.0282144314140131</v>
      </c>
      <c r="J131" s="5">
        <f t="shared" ref="J131:J179" si="28">F131*POWER(I131,2)</f>
        <v>308088.04350689572</v>
      </c>
      <c r="K131" s="5"/>
      <c r="L131" s="5">
        <f t="shared" ref="L131:L180" si="29">J131*POWER(I131,12)</f>
        <v>430208.69642599375</v>
      </c>
    </row>
    <row r="132" spans="1:12" x14ac:dyDescent="0.35">
      <c r="A132" s="1"/>
      <c r="B132" s="1"/>
      <c r="C132" s="2" t="s">
        <v>136</v>
      </c>
      <c r="D132" t="s">
        <v>219</v>
      </c>
      <c r="E132" s="2">
        <v>244998</v>
      </c>
      <c r="F132" s="5">
        <f t="shared" ref="F132:F135" si="30">(100*E132)/42.28</f>
        <v>579465.46830652794</v>
      </c>
      <c r="G132" s="5"/>
      <c r="H132">
        <v>203243</v>
      </c>
      <c r="I132">
        <f t="shared" si="27"/>
        <v>1.0332826183972534</v>
      </c>
      <c r="J132" s="5">
        <f t="shared" si="28"/>
        <v>618679.61725904129</v>
      </c>
      <c r="K132" s="5"/>
      <c r="L132" s="5">
        <f t="shared" si="29"/>
        <v>916421.55281516223</v>
      </c>
    </row>
    <row r="133" spans="1:12" x14ac:dyDescent="0.35">
      <c r="A133" s="1"/>
      <c r="B133" s="1"/>
      <c r="C133" s="2" t="s">
        <v>137</v>
      </c>
      <c r="D133" t="s">
        <v>220</v>
      </c>
      <c r="E133" s="2">
        <v>60853</v>
      </c>
      <c r="F133" s="5">
        <f>(100*E133)/44.15</f>
        <v>137832.38958097395</v>
      </c>
      <c r="G133" s="5"/>
      <c r="H133">
        <v>27063</v>
      </c>
      <c r="I133">
        <f t="shared" si="27"/>
        <v>1.052187116130201</v>
      </c>
      <c r="J133" s="5">
        <f t="shared" si="28"/>
        <v>152593.9252603697</v>
      </c>
      <c r="K133" s="5"/>
      <c r="L133" s="5">
        <f t="shared" si="29"/>
        <v>280965.50290059752</v>
      </c>
    </row>
    <row r="134" spans="1:12" x14ac:dyDescent="0.35">
      <c r="A134" s="1"/>
      <c r="B134" s="1"/>
      <c r="C134" s="2" t="s">
        <v>138</v>
      </c>
      <c r="D134" t="s">
        <v>219</v>
      </c>
      <c r="E134" s="2">
        <v>83022</v>
      </c>
      <c r="F134" s="5">
        <f t="shared" si="30"/>
        <v>196362.34626300851</v>
      </c>
      <c r="G134" s="5"/>
      <c r="H134">
        <v>65505</v>
      </c>
      <c r="I134">
        <f t="shared" si="27"/>
        <v>1.0349026346049455</v>
      </c>
      <c r="J134" s="5">
        <f t="shared" si="28"/>
        <v>210308.68011945559</v>
      </c>
      <c r="K134" s="5"/>
      <c r="L134" s="5">
        <f t="shared" si="29"/>
        <v>317432.29457376257</v>
      </c>
    </row>
    <row r="135" spans="1:12" x14ac:dyDescent="0.35">
      <c r="A135" s="1"/>
      <c r="B135" s="1"/>
      <c r="C135" s="2" t="s">
        <v>139</v>
      </c>
      <c r="D135" t="s">
        <v>219</v>
      </c>
      <c r="E135" s="2">
        <v>167914</v>
      </c>
      <c r="F135" s="5">
        <f t="shared" si="30"/>
        <v>397147.5875118259</v>
      </c>
      <c r="G135" s="5"/>
      <c r="H135">
        <v>112436</v>
      </c>
      <c r="I135">
        <f t="shared" si="27"/>
        <v>1.0402230056512372</v>
      </c>
      <c r="J135" s="5">
        <f t="shared" si="28"/>
        <v>429739.06800883618</v>
      </c>
      <c r="K135" s="5"/>
      <c r="L135" s="5">
        <f t="shared" si="29"/>
        <v>689798.57180010236</v>
      </c>
    </row>
    <row r="136" spans="1:12" x14ac:dyDescent="0.35">
      <c r="A136" s="1">
        <v>21</v>
      </c>
      <c r="B136" s="1" t="s">
        <v>200</v>
      </c>
      <c r="C136" s="2" t="s">
        <v>140</v>
      </c>
      <c r="D136" t="s">
        <v>219</v>
      </c>
      <c r="E136" s="2">
        <v>218410</v>
      </c>
      <c r="F136" s="5">
        <f>(100*E136)/42.58</f>
        <v>512940.34758102399</v>
      </c>
      <c r="G136" s="5"/>
      <c r="H136">
        <v>169955</v>
      </c>
      <c r="I136">
        <f t="shared" si="27"/>
        <v>1.0351222732536602</v>
      </c>
      <c r="J136" s="5">
        <f t="shared" si="28"/>
        <v>549604.35959875549</v>
      </c>
      <c r="K136" s="5"/>
      <c r="L136" s="5">
        <f t="shared" si="29"/>
        <v>831668.04013020371</v>
      </c>
    </row>
    <row r="137" spans="1:12" x14ac:dyDescent="0.35">
      <c r="A137" s="1"/>
      <c r="B137" s="1"/>
      <c r="C137" s="2" t="s">
        <v>141</v>
      </c>
      <c r="D137" t="s">
        <v>219</v>
      </c>
      <c r="E137" s="2">
        <v>170015</v>
      </c>
      <c r="F137" s="5">
        <f t="shared" ref="F137:F141" si="31">(100*E137)/42.58</f>
        <v>399283.70126820105</v>
      </c>
      <c r="G137" s="5"/>
      <c r="H137">
        <v>84808</v>
      </c>
      <c r="I137">
        <f t="shared" si="27"/>
        <v>1.0496062275038114</v>
      </c>
      <c r="J137" s="5">
        <f t="shared" si="28"/>
        <v>439880.16598639102</v>
      </c>
      <c r="K137" s="5"/>
      <c r="L137" s="5">
        <f t="shared" si="29"/>
        <v>786413.87208533357</v>
      </c>
    </row>
    <row r="138" spans="1:12" x14ac:dyDescent="0.35">
      <c r="A138" s="1"/>
      <c r="B138" s="1"/>
      <c r="C138" s="2" t="s">
        <v>142</v>
      </c>
      <c r="D138" t="s">
        <v>219</v>
      </c>
      <c r="E138" s="2">
        <v>372304</v>
      </c>
      <c r="F138" s="5">
        <f t="shared" si="31"/>
        <v>874363.55096289341</v>
      </c>
      <c r="G138" s="5"/>
      <c r="H138">
        <v>258568</v>
      </c>
      <c r="I138">
        <f t="shared" si="27"/>
        <v>1.0388071128863821</v>
      </c>
      <c r="J138" s="5">
        <f t="shared" si="28"/>
        <v>943543.38553689257</v>
      </c>
      <c r="K138" s="5"/>
      <c r="L138" s="5">
        <f t="shared" si="29"/>
        <v>1489981.4114607743</v>
      </c>
    </row>
    <row r="139" spans="1:12" x14ac:dyDescent="0.35">
      <c r="A139" s="1"/>
      <c r="B139" s="1"/>
      <c r="C139" s="2" t="s">
        <v>143</v>
      </c>
      <c r="D139" t="s">
        <v>219</v>
      </c>
      <c r="E139" s="2">
        <v>128699</v>
      </c>
      <c r="F139" s="5">
        <f t="shared" si="31"/>
        <v>302252.23109441053</v>
      </c>
      <c r="G139" s="5"/>
      <c r="H139">
        <v>76056</v>
      </c>
      <c r="I139">
        <f t="shared" si="27"/>
        <v>1.0440616075169671</v>
      </c>
      <c r="J139" s="5">
        <f t="shared" si="28"/>
        <v>329474.46956505463</v>
      </c>
      <c r="K139" s="5"/>
      <c r="L139" s="5">
        <f t="shared" si="29"/>
        <v>552758.31002997223</v>
      </c>
    </row>
    <row r="140" spans="1:12" x14ac:dyDescent="0.35">
      <c r="A140" s="1"/>
      <c r="B140" s="1"/>
      <c r="C140" s="2" t="s">
        <v>144</v>
      </c>
      <c r="D140" t="s">
        <v>219</v>
      </c>
      <c r="E140" s="2">
        <v>127910</v>
      </c>
      <c r="F140" s="5">
        <f t="shared" si="31"/>
        <v>300399.24847346172</v>
      </c>
      <c r="G140" s="5"/>
      <c r="H140">
        <v>77438</v>
      </c>
      <c r="I140">
        <f t="shared" si="27"/>
        <v>1.0432737311520115</v>
      </c>
      <c r="J140" s="5">
        <f t="shared" si="28"/>
        <v>326960.57348822313</v>
      </c>
      <c r="K140" s="5"/>
      <c r="L140" s="5">
        <f t="shared" si="29"/>
        <v>543593.99961771676</v>
      </c>
    </row>
    <row r="141" spans="1:12" x14ac:dyDescent="0.35">
      <c r="A141" s="1"/>
      <c r="B141" s="1"/>
      <c r="C141" s="2" t="s">
        <v>145</v>
      </c>
      <c r="D141" t="s">
        <v>219</v>
      </c>
      <c r="E141" s="2">
        <v>124871</v>
      </c>
      <c r="F141" s="5">
        <f t="shared" si="31"/>
        <v>293262.09488022549</v>
      </c>
      <c r="G141" s="5"/>
      <c r="H141">
        <v>40961</v>
      </c>
      <c r="I141">
        <f t="shared" si="27"/>
        <v>1.0634453293757862</v>
      </c>
      <c r="J141" s="5">
        <f t="shared" si="28"/>
        <v>331654.7860766818</v>
      </c>
      <c r="K141" s="5"/>
      <c r="L141" s="5">
        <f t="shared" si="29"/>
        <v>693854.30488533527</v>
      </c>
    </row>
    <row r="142" spans="1:12" x14ac:dyDescent="0.35">
      <c r="A142" s="1"/>
      <c r="B142" s="1"/>
      <c r="C142" s="2" t="s">
        <v>146</v>
      </c>
      <c r="D142" t="s">
        <v>220</v>
      </c>
      <c r="E142" s="2">
        <v>28802</v>
      </c>
      <c r="F142" s="5">
        <f>(100*E142)/45.41</f>
        <v>63426.558026866333</v>
      </c>
      <c r="G142" s="5"/>
      <c r="H142">
        <v>17405</v>
      </c>
      <c r="I142">
        <f t="shared" si="27"/>
        <v>1.0412377616367272</v>
      </c>
      <c r="J142" s="5">
        <f t="shared" si="28"/>
        <v>68765.556812134906</v>
      </c>
      <c r="K142" s="5"/>
      <c r="L142" s="5">
        <f t="shared" si="29"/>
        <v>111678.57984538586</v>
      </c>
    </row>
    <row r="143" spans="1:12" x14ac:dyDescent="0.35">
      <c r="A143" s="1">
        <v>22</v>
      </c>
      <c r="B143" s="1" t="s">
        <v>201</v>
      </c>
      <c r="C143" s="2" t="s">
        <v>147</v>
      </c>
      <c r="D143" t="s">
        <v>220</v>
      </c>
      <c r="E143" s="2">
        <v>422025</v>
      </c>
      <c r="F143" s="5">
        <f>(100*E143)/41.4</f>
        <v>1019384.0579710145</v>
      </c>
      <c r="G143" s="5"/>
      <c r="H143">
        <v>167950</v>
      </c>
      <c r="I143">
        <f t="shared" si="27"/>
        <v>1.0579708020207788</v>
      </c>
      <c r="J143" s="5">
        <f t="shared" si="28"/>
        <v>1140998.8370079009</v>
      </c>
      <c r="K143" s="5"/>
      <c r="L143" s="5">
        <f t="shared" si="29"/>
        <v>2243723.7640021415</v>
      </c>
    </row>
    <row r="144" spans="1:12" x14ac:dyDescent="0.35">
      <c r="A144" s="1"/>
      <c r="B144" s="1"/>
      <c r="C144" s="2" t="s">
        <v>148</v>
      </c>
      <c r="D144" t="s">
        <v>219</v>
      </c>
      <c r="E144" s="2">
        <v>283320</v>
      </c>
      <c r="F144" s="5">
        <f t="shared" ref="F144:F151" si="32">(100*E144)/38.09</f>
        <v>743817.27487529523</v>
      </c>
      <c r="G144" s="5"/>
      <c r="H144">
        <v>204843</v>
      </c>
      <c r="I144">
        <f t="shared" si="27"/>
        <v>1.0411214887328339</v>
      </c>
      <c r="J144" s="5">
        <f t="shared" si="28"/>
        <v>806248.80003317527</v>
      </c>
      <c r="K144" s="5"/>
      <c r="L144" s="5">
        <f t="shared" si="29"/>
        <v>1307633.4034575906</v>
      </c>
    </row>
    <row r="145" spans="1:12" x14ac:dyDescent="0.35">
      <c r="A145" s="1"/>
      <c r="B145" s="1"/>
      <c r="C145" s="2" t="s">
        <v>149</v>
      </c>
      <c r="D145" t="s">
        <v>219</v>
      </c>
      <c r="E145" s="2">
        <v>117282</v>
      </c>
      <c r="F145" s="5">
        <f t="shared" si="32"/>
        <v>307907.58729325281</v>
      </c>
      <c r="G145" s="5"/>
      <c r="H145">
        <v>92247</v>
      </c>
      <c r="I145">
        <f t="shared" si="27"/>
        <v>1.0383849365487512</v>
      </c>
      <c r="J145" s="5">
        <f t="shared" si="28"/>
        <v>331999.28576730826</v>
      </c>
      <c r="K145" s="5"/>
      <c r="L145" s="5">
        <f t="shared" si="29"/>
        <v>521720.25960533269</v>
      </c>
    </row>
    <row r="146" spans="1:12" x14ac:dyDescent="0.35">
      <c r="A146" s="1"/>
      <c r="B146" s="1"/>
      <c r="C146" s="2" t="s">
        <v>150</v>
      </c>
      <c r="D146" t="s">
        <v>219</v>
      </c>
      <c r="E146" s="2">
        <v>327809</v>
      </c>
      <c r="F146" s="5">
        <f t="shared" si="32"/>
        <v>860616.9598319768</v>
      </c>
      <c r="G146" s="5"/>
      <c r="H146">
        <v>340597</v>
      </c>
      <c r="I146">
        <f t="shared" si="27"/>
        <v>1.0293908031055943</v>
      </c>
      <c r="J146" s="5">
        <f t="shared" si="28"/>
        <v>911948.82460948988</v>
      </c>
      <c r="K146" s="5"/>
      <c r="L146" s="5">
        <f t="shared" si="29"/>
        <v>1291022.6855332796</v>
      </c>
    </row>
    <row r="147" spans="1:12" x14ac:dyDescent="0.35">
      <c r="A147" s="1"/>
      <c r="B147" s="1"/>
      <c r="C147" s="2" t="s">
        <v>151</v>
      </c>
      <c r="D147" t="s">
        <v>219</v>
      </c>
      <c r="E147" s="2">
        <v>304176</v>
      </c>
      <c r="F147" s="5">
        <f t="shared" si="32"/>
        <v>798571.80362299806</v>
      </c>
      <c r="G147" s="5"/>
      <c r="H147">
        <v>226811</v>
      </c>
      <c r="I147">
        <f t="shared" si="27"/>
        <v>1.0401184690612273</v>
      </c>
      <c r="J147" s="5">
        <f t="shared" si="28"/>
        <v>863932.05459447228</v>
      </c>
      <c r="K147" s="5"/>
      <c r="L147" s="5">
        <f t="shared" si="29"/>
        <v>1385074.9821485435</v>
      </c>
    </row>
    <row r="148" spans="1:12" x14ac:dyDescent="0.35">
      <c r="A148" s="1"/>
      <c r="B148" s="1"/>
      <c r="C148" s="2" t="s">
        <v>152</v>
      </c>
      <c r="D148" t="s">
        <v>219</v>
      </c>
      <c r="E148" s="2">
        <v>258558</v>
      </c>
      <c r="F148" s="5">
        <f t="shared" si="32"/>
        <v>678808.08611184033</v>
      </c>
      <c r="G148" s="5"/>
      <c r="H148">
        <v>215895</v>
      </c>
      <c r="I148">
        <f t="shared" si="27"/>
        <v>1.0364467957045014</v>
      </c>
      <c r="J148" s="5">
        <f t="shared" si="28"/>
        <v>729190.5529482885</v>
      </c>
      <c r="K148" s="5"/>
      <c r="L148" s="5">
        <f t="shared" si="29"/>
        <v>1120482.7941163552</v>
      </c>
    </row>
    <row r="149" spans="1:12" x14ac:dyDescent="0.35">
      <c r="A149" s="1"/>
      <c r="B149" s="1"/>
      <c r="C149" s="2" t="s">
        <v>153</v>
      </c>
      <c r="D149" t="s">
        <v>219</v>
      </c>
      <c r="E149" s="2">
        <v>187413</v>
      </c>
      <c r="F149" s="5">
        <f t="shared" si="32"/>
        <v>492026.77868206875</v>
      </c>
      <c r="G149" s="5"/>
      <c r="H149">
        <v>173948</v>
      </c>
      <c r="I149">
        <f t="shared" si="27"/>
        <v>1.0330266857966133</v>
      </c>
      <c r="J149" s="5">
        <f t="shared" si="28"/>
        <v>525063.49042889825</v>
      </c>
      <c r="K149" s="5"/>
      <c r="L149" s="5">
        <f t="shared" si="29"/>
        <v>775443.76590634568</v>
      </c>
    </row>
    <row r="150" spans="1:12" x14ac:dyDescent="0.35">
      <c r="A150" s="1"/>
      <c r="B150" s="1"/>
      <c r="C150" s="2" t="s">
        <v>154</v>
      </c>
      <c r="D150" t="s">
        <v>219</v>
      </c>
      <c r="E150" s="2">
        <v>334873</v>
      </c>
      <c r="F150" s="5">
        <f t="shared" si="32"/>
        <v>879162.5098451036</v>
      </c>
      <c r="G150" s="5"/>
      <c r="H150">
        <v>320022</v>
      </c>
      <c r="I150">
        <f t="shared" si="27"/>
        <v>1.0320845846264373</v>
      </c>
      <c r="J150" s="5">
        <f t="shared" si="28"/>
        <v>936482.66571271571</v>
      </c>
      <c r="K150" s="5"/>
      <c r="L150" s="5">
        <f t="shared" si="29"/>
        <v>1367990.9992138846</v>
      </c>
    </row>
    <row r="151" spans="1:12" x14ac:dyDescent="0.35">
      <c r="A151" s="1"/>
      <c r="B151" s="1"/>
      <c r="C151" s="2" t="s">
        <v>22</v>
      </c>
      <c r="D151" t="s">
        <v>219</v>
      </c>
      <c r="E151" s="2">
        <v>330478</v>
      </c>
      <c r="F151" s="5">
        <f t="shared" si="32"/>
        <v>867624.0483066421</v>
      </c>
      <c r="G151" s="5"/>
      <c r="H151">
        <v>365675</v>
      </c>
      <c r="I151">
        <f t="shared" si="27"/>
        <v>1.0273682373398789</v>
      </c>
      <c r="J151" s="5">
        <f t="shared" si="28"/>
        <v>915764.59818313399</v>
      </c>
      <c r="K151" s="5"/>
      <c r="L151" s="5">
        <f t="shared" si="29"/>
        <v>1266185.8827723067</v>
      </c>
    </row>
    <row r="152" spans="1:12" x14ac:dyDescent="0.35">
      <c r="A152" s="1">
        <v>23</v>
      </c>
      <c r="B152" s="1" t="s">
        <v>202</v>
      </c>
      <c r="C152" s="2" t="s">
        <v>155</v>
      </c>
      <c r="D152" t="s">
        <v>219</v>
      </c>
      <c r="E152" s="2">
        <v>289109</v>
      </c>
      <c r="F152" s="5">
        <f>(100*E152)/41.39</f>
        <v>698499.63759362162</v>
      </c>
      <c r="G152" s="5"/>
      <c r="H152">
        <v>221932</v>
      </c>
      <c r="I152">
        <f t="shared" si="27"/>
        <v>1.0364797475909344</v>
      </c>
      <c r="J152" s="5">
        <f t="shared" si="28"/>
        <v>750391.36228592275</v>
      </c>
      <c r="K152" s="5"/>
      <c r="L152" s="5">
        <f t="shared" si="29"/>
        <v>1153500.1971393495</v>
      </c>
    </row>
    <row r="153" spans="1:12" x14ac:dyDescent="0.35">
      <c r="A153" s="1"/>
      <c r="B153" s="1"/>
      <c r="C153" s="2" t="s">
        <v>156</v>
      </c>
      <c r="D153" t="s">
        <v>219</v>
      </c>
      <c r="E153" s="2">
        <v>396641</v>
      </c>
      <c r="F153" s="5">
        <f t="shared" ref="F153:F156" si="33">(100*E153)/41.39</f>
        <v>958301.52210678905</v>
      </c>
      <c r="G153" s="5"/>
      <c r="H153">
        <v>376027</v>
      </c>
      <c r="I153">
        <f t="shared" si="27"/>
        <v>1.0296659430615889</v>
      </c>
      <c r="J153" s="5">
        <f t="shared" si="28"/>
        <v>1016002.7295623766</v>
      </c>
      <c r="K153" s="5"/>
      <c r="L153" s="5">
        <f t="shared" si="29"/>
        <v>1442949.2449196856</v>
      </c>
    </row>
    <row r="154" spans="1:12" x14ac:dyDescent="0.35">
      <c r="A154" s="1"/>
      <c r="B154" s="1"/>
      <c r="C154" s="2" t="s">
        <v>157</v>
      </c>
      <c r="D154" t="s">
        <v>220</v>
      </c>
      <c r="E154" s="2">
        <v>102227</v>
      </c>
      <c r="F154" s="5">
        <f>(100*E154)/45.7</f>
        <v>223691.46608315097</v>
      </c>
      <c r="G154" s="5"/>
      <c r="H154">
        <v>63052</v>
      </c>
      <c r="I154">
        <f t="shared" si="27"/>
        <v>1.0403655304645612</v>
      </c>
      <c r="J154" s="5">
        <f t="shared" si="28"/>
        <v>242114.79297818945</v>
      </c>
      <c r="K154" s="5"/>
      <c r="L154" s="5">
        <f t="shared" si="29"/>
        <v>389271.65463779529</v>
      </c>
    </row>
    <row r="155" spans="1:12" x14ac:dyDescent="0.35">
      <c r="A155" s="1"/>
      <c r="B155" s="1"/>
      <c r="C155" s="2" t="s">
        <v>24</v>
      </c>
      <c r="D155" t="s">
        <v>219</v>
      </c>
      <c r="E155" s="2">
        <v>301719</v>
      </c>
      <c r="F155" s="5">
        <f t="shared" si="33"/>
        <v>728965.93380043493</v>
      </c>
      <c r="G155" s="5"/>
      <c r="H155">
        <v>220854</v>
      </c>
      <c r="I155">
        <f t="shared" si="27"/>
        <v>1.0380214102475063</v>
      </c>
      <c r="J155" s="5">
        <f t="shared" si="28"/>
        <v>785452.37275188649</v>
      </c>
      <c r="K155" s="5"/>
      <c r="L155" s="5">
        <f t="shared" si="29"/>
        <v>1229123.6988577226</v>
      </c>
    </row>
    <row r="156" spans="1:12" x14ac:dyDescent="0.35">
      <c r="A156" s="1"/>
      <c r="B156" s="1"/>
      <c r="C156" s="2" t="s">
        <v>158</v>
      </c>
      <c r="D156" t="s">
        <v>219</v>
      </c>
      <c r="E156" s="2">
        <v>170533</v>
      </c>
      <c r="F156" s="5">
        <f t="shared" si="33"/>
        <v>412014.97946363856</v>
      </c>
      <c r="G156" s="5"/>
      <c r="H156">
        <v>122012</v>
      </c>
      <c r="I156">
        <f t="shared" si="27"/>
        <v>1.0387617559916704</v>
      </c>
      <c r="J156" s="5">
        <f t="shared" si="28"/>
        <v>444574.86934340821</v>
      </c>
      <c r="K156" s="5"/>
      <c r="L156" s="5">
        <f t="shared" si="29"/>
        <v>701675.53092124069</v>
      </c>
    </row>
    <row r="157" spans="1:12" x14ac:dyDescent="0.35">
      <c r="A157" s="1"/>
      <c r="B157" s="1"/>
      <c r="C157" s="2" t="s">
        <v>159</v>
      </c>
      <c r="D157" t="s">
        <v>220</v>
      </c>
      <c r="E157" s="2">
        <v>71991</v>
      </c>
      <c r="F157" s="5">
        <f>(100*E157)/45.7</f>
        <v>157529.54048140041</v>
      </c>
      <c r="G157" s="5"/>
      <c r="H157" s="8">
        <v>18366</v>
      </c>
      <c r="I157">
        <f t="shared" si="27"/>
        <v>1.0694663074308275</v>
      </c>
      <c r="J157" s="5">
        <f t="shared" si="28"/>
        <v>180175.70094725586</v>
      </c>
      <c r="K157" s="5"/>
      <c r="L157" s="5">
        <f t="shared" si="29"/>
        <v>403368.05881791341</v>
      </c>
    </row>
    <row r="158" spans="1:12" x14ac:dyDescent="0.35">
      <c r="A158" s="1">
        <v>24</v>
      </c>
      <c r="B158" s="1" t="s">
        <v>203</v>
      </c>
      <c r="C158" s="2" t="s">
        <v>160</v>
      </c>
      <c r="D158" t="s">
        <v>219</v>
      </c>
      <c r="E158" s="2">
        <v>94138</v>
      </c>
      <c r="F158" s="5">
        <f>(100*E158)/44.61</f>
        <v>211024.43398341179</v>
      </c>
      <c r="G158" s="5"/>
      <c r="H158">
        <v>98788</v>
      </c>
      <c r="I158">
        <f t="shared" si="27"/>
        <v>1.0240022059543574</v>
      </c>
      <c r="J158" s="5">
        <f t="shared" si="28"/>
        <v>221276.11025464919</v>
      </c>
      <c r="K158" s="5"/>
      <c r="L158" s="5">
        <f t="shared" si="29"/>
        <v>294134.00410866516</v>
      </c>
    </row>
    <row r="159" spans="1:12" x14ac:dyDescent="0.35">
      <c r="A159" s="1"/>
      <c r="B159" s="1"/>
      <c r="C159" s="2" t="s">
        <v>161</v>
      </c>
      <c r="D159" t="s">
        <v>219</v>
      </c>
      <c r="E159" s="2">
        <v>124321</v>
      </c>
      <c r="F159" s="5">
        <f t="shared" ref="F159:F164" si="34">(100*E159)/44.61</f>
        <v>278684.15153553017</v>
      </c>
      <c r="G159" s="5"/>
      <c r="H159">
        <v>106636</v>
      </c>
      <c r="I159">
        <f t="shared" si="27"/>
        <v>1.0304757197176733</v>
      </c>
      <c r="J159" s="5">
        <f t="shared" si="28"/>
        <v>295929.18505737552</v>
      </c>
      <c r="K159" s="5"/>
      <c r="L159" s="5">
        <f t="shared" si="29"/>
        <v>424268.66526497086</v>
      </c>
    </row>
    <row r="160" spans="1:12" x14ac:dyDescent="0.35">
      <c r="A160" s="1"/>
      <c r="B160" s="1"/>
      <c r="C160" s="2" t="s">
        <v>162</v>
      </c>
      <c r="D160" t="s">
        <v>220</v>
      </c>
      <c r="E160" s="2">
        <v>151337</v>
      </c>
      <c r="F160" s="5">
        <f>(100*E160)/41.06</f>
        <v>368575.25572333171</v>
      </c>
      <c r="G160" s="5"/>
      <c r="H160">
        <v>73528</v>
      </c>
      <c r="I160">
        <f t="shared" si="27"/>
        <v>1.0516646945336874</v>
      </c>
      <c r="J160" s="5">
        <f t="shared" si="28"/>
        <v>407643.72778188571</v>
      </c>
      <c r="K160" s="5"/>
      <c r="L160" s="5">
        <f t="shared" si="29"/>
        <v>746119.34077909496</v>
      </c>
    </row>
    <row r="161" spans="1:12" x14ac:dyDescent="0.35">
      <c r="A161" s="1"/>
      <c r="B161" s="1"/>
      <c r="C161" s="2" t="s">
        <v>163</v>
      </c>
      <c r="D161" t="s">
        <v>219</v>
      </c>
      <c r="E161" s="2">
        <v>230221</v>
      </c>
      <c r="F161" s="5">
        <f t="shared" si="34"/>
        <v>516074.87110513338</v>
      </c>
      <c r="G161" s="5"/>
      <c r="H161">
        <v>184633</v>
      </c>
      <c r="I161">
        <f t="shared" si="27"/>
        <v>1.0326427631805544</v>
      </c>
      <c r="J161" s="5">
        <f t="shared" si="28"/>
        <v>550316.99427971849</v>
      </c>
      <c r="K161" s="5"/>
      <c r="L161" s="5">
        <f t="shared" si="29"/>
        <v>809122.34380616236</v>
      </c>
    </row>
    <row r="162" spans="1:12" x14ac:dyDescent="0.35">
      <c r="A162" s="1"/>
      <c r="B162" s="1"/>
      <c r="C162" s="2" t="s">
        <v>164</v>
      </c>
      <c r="D162" t="s">
        <v>219</v>
      </c>
      <c r="E162" s="2">
        <v>211739</v>
      </c>
      <c r="F162" s="5">
        <f t="shared" si="34"/>
        <v>474644.69849809463</v>
      </c>
      <c r="G162" s="5"/>
      <c r="H162">
        <v>171453</v>
      </c>
      <c r="I162">
        <f t="shared" si="27"/>
        <v>1.0323322284170919</v>
      </c>
      <c r="J162" s="5">
        <f t="shared" si="28"/>
        <v>505833.52086545108</v>
      </c>
      <c r="K162" s="5"/>
      <c r="L162" s="5">
        <f t="shared" si="29"/>
        <v>741039.6326016963</v>
      </c>
    </row>
    <row r="163" spans="1:12" x14ac:dyDescent="0.35">
      <c r="A163" s="1"/>
      <c r="B163" s="1"/>
      <c r="C163" s="2" t="s">
        <v>165</v>
      </c>
      <c r="D163" t="s">
        <v>219</v>
      </c>
      <c r="E163" s="2">
        <v>269434</v>
      </c>
      <c r="F163" s="5">
        <f t="shared" si="34"/>
        <v>603976.68684151536</v>
      </c>
      <c r="G163" s="5"/>
      <c r="H163">
        <v>213230</v>
      </c>
      <c r="I163">
        <f t="shared" si="27"/>
        <v>1.0330714770181046</v>
      </c>
      <c r="J163" s="5">
        <f t="shared" si="28"/>
        <v>644586.07202575158</v>
      </c>
      <c r="K163" s="5"/>
      <c r="L163" s="5">
        <f t="shared" si="29"/>
        <v>952456.9779315131</v>
      </c>
    </row>
    <row r="164" spans="1:12" x14ac:dyDescent="0.35">
      <c r="A164" s="1"/>
      <c r="B164" s="1"/>
      <c r="C164" s="2" t="s">
        <v>166</v>
      </c>
      <c r="D164" t="s">
        <v>219</v>
      </c>
      <c r="E164" s="2">
        <v>96258</v>
      </c>
      <c r="F164" s="5">
        <f t="shared" si="34"/>
        <v>215776.73167451244</v>
      </c>
      <c r="G164" s="5"/>
      <c r="H164">
        <v>74227</v>
      </c>
      <c r="I164">
        <f t="shared" si="27"/>
        <v>1.033909639563847</v>
      </c>
      <c r="J164" s="5">
        <f t="shared" si="28"/>
        <v>230658.66789063043</v>
      </c>
      <c r="K164" s="5"/>
      <c r="L164" s="5">
        <f t="shared" si="29"/>
        <v>344160.31691168784</v>
      </c>
    </row>
    <row r="165" spans="1:12" x14ac:dyDescent="0.35">
      <c r="A165" s="1">
        <v>25</v>
      </c>
      <c r="B165" s="1" t="s">
        <v>216</v>
      </c>
      <c r="C165" s="2" t="s">
        <v>167</v>
      </c>
      <c r="D165" t="s">
        <v>219</v>
      </c>
      <c r="E165" s="2">
        <v>83739</v>
      </c>
      <c r="F165" s="5">
        <f>(100*E165)/44.12</f>
        <v>189798.277425204</v>
      </c>
      <c r="G165" s="5"/>
      <c r="H165">
        <v>59646</v>
      </c>
      <c r="I165">
        <f t="shared" si="27"/>
        <v>1.0368351620557497</v>
      </c>
      <c r="J165" s="5">
        <f t="shared" si="28"/>
        <v>204038.30187694854</v>
      </c>
      <c r="K165" s="5"/>
      <c r="L165" s="5">
        <f t="shared" si="29"/>
        <v>314940.34856148704</v>
      </c>
    </row>
    <row r="166" spans="1:12" x14ac:dyDescent="0.35">
      <c r="A166" s="1"/>
      <c r="B166" s="1"/>
      <c r="C166" s="2" t="s">
        <v>25</v>
      </c>
      <c r="D166" t="s">
        <v>219</v>
      </c>
      <c r="E166" s="2">
        <v>115189</v>
      </c>
      <c r="F166" s="5">
        <f t="shared" ref="F166:F172" si="35">(100*E166)/44.12</f>
        <v>261081.14233907528</v>
      </c>
      <c r="G166" s="5"/>
      <c r="H166">
        <v>91226</v>
      </c>
      <c r="I166">
        <f t="shared" si="27"/>
        <v>1.0334049256209394</v>
      </c>
      <c r="J166" s="5">
        <f t="shared" si="28"/>
        <v>278815.27221020509</v>
      </c>
      <c r="K166" s="5"/>
      <c r="L166" s="5">
        <f t="shared" si="29"/>
        <v>413583.19657921186</v>
      </c>
    </row>
    <row r="167" spans="1:12" x14ac:dyDescent="0.35">
      <c r="A167" s="1"/>
      <c r="B167" s="1"/>
      <c r="C167" s="2" t="s">
        <v>168</v>
      </c>
      <c r="D167" t="s">
        <v>219</v>
      </c>
      <c r="E167" s="2">
        <v>141556</v>
      </c>
      <c r="F167" s="5">
        <f t="shared" si="35"/>
        <v>320843.15503173164</v>
      </c>
      <c r="G167" s="5"/>
      <c r="H167">
        <v>116871</v>
      </c>
      <c r="I167">
        <f t="shared" si="27"/>
        <v>1.0320620599535646</v>
      </c>
      <c r="J167" s="5">
        <f t="shared" si="28"/>
        <v>341746.75893955136</v>
      </c>
      <c r="K167" s="5"/>
      <c r="L167" s="5">
        <f t="shared" si="29"/>
        <v>499084.59089902189</v>
      </c>
    </row>
    <row r="168" spans="1:12" x14ac:dyDescent="0.35">
      <c r="A168" s="1"/>
      <c r="B168" s="1"/>
      <c r="C168" s="2" t="s">
        <v>26</v>
      </c>
      <c r="D168" t="s">
        <v>219</v>
      </c>
      <c r="E168" s="2">
        <v>225466</v>
      </c>
      <c r="F168" s="5">
        <f t="shared" si="35"/>
        <v>511029.01178603811</v>
      </c>
      <c r="G168" s="5"/>
      <c r="H168">
        <v>245548</v>
      </c>
      <c r="I168">
        <f t="shared" si="27"/>
        <v>1.023168499821647</v>
      </c>
      <c r="J168" s="5">
        <f t="shared" si="28"/>
        <v>534982.87276102602</v>
      </c>
      <c r="K168" s="5"/>
      <c r="L168" s="5">
        <f t="shared" si="29"/>
        <v>704215.87601705675</v>
      </c>
    </row>
    <row r="169" spans="1:12" x14ac:dyDescent="0.35">
      <c r="A169" s="1"/>
      <c r="B169" s="1"/>
      <c r="C169" s="2" t="s">
        <v>169</v>
      </c>
      <c r="D169" t="s">
        <v>220</v>
      </c>
      <c r="E169" s="2">
        <v>377107</v>
      </c>
      <c r="F169" s="5">
        <f>(100*E169)/43.65</f>
        <v>863933.56242840784</v>
      </c>
      <c r="G169" s="5"/>
      <c r="H169">
        <v>317581</v>
      </c>
      <c r="I169">
        <f t="shared" si="27"/>
        <v>1.0317680073474869</v>
      </c>
      <c r="J169" s="5">
        <f t="shared" si="28"/>
        <v>919696.34513240203</v>
      </c>
      <c r="K169" s="5"/>
      <c r="L169" s="5">
        <f t="shared" si="29"/>
        <v>1338533.2024916918</v>
      </c>
    </row>
    <row r="170" spans="1:12" x14ac:dyDescent="0.35">
      <c r="A170" s="1"/>
      <c r="B170" s="1"/>
      <c r="C170" s="2" t="s">
        <v>170</v>
      </c>
      <c r="D170" t="s">
        <v>219</v>
      </c>
      <c r="E170" s="2">
        <v>121055</v>
      </c>
      <c r="F170" s="5">
        <f t="shared" si="35"/>
        <v>274376.6999093382</v>
      </c>
      <c r="G170" s="5"/>
      <c r="H170">
        <v>110411</v>
      </c>
      <c r="I170">
        <f t="shared" si="27"/>
        <v>1.0288551010707907</v>
      </c>
      <c r="J170" s="5">
        <f t="shared" si="28"/>
        <v>290439.48538977967</v>
      </c>
      <c r="K170" s="5"/>
      <c r="L170" s="5">
        <f t="shared" si="29"/>
        <v>408607.41211386397</v>
      </c>
    </row>
    <row r="171" spans="1:12" x14ac:dyDescent="0.35">
      <c r="A171" s="1"/>
      <c r="B171" s="1"/>
      <c r="C171" s="2" t="s">
        <v>171</v>
      </c>
      <c r="D171" t="s">
        <v>219</v>
      </c>
      <c r="E171" s="2">
        <v>137463</v>
      </c>
      <c r="F171" s="5">
        <f t="shared" si="35"/>
        <v>311566.18313689937</v>
      </c>
      <c r="G171" s="5"/>
      <c r="H171">
        <v>119637</v>
      </c>
      <c r="I171">
        <f t="shared" si="27"/>
        <v>1.0303627510561761</v>
      </c>
      <c r="J171" s="5">
        <f t="shared" si="28"/>
        <v>330773.42787013331</v>
      </c>
      <c r="K171" s="5"/>
      <c r="L171" s="5">
        <f t="shared" si="29"/>
        <v>473600.78534416546</v>
      </c>
    </row>
    <row r="172" spans="1:12" x14ac:dyDescent="0.35">
      <c r="A172" s="1"/>
      <c r="B172" s="1"/>
      <c r="C172" s="2" t="s">
        <v>172</v>
      </c>
      <c r="D172" t="s">
        <v>219</v>
      </c>
      <c r="E172" s="2">
        <v>94336</v>
      </c>
      <c r="F172" s="5">
        <f t="shared" si="35"/>
        <v>213816.86310063465</v>
      </c>
      <c r="G172" s="5"/>
      <c r="H172">
        <v>65927</v>
      </c>
      <c r="I172">
        <f t="shared" si="27"/>
        <v>1.0374521677979807</v>
      </c>
      <c r="J172" s="5">
        <f t="shared" si="28"/>
        <v>230132.58657347702</v>
      </c>
      <c r="K172" s="5"/>
      <c r="L172" s="5">
        <f t="shared" si="29"/>
        <v>357762.74061681493</v>
      </c>
    </row>
    <row r="173" spans="1:12" x14ac:dyDescent="0.35">
      <c r="A173" s="1">
        <v>26</v>
      </c>
      <c r="B173" s="1" t="s">
        <v>204</v>
      </c>
      <c r="C173" s="2" t="s">
        <v>173</v>
      </c>
      <c r="D173" t="s">
        <v>219</v>
      </c>
      <c r="E173" s="2">
        <v>72169</v>
      </c>
      <c r="F173" s="5">
        <f>(100*E173)/44.5</f>
        <v>162177.52808988764</v>
      </c>
      <c r="G173" s="5"/>
      <c r="H173">
        <v>69718</v>
      </c>
      <c r="I173">
        <f t="shared" si="27"/>
        <v>1.0267333760965294</v>
      </c>
      <c r="J173" s="5">
        <f t="shared" si="28"/>
        <v>170964.53776055365</v>
      </c>
      <c r="K173" s="5"/>
      <c r="L173" s="5">
        <f t="shared" si="29"/>
        <v>234637.91732025548</v>
      </c>
    </row>
    <row r="174" spans="1:12" x14ac:dyDescent="0.35">
      <c r="A174" s="1"/>
      <c r="B174" s="1"/>
      <c r="C174" s="2" t="s">
        <v>174</v>
      </c>
      <c r="D174" t="s">
        <v>219</v>
      </c>
      <c r="E174" s="2">
        <v>119339</v>
      </c>
      <c r="F174" s="5">
        <f t="shared" ref="F174:F179" si="36">(100*E174)/44.5</f>
        <v>268177.52808988764</v>
      </c>
      <c r="G174" s="5"/>
      <c r="H174">
        <v>140540</v>
      </c>
      <c r="I174">
        <f t="shared" si="27"/>
        <v>1.0203976531003618</v>
      </c>
      <c r="J174" s="5">
        <f t="shared" si="28"/>
        <v>279229.4915470964</v>
      </c>
      <c r="K174" s="5"/>
      <c r="L174" s="5">
        <f t="shared" si="29"/>
        <v>355790.7871986173</v>
      </c>
    </row>
    <row r="175" spans="1:12" x14ac:dyDescent="0.35">
      <c r="A175" s="1"/>
      <c r="B175" s="1"/>
      <c r="C175" s="2" t="s">
        <v>175</v>
      </c>
      <c r="D175" t="s">
        <v>220</v>
      </c>
      <c r="E175" s="2">
        <v>33342</v>
      </c>
      <c r="F175" s="5">
        <f>(100*E175)/45.73</f>
        <v>72910.561994314456</v>
      </c>
      <c r="G175" s="5"/>
      <c r="H175">
        <v>17220</v>
      </c>
      <c r="I175">
        <f t="shared" si="27"/>
        <v>1.0461312260633568</v>
      </c>
      <c r="J175" s="5">
        <f t="shared" si="28"/>
        <v>79792.629469041465</v>
      </c>
      <c r="K175" s="5"/>
      <c r="L175" s="5">
        <f t="shared" si="29"/>
        <v>137087.1551399735</v>
      </c>
    </row>
    <row r="176" spans="1:12" x14ac:dyDescent="0.35">
      <c r="A176" s="1"/>
      <c r="B176" s="1"/>
      <c r="C176" s="2" t="s">
        <v>21</v>
      </c>
      <c r="D176" t="s">
        <v>219</v>
      </c>
      <c r="E176" s="2">
        <v>173198</v>
      </c>
      <c r="F176" s="5">
        <f t="shared" si="36"/>
        <v>389208.98876404495</v>
      </c>
      <c r="G176" s="5"/>
      <c r="H176">
        <v>140875</v>
      </c>
      <c r="I176">
        <f t="shared" si="27"/>
        <v>1.0322672622057167</v>
      </c>
      <c r="J176" s="5">
        <f t="shared" si="28"/>
        <v>414731.64089050511</v>
      </c>
      <c r="K176" s="5"/>
      <c r="L176" s="5">
        <f t="shared" si="29"/>
        <v>607117.87505409354</v>
      </c>
    </row>
    <row r="177" spans="1:13" x14ac:dyDescent="0.35">
      <c r="A177" s="1"/>
      <c r="B177" s="1"/>
      <c r="C177" s="2" t="s">
        <v>176</v>
      </c>
      <c r="D177" t="s">
        <v>219</v>
      </c>
      <c r="E177" s="2">
        <v>148383</v>
      </c>
      <c r="F177" s="5">
        <f t="shared" si="36"/>
        <v>333444.94382022473</v>
      </c>
      <c r="G177" s="5"/>
      <c r="H177">
        <v>111806</v>
      </c>
      <c r="I177">
        <f t="shared" si="27"/>
        <v>1.0347369779631368</v>
      </c>
      <c r="J177" s="5">
        <f t="shared" si="28"/>
        <v>357013.03703934676</v>
      </c>
      <c r="K177" s="5"/>
      <c r="L177" s="5">
        <f t="shared" si="29"/>
        <v>537828.37388836034</v>
      </c>
    </row>
    <row r="178" spans="1:13" x14ac:dyDescent="0.35">
      <c r="A178" s="1"/>
      <c r="B178" s="1"/>
      <c r="C178" s="2" t="s">
        <v>177</v>
      </c>
      <c r="D178" t="s">
        <v>219</v>
      </c>
      <c r="E178" s="2">
        <v>173854</v>
      </c>
      <c r="F178" s="5">
        <f t="shared" si="36"/>
        <v>390683.14606741571</v>
      </c>
      <c r="G178" s="5"/>
      <c r="H178">
        <v>137746</v>
      </c>
      <c r="I178">
        <f t="shared" si="27"/>
        <v>1.0331141324495274</v>
      </c>
      <c r="J178" s="5">
        <f t="shared" si="28"/>
        <v>416985.81490716885</v>
      </c>
      <c r="K178" s="5"/>
      <c r="L178" s="5">
        <f t="shared" si="29"/>
        <v>616454.33556294686</v>
      </c>
    </row>
    <row r="179" spans="1:13" x14ac:dyDescent="0.35">
      <c r="A179" s="1"/>
      <c r="B179" s="1"/>
      <c r="C179" s="2" t="s">
        <v>178</v>
      </c>
      <c r="D179" t="s">
        <v>219</v>
      </c>
      <c r="E179" s="2">
        <v>55367</v>
      </c>
      <c r="F179" s="5">
        <f t="shared" si="36"/>
        <v>124420.22471910113</v>
      </c>
      <c r="G179" s="5"/>
      <c r="H179">
        <v>47566</v>
      </c>
      <c r="I179">
        <f t="shared" si="27"/>
        <v>1.030504335894902</v>
      </c>
      <c r="J179" s="5">
        <f t="shared" si="28"/>
        <v>132126.71219724059</v>
      </c>
      <c r="K179" s="5"/>
      <c r="L179" s="5">
        <f t="shared" si="29"/>
        <v>189490.96586881523</v>
      </c>
    </row>
    <row r="180" spans="1:13" x14ac:dyDescent="0.35">
      <c r="A180" s="1"/>
      <c r="B180" s="1"/>
      <c r="E180" s="3"/>
      <c r="J180" s="5"/>
      <c r="K180" s="5"/>
      <c r="L180" s="5">
        <f t="shared" si="29"/>
        <v>0</v>
      </c>
    </row>
    <row r="181" spans="1:13" x14ac:dyDescent="0.35">
      <c r="C181" s="3" t="s">
        <v>179</v>
      </c>
      <c r="E181" s="7">
        <f>SUM(E2:E179)</f>
        <v>40371439</v>
      </c>
      <c r="F181" s="6">
        <f>SUM(F2:F179)</f>
        <v>90472876.455862716</v>
      </c>
      <c r="G181" s="6"/>
      <c r="H181" s="6">
        <f>SUM(H2:H179)</f>
        <v>30729443</v>
      </c>
      <c r="I181">
        <f>POWER(F181/H181,1/32)</f>
        <v>1.0343204608185403</v>
      </c>
      <c r="J181" s="5">
        <f>SUM(J2:J179)</f>
        <v>96948242.299499169</v>
      </c>
      <c r="K181" s="5"/>
      <c r="L181" s="5">
        <f>SUM(L2:L179)</f>
        <v>148007831.00008121</v>
      </c>
      <c r="M181" s="5"/>
    </row>
    <row r="183" spans="1:13" x14ac:dyDescent="0.35">
      <c r="J183">
        <f>POWER(J181/H181,1/34)</f>
        <v>1.0343702873786247</v>
      </c>
    </row>
  </sheetData>
  <autoFilter ref="A1:F179" xr:uid="{37B832A1-AAEF-4BAB-887D-E7A48A660BD9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60C9-945F-4FF3-8316-D82A6E51DB35}">
  <dimension ref="A1:G32"/>
  <sheetViews>
    <sheetView workbookViewId="0">
      <selection activeCell="J8" sqref="J8"/>
    </sheetView>
  </sheetViews>
  <sheetFormatPr defaultRowHeight="14.5" x14ac:dyDescent="0.35"/>
  <cols>
    <col min="1" max="1" width="5.6328125" customWidth="1"/>
    <col min="2" max="2" width="12.453125" bestFit="1" customWidth="1"/>
    <col min="3" max="3" width="17" bestFit="1" customWidth="1"/>
    <col min="4" max="4" width="14.7265625" bestFit="1" customWidth="1"/>
    <col min="5" max="5" width="14.7265625" customWidth="1"/>
    <col min="6" max="6" width="11.7265625" customWidth="1"/>
    <col min="7" max="7" width="11.7265625" bestFit="1" customWidth="1"/>
  </cols>
  <sheetData>
    <row r="1" spans="1:7" x14ac:dyDescent="0.35">
      <c r="A1" s="11" t="s">
        <v>205</v>
      </c>
      <c r="B1" s="12" t="s">
        <v>208</v>
      </c>
      <c r="C1" s="19" t="s">
        <v>223</v>
      </c>
      <c r="D1" s="12" t="s">
        <v>228</v>
      </c>
      <c r="E1" s="23"/>
      <c r="F1" s="19" t="s">
        <v>224</v>
      </c>
      <c r="G1" s="14" t="s">
        <v>222</v>
      </c>
    </row>
    <row r="2" spans="1:7" x14ac:dyDescent="0.35">
      <c r="A2" s="15">
        <v>1</v>
      </c>
      <c r="B2" s="16" t="s">
        <v>209</v>
      </c>
      <c r="C2" s="20">
        <v>545458</v>
      </c>
      <c r="D2" s="29">
        <f>SUM('Ajustement&amp;Territoires &amp; Villes'!J2:J8)</f>
        <v>905833.81153284817</v>
      </c>
      <c r="E2" s="24"/>
      <c r="F2" s="21">
        <f>POWER(D2/C2,1/32)</f>
        <v>1.0159772315843745</v>
      </c>
      <c r="G2" s="22">
        <f>(D2/96948243)*100</f>
        <v>0.93434783705450775</v>
      </c>
    </row>
    <row r="3" spans="1:7" x14ac:dyDescent="0.35">
      <c r="A3" s="15">
        <v>2</v>
      </c>
      <c r="B3" s="16" t="s">
        <v>181</v>
      </c>
      <c r="C3" s="20">
        <v>635298</v>
      </c>
      <c r="D3" s="29">
        <f>SUM('Ajustement&amp;Territoires &amp; Villes'!J9:J16)</f>
        <v>2441973.9630735731</v>
      </c>
      <c r="E3" s="24"/>
      <c r="F3" s="21">
        <f t="shared" ref="F3:F27" si="0">POWER(D3/C3,1/32)</f>
        <v>1.042974908972607</v>
      </c>
      <c r="G3" s="22">
        <f t="shared" ref="G3:G28" si="1">(D3/96948243)*100</f>
        <v>2.5188429284619147</v>
      </c>
    </row>
    <row r="4" spans="1:7" x14ac:dyDescent="0.35">
      <c r="A4" s="15">
        <v>3</v>
      </c>
      <c r="B4" s="16" t="s">
        <v>210</v>
      </c>
      <c r="C4" s="20">
        <v>1391617</v>
      </c>
      <c r="D4" s="29">
        <f>SUM('Ajustement&amp;Territoires &amp; Villes'!J17:J24)</f>
        <v>6166242.867469294</v>
      </c>
      <c r="E4" s="24"/>
      <c r="F4" s="21">
        <f t="shared" si="0"/>
        <v>1.047618485708055</v>
      </c>
      <c r="G4" s="22">
        <f t="shared" si="1"/>
        <v>6.3603451456766411</v>
      </c>
    </row>
    <row r="5" spans="1:7" x14ac:dyDescent="0.35">
      <c r="A5" s="15">
        <v>4</v>
      </c>
      <c r="B5" s="16" t="s">
        <v>211</v>
      </c>
      <c r="C5" s="20">
        <v>891021</v>
      </c>
      <c r="D5" s="29">
        <f>SUM('Ajustement&amp;Territoires &amp; Villes'!J25:J30)</f>
        <v>3337329.4191695498</v>
      </c>
      <c r="E5" s="24"/>
      <c r="F5" s="21">
        <f t="shared" si="0"/>
        <v>1.0421307794741457</v>
      </c>
      <c r="G5" s="22">
        <f t="shared" si="1"/>
        <v>3.4423825702231139</v>
      </c>
    </row>
    <row r="6" spans="1:7" x14ac:dyDescent="0.35">
      <c r="A6" s="15">
        <v>5</v>
      </c>
      <c r="B6" s="16" t="s">
        <v>212</v>
      </c>
      <c r="C6" s="20">
        <v>893111</v>
      </c>
      <c r="D6" s="29">
        <f>SUM('Ajustement&amp;Territoires &amp; Villes'!J31:J37)</f>
        <v>2055223.376451011</v>
      </c>
      <c r="E6" s="24"/>
      <c r="F6" s="21">
        <f t="shared" si="0"/>
        <v>1.0263867803272082</v>
      </c>
      <c r="G6" s="22">
        <f t="shared" si="1"/>
        <v>2.1199181262635274</v>
      </c>
    </row>
    <row r="7" spans="1:7" x14ac:dyDescent="0.35">
      <c r="A7" s="15">
        <v>6</v>
      </c>
      <c r="B7" s="16" t="s">
        <v>185</v>
      </c>
      <c r="C7" s="20">
        <v>1749256</v>
      </c>
      <c r="D7" s="29">
        <f>SUM('Ajustement&amp;Territoires &amp; Villes'!J38:J43)</f>
        <v>5358507.0893159648</v>
      </c>
      <c r="E7" s="24"/>
      <c r="F7" s="21">
        <f t="shared" si="0"/>
        <v>1.0356033608137505</v>
      </c>
      <c r="G7" s="22">
        <f t="shared" si="1"/>
        <v>5.527183292342869</v>
      </c>
    </row>
    <row r="8" spans="1:7" x14ac:dyDescent="0.35">
      <c r="A8" s="15">
        <v>7</v>
      </c>
      <c r="B8" s="16" t="s">
        <v>16</v>
      </c>
      <c r="C8" s="20">
        <v>1096783</v>
      </c>
      <c r="D8" s="29">
        <f>SUM('Ajustement&amp;Territoires &amp; Villes'!J44:J49)</f>
        <v>3598682.3258130681</v>
      </c>
      <c r="E8" s="24"/>
      <c r="F8" s="21">
        <f t="shared" si="0"/>
        <v>1.037828786178701</v>
      </c>
      <c r="G8" s="22">
        <f t="shared" si="1"/>
        <v>3.7119623981355367</v>
      </c>
    </row>
    <row r="9" spans="1:7" x14ac:dyDescent="0.35">
      <c r="A9" s="15">
        <v>8</v>
      </c>
      <c r="B9" s="16" t="s">
        <v>186</v>
      </c>
      <c r="C9" s="20">
        <v>1298463</v>
      </c>
      <c r="D9" s="29">
        <f>SUM('Ajustement&amp;Territoires &amp; Villes'!J50:J55)</f>
        <v>3913757.9999984941</v>
      </c>
      <c r="E9" s="24"/>
      <c r="F9" s="21">
        <f t="shared" si="0"/>
        <v>1.0350799285508097</v>
      </c>
      <c r="G9" s="22">
        <f t="shared" si="1"/>
        <v>4.0369560900639474</v>
      </c>
    </row>
    <row r="10" spans="1:7" x14ac:dyDescent="0.35">
      <c r="A10" s="15">
        <v>9</v>
      </c>
      <c r="B10" s="16" t="s">
        <v>213</v>
      </c>
      <c r="C10" s="20">
        <v>1080610</v>
      </c>
      <c r="D10" s="29">
        <f>SUM('Ajustement&amp;Territoires &amp; Villes'!J56:J61)</f>
        <v>2929119.7854675241</v>
      </c>
      <c r="E10" s="24"/>
      <c r="F10" s="21">
        <f t="shared" si="0"/>
        <v>1.0316523687647721</v>
      </c>
      <c r="G10" s="22">
        <f t="shared" si="1"/>
        <v>3.0213232285886025</v>
      </c>
    </row>
    <row r="11" spans="1:7" x14ac:dyDescent="0.35">
      <c r="A11" s="15">
        <v>10</v>
      </c>
      <c r="B11" s="16" t="s">
        <v>188</v>
      </c>
      <c r="C11" s="20">
        <v>2664309</v>
      </c>
      <c r="D11" s="30">
        <v>8491106</v>
      </c>
      <c r="E11" s="25"/>
      <c r="F11" s="21">
        <f t="shared" si="0"/>
        <v>1.0368850545932444</v>
      </c>
      <c r="G11" s="22">
        <f t="shared" si="1"/>
        <v>8.7583908044625414</v>
      </c>
    </row>
    <row r="12" spans="1:7" x14ac:dyDescent="0.35">
      <c r="A12" s="15">
        <v>11</v>
      </c>
      <c r="B12" s="16" t="s">
        <v>189</v>
      </c>
      <c r="C12" s="20">
        <v>1994573</v>
      </c>
      <c r="D12" s="29">
        <f>SUM('Ajustement&amp;Territoires &amp; Villes'!J63:J74)</f>
        <v>4202921.5684110811</v>
      </c>
      <c r="E12" s="24"/>
      <c r="F12" s="21">
        <f t="shared" si="0"/>
        <v>1.0235655658093947</v>
      </c>
      <c r="G12" s="22">
        <f t="shared" si="1"/>
        <v>4.3352220095531599</v>
      </c>
    </row>
    <row r="13" spans="1:7" x14ac:dyDescent="0.35">
      <c r="A13" s="15">
        <v>12</v>
      </c>
      <c r="B13" s="16" t="s">
        <v>191</v>
      </c>
      <c r="C13" s="20">
        <v>854325</v>
      </c>
      <c r="D13" s="29">
        <f>SUM('Ajustement&amp;Territoires &amp; Villes'!J75:J80)</f>
        <v>2301568.8425963996</v>
      </c>
      <c r="E13" s="24"/>
      <c r="F13" s="21">
        <f t="shared" si="0"/>
        <v>1.0314543854507996</v>
      </c>
      <c r="G13" s="22">
        <f t="shared" si="1"/>
        <v>2.3740181063378318</v>
      </c>
    </row>
    <row r="14" spans="1:7" x14ac:dyDescent="0.35">
      <c r="A14" s="15">
        <v>13</v>
      </c>
      <c r="B14" s="16" t="s">
        <v>192</v>
      </c>
      <c r="C14" s="20">
        <v>2180023</v>
      </c>
      <c r="D14" s="29">
        <f>SUM('Ajustement&amp;Territoires &amp; Villes'!J81:J87)</f>
        <v>5441242.2900767298</v>
      </c>
      <c r="E14" s="24"/>
      <c r="F14" s="21">
        <f t="shared" si="0"/>
        <v>1.0289959274343796</v>
      </c>
      <c r="G14" s="22">
        <f t="shared" si="1"/>
        <v>5.6125228489976138</v>
      </c>
    </row>
    <row r="15" spans="1:7" x14ac:dyDescent="0.35">
      <c r="A15" s="15">
        <v>14</v>
      </c>
      <c r="B15" s="16" t="s">
        <v>193</v>
      </c>
      <c r="C15" s="20">
        <v>839424</v>
      </c>
      <c r="D15" s="29">
        <f>SUM('Ajustement&amp;Territoires &amp; Villes'!J88:J94)</f>
        <v>3342878.8451056816</v>
      </c>
      <c r="E15" s="24"/>
      <c r="F15" s="21">
        <f t="shared" si="0"/>
        <v>1.0441294653095341</v>
      </c>
      <c r="G15" s="22">
        <f t="shared" si="1"/>
        <v>3.4481066821455255</v>
      </c>
    </row>
    <row r="16" spans="1:7" x14ac:dyDescent="0.35">
      <c r="A16" s="15">
        <v>15</v>
      </c>
      <c r="B16" s="16" t="s">
        <v>194</v>
      </c>
      <c r="C16" s="20">
        <v>774221</v>
      </c>
      <c r="D16" s="29">
        <f>SUM('Ajustement&amp;Territoires &amp; Villes'!J95:J100)</f>
        <v>2468337.6543407091</v>
      </c>
      <c r="E16" s="24"/>
      <c r="F16" s="21">
        <f t="shared" si="0"/>
        <v>1.036896988569159</v>
      </c>
      <c r="G16" s="22">
        <f t="shared" si="1"/>
        <v>2.5460365014977211</v>
      </c>
    </row>
    <row r="17" spans="1:7" x14ac:dyDescent="0.35">
      <c r="A17" s="15">
        <v>16</v>
      </c>
      <c r="B17" s="16" t="s">
        <v>195</v>
      </c>
      <c r="C17" s="20">
        <v>735393</v>
      </c>
      <c r="D17" s="29">
        <f>SUM('Ajustement&amp;Territoires &amp; Villes'!J101:J109)</f>
        <v>2168488.6047623688</v>
      </c>
      <c r="E17" s="24"/>
      <c r="F17" s="21">
        <f t="shared" si="0"/>
        <v>1.034370620449675</v>
      </c>
      <c r="G17" s="22">
        <f t="shared" si="1"/>
        <v>2.2367487410394524</v>
      </c>
    </row>
    <row r="18" spans="1:7" x14ac:dyDescent="0.35">
      <c r="A18" s="15">
        <v>17</v>
      </c>
      <c r="B18" s="16" t="s">
        <v>196</v>
      </c>
      <c r="C18" s="20">
        <v>849675</v>
      </c>
      <c r="D18" s="29">
        <f>SUM('Ajustement&amp;Territoires &amp; Villes'!J110:J117)</f>
        <v>2438161.9878758988</v>
      </c>
      <c r="E18" s="24"/>
      <c r="F18" s="21">
        <f t="shared" si="0"/>
        <v>1.0334906540653117</v>
      </c>
      <c r="G18" s="22">
        <f t="shared" si="1"/>
        <v>2.5149109591144412</v>
      </c>
    </row>
    <row r="19" spans="1:7" x14ac:dyDescent="0.35">
      <c r="A19" s="15">
        <v>18</v>
      </c>
      <c r="B19" s="16" t="s">
        <v>197</v>
      </c>
      <c r="C19" s="20">
        <v>723499</v>
      </c>
      <c r="D19" s="29">
        <f>SUM('Ajustement&amp;Territoires &amp; Villes'!J118:J121)</f>
        <v>2352360.3379409905</v>
      </c>
      <c r="E19" s="24"/>
      <c r="F19" s="21">
        <f t="shared" si="0"/>
        <v>1.0375333366543782</v>
      </c>
      <c r="G19" s="22">
        <f t="shared" si="1"/>
        <v>2.4264084269593109</v>
      </c>
    </row>
    <row r="20" spans="1:7" x14ac:dyDescent="0.35">
      <c r="A20" s="15">
        <v>19</v>
      </c>
      <c r="B20" s="16" t="s">
        <v>198</v>
      </c>
      <c r="C20" s="20">
        <v>2434275</v>
      </c>
      <c r="D20" s="29">
        <f>SUM('Ajustement&amp;Territoires &amp; Villes'!J122:J130)</f>
        <v>9907158.9742004499</v>
      </c>
      <c r="E20" s="24"/>
      <c r="F20" s="21">
        <f t="shared" si="0"/>
        <v>1.0448389622427006</v>
      </c>
      <c r="G20" s="22">
        <f t="shared" si="1"/>
        <v>10.219018589331681</v>
      </c>
    </row>
    <row r="21" spans="1:7" x14ac:dyDescent="0.35">
      <c r="A21" s="15">
        <v>20</v>
      </c>
      <c r="B21" s="16" t="s">
        <v>214</v>
      </c>
      <c r="C21" s="20">
        <v>527874</v>
      </c>
      <c r="D21" s="29">
        <f>SUM('Ajustement&amp;Territoires &amp; Villes'!J131:J135)</f>
        <v>1719409.3341545984</v>
      </c>
      <c r="E21" s="24"/>
      <c r="F21" s="21">
        <f t="shared" si="0"/>
        <v>1.0375918014666603</v>
      </c>
      <c r="G21" s="22">
        <f t="shared" si="1"/>
        <v>1.7735332595502515</v>
      </c>
    </row>
    <row r="22" spans="1:7" x14ac:dyDescent="0.35">
      <c r="A22" s="15">
        <v>21</v>
      </c>
      <c r="B22" s="16" t="s">
        <v>200</v>
      </c>
      <c r="C22" s="20">
        <v>725191</v>
      </c>
      <c r="D22" s="29">
        <f>SUM('Ajustement&amp;Territoires &amp; Villes'!J136:J142)</f>
        <v>2989883.2970641335</v>
      </c>
      <c r="E22" s="24"/>
      <c r="F22" s="21">
        <f t="shared" si="0"/>
        <v>1.0452617475641772</v>
      </c>
      <c r="G22" s="22">
        <f t="shared" si="1"/>
        <v>3.083999466668141</v>
      </c>
    </row>
    <row r="23" spans="1:7" x14ac:dyDescent="0.35">
      <c r="A23" s="15">
        <v>22</v>
      </c>
      <c r="B23" s="16" t="s">
        <v>201</v>
      </c>
      <c r="C23" s="20">
        <v>2107988</v>
      </c>
      <c r="D23" s="29">
        <f>SUM('Ajustement&amp;Territoires &amp; Villes'!J143:J151)</f>
        <v>7161629.1092853835</v>
      </c>
      <c r="E23" s="24"/>
      <c r="F23" s="21">
        <f t="shared" si="0"/>
        <v>1.038958595327935</v>
      </c>
      <c r="G23" s="22">
        <f t="shared" si="1"/>
        <v>7.3870643630801887</v>
      </c>
    </row>
    <row r="24" spans="1:7" x14ac:dyDescent="0.35">
      <c r="A24" s="15">
        <v>23</v>
      </c>
      <c r="B24" s="16" t="s">
        <v>215</v>
      </c>
      <c r="C24" s="20">
        <v>1022243</v>
      </c>
      <c r="D24" s="29">
        <f>SUM('Ajustement&amp;Territoires &amp; Villes'!J152:J157)</f>
        <v>3418711.8278690395</v>
      </c>
      <c r="E24" s="24"/>
      <c r="F24" s="21">
        <f t="shared" si="0"/>
        <v>1.0384477170702542</v>
      </c>
      <c r="G24" s="22">
        <f t="shared" si="1"/>
        <v>3.526326751346117</v>
      </c>
    </row>
    <row r="25" spans="1:7" x14ac:dyDescent="0.35">
      <c r="A25" s="15">
        <v>24</v>
      </c>
      <c r="B25" s="16" t="s">
        <v>203</v>
      </c>
      <c r="C25" s="20">
        <v>922495</v>
      </c>
      <c r="D25" s="29">
        <f>SUM('Ajustement&amp;Territoires &amp; Villes'!J158:J164)</f>
        <v>2856244.2781554619</v>
      </c>
      <c r="E25" s="24"/>
      <c r="F25" s="21">
        <f t="shared" si="0"/>
        <v>1.0359492467203602</v>
      </c>
      <c r="G25" s="22">
        <f t="shared" si="1"/>
        <v>2.9461537308679868</v>
      </c>
    </row>
    <row r="26" spans="1:7" x14ac:dyDescent="0.35">
      <c r="A26" s="15">
        <v>25</v>
      </c>
      <c r="B26" s="16" t="s">
        <v>216</v>
      </c>
      <c r="C26" s="20">
        <v>1126847</v>
      </c>
      <c r="D26" s="29">
        <f>SUM('Ajustement&amp;Territoires &amp; Villes'!J165:J172)</f>
        <v>3130625.0507535231</v>
      </c>
      <c r="E26" s="24"/>
      <c r="F26" s="21">
        <f t="shared" si="0"/>
        <v>1.0324468194516994</v>
      </c>
      <c r="G26" s="22">
        <f t="shared" si="1"/>
        <v>3.2291715186148582</v>
      </c>
    </row>
    <row r="27" spans="1:7" x14ac:dyDescent="0.35">
      <c r="A27" s="15">
        <v>26</v>
      </c>
      <c r="B27" s="16" t="s">
        <v>204</v>
      </c>
      <c r="C27" s="20">
        <v>665471</v>
      </c>
      <c r="D27" s="29">
        <f>SUM('Ajustement&amp;Territoires &amp; Villes'!J173:J179)</f>
        <v>1850843.863810953</v>
      </c>
      <c r="E27" s="24"/>
      <c r="F27" s="21">
        <f t="shared" si="0"/>
        <v>1.0324820743018872</v>
      </c>
      <c r="G27" s="22">
        <f t="shared" si="1"/>
        <v>1.9091051127259242</v>
      </c>
    </row>
    <row r="28" spans="1:7" x14ac:dyDescent="0.35">
      <c r="A28" s="17"/>
      <c r="B28" s="18" t="s">
        <v>217</v>
      </c>
      <c r="C28" s="21">
        <v>30729433</v>
      </c>
      <c r="D28" s="31">
        <f>SUM(D2:D27)</f>
        <v>96948242.50469473</v>
      </c>
      <c r="E28" s="26"/>
      <c r="F28" s="21">
        <f>POWER(D28/C28,1/34)</f>
        <v>1.0343702973431823</v>
      </c>
      <c r="G28" s="22">
        <f t="shared" si="1"/>
        <v>99.999999489103402</v>
      </c>
    </row>
    <row r="29" spans="1:7" x14ac:dyDescent="0.35">
      <c r="A29" s="13"/>
      <c r="B29" s="13"/>
      <c r="C29" s="13"/>
      <c r="D29" s="13"/>
      <c r="E29" s="27"/>
      <c r="F29" s="13"/>
    </row>
    <row r="30" spans="1:7" x14ac:dyDescent="0.35">
      <c r="E30" s="28"/>
    </row>
    <row r="31" spans="1:7" x14ac:dyDescent="0.35">
      <c r="E31" s="28"/>
    </row>
    <row r="32" spans="1:7" x14ac:dyDescent="0.35">
      <c r="E32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AE32-4464-485B-B2F9-6305DDA957EF}">
  <dimension ref="A1:B33"/>
  <sheetViews>
    <sheetView workbookViewId="0">
      <selection activeCell="F11" sqref="F11"/>
    </sheetView>
  </sheetViews>
  <sheetFormatPr defaultRowHeight="14.5" x14ac:dyDescent="0.35"/>
  <sheetData>
    <row r="1" spans="1:2" x14ac:dyDescent="0.35">
      <c r="A1" s="32" t="s">
        <v>220</v>
      </c>
      <c r="B1" s="33">
        <v>91384</v>
      </c>
    </row>
    <row r="2" spans="1:2" x14ac:dyDescent="0.35">
      <c r="A2" s="32" t="s">
        <v>220</v>
      </c>
      <c r="B2" s="33">
        <v>511762</v>
      </c>
    </row>
    <row r="3" spans="1:2" x14ac:dyDescent="0.35">
      <c r="A3" s="32" t="s">
        <v>220</v>
      </c>
      <c r="B3" s="33">
        <v>744786</v>
      </c>
    </row>
    <row r="4" spans="1:2" x14ac:dyDescent="0.35">
      <c r="A4" s="32" t="s">
        <v>220</v>
      </c>
      <c r="B4" s="33">
        <v>5329697</v>
      </c>
    </row>
    <row r="5" spans="1:2" x14ac:dyDescent="0.35">
      <c r="A5" s="32" t="s">
        <v>220</v>
      </c>
      <c r="B5" s="33">
        <v>264209</v>
      </c>
    </row>
    <row r="6" spans="1:2" x14ac:dyDescent="0.35">
      <c r="A6" s="32" t="s">
        <v>220</v>
      </c>
      <c r="B6" s="33">
        <v>116373</v>
      </c>
    </row>
    <row r="7" spans="1:2" x14ac:dyDescent="0.35">
      <c r="A7" s="32" t="s">
        <v>220</v>
      </c>
      <c r="B7" s="33">
        <v>601783</v>
      </c>
    </row>
    <row r="8" spans="1:2" x14ac:dyDescent="0.35">
      <c r="A8" s="32" t="s">
        <v>220</v>
      </c>
      <c r="B8" s="33">
        <v>990930</v>
      </c>
    </row>
    <row r="9" spans="1:2" x14ac:dyDescent="0.35">
      <c r="A9" s="32" t="s">
        <v>220</v>
      </c>
      <c r="B9" s="33">
        <v>1103138</v>
      </c>
    </row>
    <row r="10" spans="1:2" x14ac:dyDescent="0.35">
      <c r="A10" s="32" t="s">
        <v>220</v>
      </c>
      <c r="B10" s="33">
        <v>1956897</v>
      </c>
    </row>
    <row r="11" spans="1:2" x14ac:dyDescent="0.35">
      <c r="A11" s="32" t="s">
        <v>220</v>
      </c>
      <c r="B11" s="33">
        <v>312461</v>
      </c>
    </row>
    <row r="12" spans="1:2" x14ac:dyDescent="0.35">
      <c r="A12" s="32" t="s">
        <v>220</v>
      </c>
      <c r="B12" s="33">
        <v>759124</v>
      </c>
    </row>
    <row r="13" spans="1:2" x14ac:dyDescent="0.35">
      <c r="A13" s="32" t="s">
        <v>220</v>
      </c>
      <c r="B13" s="33">
        <v>107646</v>
      </c>
    </row>
    <row r="14" spans="1:2" x14ac:dyDescent="0.35">
      <c r="A14" s="32" t="s">
        <v>220</v>
      </c>
      <c r="B14" s="33">
        <v>364238</v>
      </c>
    </row>
    <row r="15" spans="1:2" x14ac:dyDescent="0.35">
      <c r="A15" s="32" t="s">
        <v>220</v>
      </c>
      <c r="B15" s="33">
        <v>708076</v>
      </c>
    </row>
    <row r="16" spans="1:2" x14ac:dyDescent="0.35">
      <c r="A16" s="32" t="s">
        <v>220</v>
      </c>
      <c r="B16" s="33">
        <v>200254</v>
      </c>
    </row>
    <row r="17" spans="1:2" x14ac:dyDescent="0.35">
      <c r="A17" s="32" t="s">
        <v>220</v>
      </c>
      <c r="B17" s="33">
        <v>698792</v>
      </c>
    </row>
    <row r="18" spans="1:2" x14ac:dyDescent="0.35">
      <c r="A18" s="32" t="s">
        <v>220</v>
      </c>
      <c r="B18" s="33">
        <v>850490</v>
      </c>
    </row>
    <row r="19" spans="1:2" x14ac:dyDescent="0.35">
      <c r="A19" s="32" t="s">
        <v>220</v>
      </c>
      <c r="B19" s="33">
        <v>86342</v>
      </c>
    </row>
    <row r="20" spans="1:2" x14ac:dyDescent="0.35">
      <c r="A20" s="32" t="s">
        <v>220</v>
      </c>
      <c r="B20" s="33">
        <v>461220</v>
      </c>
    </row>
    <row r="21" spans="1:2" x14ac:dyDescent="0.35">
      <c r="A21" s="32" t="s">
        <v>220</v>
      </c>
      <c r="B21" s="33">
        <v>209231</v>
      </c>
    </row>
    <row r="22" spans="1:2" x14ac:dyDescent="0.35">
      <c r="A22" s="32" t="s">
        <v>220</v>
      </c>
      <c r="B22" s="33">
        <v>963788</v>
      </c>
    </row>
    <row r="23" spans="1:2" x14ac:dyDescent="0.35">
      <c r="A23" s="32" t="s">
        <v>220</v>
      </c>
      <c r="B23" s="33">
        <v>1808226</v>
      </c>
    </row>
    <row r="24" spans="1:2" x14ac:dyDescent="0.35">
      <c r="A24" s="32" t="s">
        <v>220</v>
      </c>
      <c r="B24" s="33">
        <v>2021234</v>
      </c>
    </row>
    <row r="25" spans="1:2" x14ac:dyDescent="0.35">
      <c r="A25" s="32" t="s">
        <v>220</v>
      </c>
      <c r="B25" s="33">
        <v>280966</v>
      </c>
    </row>
    <row r="26" spans="1:2" x14ac:dyDescent="0.35">
      <c r="A26" s="32" t="s">
        <v>220</v>
      </c>
      <c r="B26" s="33">
        <v>111679</v>
      </c>
    </row>
    <row r="27" spans="1:2" x14ac:dyDescent="0.35">
      <c r="A27" s="32" t="s">
        <v>220</v>
      </c>
      <c r="B27" s="33">
        <v>2243724</v>
      </c>
    </row>
    <row r="28" spans="1:2" x14ac:dyDescent="0.35">
      <c r="A28" s="32" t="s">
        <v>220</v>
      </c>
      <c r="B28" s="33">
        <v>389272</v>
      </c>
    </row>
    <row r="29" spans="1:2" x14ac:dyDescent="0.35">
      <c r="A29" s="32" t="s">
        <v>220</v>
      </c>
      <c r="B29" s="33">
        <v>403368</v>
      </c>
    </row>
    <row r="30" spans="1:2" x14ac:dyDescent="0.35">
      <c r="A30" s="32" t="s">
        <v>220</v>
      </c>
      <c r="B30" s="33">
        <v>746119</v>
      </c>
    </row>
    <row r="31" spans="1:2" x14ac:dyDescent="0.35">
      <c r="A31" s="32" t="s">
        <v>220</v>
      </c>
      <c r="B31" s="33">
        <v>1338533</v>
      </c>
    </row>
    <row r="32" spans="1:2" x14ac:dyDescent="0.35">
      <c r="A32" s="32" t="s">
        <v>220</v>
      </c>
      <c r="B32" s="33">
        <v>137087</v>
      </c>
    </row>
    <row r="33" spans="2:2" x14ac:dyDescent="0.35">
      <c r="B33">
        <f>SUM(B1:B32)</f>
        <v>26912829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Ajustement&amp;Territoires &amp; Villes</vt:lpstr>
      <vt:lpstr>Provinces</vt:lpstr>
      <vt:lpstr>Population Urbaine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Muhoza Kanze</dc:creator>
  <cp:lastModifiedBy>Benjamin Muhoza Kanze</cp:lastModifiedBy>
  <dcterms:created xsi:type="dcterms:W3CDTF">2020-12-02T22:06:36Z</dcterms:created>
  <dcterms:modified xsi:type="dcterms:W3CDTF">2022-04-06T12:54:17Z</dcterms:modified>
</cp:coreProperties>
</file>