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filterPrivacy="1" updateLinks="always" codeName="ThisWorkbook"/>
  <xr:revisionPtr revIDLastSave="0" documentId="13_ncr:1_{5F719939-63E3-6C4F-965B-79E537BBB628}" xr6:coauthVersionLast="45" xr6:coauthVersionMax="45" xr10:uidLastSave="{00000000-0000-0000-0000-000000000000}"/>
  <bookViews>
    <workbookView xWindow="1180" yWindow="460" windowWidth="22140" windowHeight="12720" tabRatio="969" xr2:uid="{00000000-000D-0000-FFFF-FFFF00000000}"/>
  </bookViews>
  <sheets>
    <sheet name="APPLE" sheetId="1" r:id="rId1"/>
    <sheet name="SPREAD" sheetId="3" state="hidden" r:id="rId2"/>
    <sheet name="CRP" sheetId="4" state="hidden" r:id="rId3"/>
  </sheets>
  <calcPr calcId="191029" calcMode="autoNoTable" iterate="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97" i="1" l="1"/>
  <c r="I558" i="1"/>
  <c r="I894" i="1"/>
  <c r="I563" i="1"/>
  <c r="I550" i="1"/>
  <c r="I752" i="1"/>
  <c r="I893" i="1"/>
  <c r="I548" i="1"/>
  <c r="I648" i="1"/>
  <c r="I646" i="1"/>
  <c r="I554" i="1"/>
  <c r="I645" i="1"/>
  <c r="I644" i="1"/>
  <c r="I555" i="1"/>
  <c r="I553" i="1"/>
  <c r="I899" i="1"/>
  <c r="H897" i="1"/>
  <c r="H558" i="1"/>
  <c r="H894" i="1"/>
  <c r="H563" i="1"/>
  <c r="H550" i="1"/>
  <c r="H752" i="1"/>
  <c r="H893" i="1"/>
  <c r="H548" i="1"/>
  <c r="H648" i="1"/>
  <c r="H646" i="1"/>
  <c r="H554" i="1"/>
  <c r="H645" i="1"/>
  <c r="H644" i="1"/>
  <c r="H555" i="1"/>
  <c r="H553" i="1"/>
  <c r="H899" i="1"/>
  <c r="G897" i="1"/>
  <c r="G558" i="1"/>
  <c r="G894" i="1"/>
  <c r="G563" i="1"/>
  <c r="G550" i="1"/>
  <c r="G752" i="1"/>
  <c r="G893" i="1"/>
  <c r="G548" i="1"/>
  <c r="G648" i="1"/>
  <c r="G646" i="1"/>
  <c r="G554" i="1"/>
  <c r="G645" i="1"/>
  <c r="G644" i="1"/>
  <c r="G555" i="1"/>
  <c r="G553" i="1"/>
  <c r="G899" i="1"/>
  <c r="F897" i="1"/>
  <c r="F558" i="1"/>
  <c r="F894" i="1"/>
  <c r="F563" i="1"/>
  <c r="F550" i="1"/>
  <c r="F752" i="1"/>
  <c r="F893" i="1"/>
  <c r="F548" i="1"/>
  <c r="F648" i="1"/>
  <c r="F646" i="1"/>
  <c r="F554" i="1"/>
  <c r="F645" i="1"/>
  <c r="F644" i="1"/>
  <c r="F555" i="1"/>
  <c r="F553" i="1"/>
  <c r="F899" i="1"/>
  <c r="E897" i="1"/>
  <c r="E558" i="1"/>
  <c r="E894" i="1"/>
  <c r="E563" i="1"/>
  <c r="E550" i="1"/>
  <c r="E752" i="1"/>
  <c r="E893" i="1"/>
  <c r="E548" i="1"/>
  <c r="E648" i="1"/>
  <c r="E646" i="1"/>
  <c r="E554" i="1"/>
  <c r="E645" i="1"/>
  <c r="E644" i="1"/>
  <c r="E555" i="1"/>
  <c r="E553" i="1"/>
  <c r="E899" i="1"/>
  <c r="D897" i="1"/>
  <c r="D558" i="1"/>
  <c r="D894" i="1"/>
  <c r="D563" i="1"/>
  <c r="D550" i="1"/>
  <c r="D752" i="1"/>
  <c r="D893" i="1"/>
  <c r="D548" i="1"/>
  <c r="D648" i="1"/>
  <c r="D646" i="1"/>
  <c r="D554" i="1"/>
  <c r="D645" i="1"/>
  <c r="D644" i="1"/>
  <c r="D555" i="1"/>
  <c r="D553" i="1"/>
  <c r="D899" i="1"/>
  <c r="C897" i="1"/>
  <c r="C558" i="1"/>
  <c r="C894" i="1"/>
  <c r="C563" i="1"/>
  <c r="C550" i="1"/>
  <c r="C752" i="1"/>
  <c r="C893" i="1"/>
  <c r="C548" i="1"/>
  <c r="C648" i="1"/>
  <c r="C646" i="1"/>
  <c r="C554" i="1"/>
  <c r="C645" i="1"/>
  <c r="C644" i="1"/>
  <c r="C555" i="1"/>
  <c r="C553" i="1"/>
  <c r="C899" i="1"/>
  <c r="B897" i="1"/>
  <c r="B558" i="1"/>
  <c r="B894" i="1"/>
  <c r="B563" i="1"/>
  <c r="B550" i="1"/>
  <c r="B752" i="1"/>
  <c r="B893" i="1"/>
  <c r="B548" i="1"/>
  <c r="B648" i="1"/>
  <c r="B646" i="1"/>
  <c r="B554" i="1"/>
  <c r="B645" i="1"/>
  <c r="B644" i="1"/>
  <c r="B555" i="1"/>
  <c r="B553" i="1"/>
  <c r="B899" i="1"/>
  <c r="I896" i="1"/>
  <c r="H896" i="1"/>
  <c r="G896" i="1"/>
  <c r="F896" i="1"/>
  <c r="E896" i="1"/>
  <c r="D896" i="1"/>
  <c r="C896" i="1"/>
  <c r="B896" i="1"/>
  <c r="I668" i="1"/>
  <c r="I672" i="1"/>
  <c r="I642" i="1"/>
  <c r="I751" i="1"/>
  <c r="I564" i="1"/>
  <c r="I655" i="1"/>
  <c r="I656" i="1"/>
  <c r="I657" i="1"/>
  <c r="I658" i="1"/>
  <c r="I659" i="1"/>
  <c r="I652" i="1"/>
  <c r="I660" i="1"/>
  <c r="I651" i="1"/>
  <c r="I654" i="1"/>
  <c r="H668" i="1"/>
  <c r="H672" i="1"/>
  <c r="H642" i="1"/>
  <c r="H751" i="1"/>
  <c r="H564" i="1"/>
  <c r="H655" i="1"/>
  <c r="H656" i="1"/>
  <c r="H657" i="1"/>
  <c r="H658" i="1"/>
  <c r="H659" i="1"/>
  <c r="H652" i="1"/>
  <c r="H660" i="1"/>
  <c r="H651" i="1"/>
  <c r="H654" i="1"/>
  <c r="G668" i="1"/>
  <c r="G672" i="1"/>
  <c r="G642" i="1"/>
  <c r="G751" i="1"/>
  <c r="G564" i="1"/>
  <c r="G655" i="1"/>
  <c r="G656" i="1"/>
  <c r="G657" i="1"/>
  <c r="G658" i="1"/>
  <c r="G659" i="1"/>
  <c r="G652" i="1"/>
  <c r="G660" i="1"/>
  <c r="G651" i="1"/>
  <c r="G654" i="1"/>
  <c r="F668" i="1"/>
  <c r="F672" i="1"/>
  <c r="F642" i="1"/>
  <c r="F751" i="1"/>
  <c r="F564" i="1"/>
  <c r="F655" i="1"/>
  <c r="F656" i="1"/>
  <c r="F657" i="1"/>
  <c r="F658" i="1"/>
  <c r="F659" i="1"/>
  <c r="F652" i="1"/>
  <c r="F660" i="1"/>
  <c r="F651" i="1"/>
  <c r="F654" i="1"/>
  <c r="E668" i="1"/>
  <c r="E672" i="1"/>
  <c r="E642" i="1"/>
  <c r="E751" i="1"/>
  <c r="E564" i="1"/>
  <c r="E655" i="1"/>
  <c r="E656" i="1"/>
  <c r="E657" i="1"/>
  <c r="E658" i="1"/>
  <c r="E659" i="1"/>
  <c r="E652" i="1"/>
  <c r="E660" i="1"/>
  <c r="E651" i="1"/>
  <c r="E654" i="1"/>
  <c r="D668" i="1"/>
  <c r="D672" i="1"/>
  <c r="D642" i="1"/>
  <c r="D751" i="1"/>
  <c r="D564" i="1"/>
  <c r="D655" i="1"/>
  <c r="D656" i="1"/>
  <c r="D657" i="1"/>
  <c r="D658" i="1"/>
  <c r="D659" i="1"/>
  <c r="D652" i="1"/>
  <c r="D660" i="1"/>
  <c r="D651" i="1"/>
  <c r="D654" i="1"/>
  <c r="C668" i="1"/>
  <c r="C672" i="1"/>
  <c r="C642" i="1"/>
  <c r="C751" i="1"/>
  <c r="C564" i="1"/>
  <c r="C655" i="1"/>
  <c r="C656" i="1"/>
  <c r="C657" i="1"/>
  <c r="C658" i="1"/>
  <c r="C659" i="1"/>
  <c r="C652" i="1"/>
  <c r="C660" i="1"/>
  <c r="C651" i="1"/>
  <c r="C654" i="1"/>
  <c r="B668" i="1"/>
  <c r="B672" i="1"/>
  <c r="B642" i="1"/>
  <c r="B751" i="1"/>
  <c r="B564" i="1"/>
  <c r="B655" i="1"/>
  <c r="B656" i="1"/>
  <c r="B657" i="1"/>
  <c r="B658" i="1"/>
  <c r="B659" i="1"/>
  <c r="B652" i="1"/>
  <c r="B660" i="1"/>
  <c r="B651" i="1"/>
  <c r="B654" i="1"/>
  <c r="A889" i="1"/>
  <c r="A888" i="1"/>
  <c r="A887" i="1"/>
  <c r="A886" i="1"/>
  <c r="A885" i="1"/>
  <c r="A884" i="1"/>
  <c r="A883" i="1"/>
  <c r="A882" i="1"/>
  <c r="A881" i="1"/>
  <c r="A880" i="1"/>
  <c r="A853" i="1"/>
  <c r="A865" i="1"/>
  <c r="A852" i="1"/>
  <c r="A864" i="1"/>
  <c r="A851" i="1"/>
  <c r="A863" i="1"/>
  <c r="A850" i="1"/>
  <c r="A862" i="1"/>
  <c r="A849" i="1"/>
  <c r="A861" i="1"/>
  <c r="A848" i="1"/>
  <c r="A860" i="1"/>
  <c r="A847" i="1"/>
  <c r="A859" i="1"/>
  <c r="A846" i="1"/>
  <c r="A858" i="1"/>
  <c r="A845" i="1"/>
  <c r="A857" i="1"/>
  <c r="A844" i="1"/>
  <c r="A856" i="1"/>
  <c r="I762" i="1"/>
  <c r="H762" i="1"/>
  <c r="G762" i="1"/>
  <c r="F762" i="1"/>
  <c r="E762" i="1"/>
  <c r="D762" i="1"/>
  <c r="C762" i="1"/>
  <c r="B762" i="1"/>
  <c r="I757" i="1"/>
  <c r="H757" i="1"/>
  <c r="G757" i="1"/>
  <c r="F757" i="1"/>
  <c r="E757" i="1"/>
  <c r="D757" i="1"/>
  <c r="C757" i="1"/>
  <c r="B757" i="1"/>
  <c r="A165" i="1"/>
  <c r="A193" i="1"/>
  <c r="A207" i="1"/>
  <c r="A221" i="1"/>
  <c r="A235" i="1"/>
  <c r="A249" i="1"/>
  <c r="A263" i="1"/>
  <c r="A277" i="1"/>
  <c r="I160" i="1"/>
  <c r="A291" i="1"/>
  <c r="A305" i="1"/>
  <c r="A319" i="1"/>
  <c r="A333" i="1"/>
  <c r="A347" i="1"/>
  <c r="A361" i="1"/>
  <c r="A375" i="1"/>
  <c r="A192" i="1"/>
  <c r="A206" i="1"/>
  <c r="A220" i="1"/>
  <c r="A234" i="1"/>
  <c r="A248" i="1"/>
  <c r="A262" i="1"/>
  <c r="A276" i="1"/>
  <c r="A290" i="1"/>
  <c r="A304" i="1"/>
  <c r="A318" i="1"/>
  <c r="A332" i="1"/>
  <c r="A346" i="1"/>
  <c r="A360" i="1"/>
  <c r="A374" i="1"/>
  <c r="I374" i="1"/>
  <c r="A389" i="1"/>
  <c r="I389" i="1"/>
  <c r="I375" i="1"/>
  <c r="I291" i="1"/>
  <c r="I277" i="1"/>
  <c r="I705" i="1"/>
  <c r="I716" i="1"/>
  <c r="I717" i="1"/>
  <c r="I718" i="1"/>
  <c r="I719" i="1"/>
  <c r="I720" i="1"/>
  <c r="I721" i="1"/>
  <c r="I722" i="1"/>
  <c r="I723" i="1"/>
  <c r="I724" i="1"/>
  <c r="I725" i="1"/>
  <c r="I726" i="1"/>
  <c r="I714" i="1"/>
  <c r="I711" i="1"/>
  <c r="I709" i="1"/>
  <c r="I346" i="1"/>
  <c r="I360" i="1"/>
  <c r="I361" i="1"/>
  <c r="I347" i="1"/>
  <c r="I332" i="1"/>
  <c r="I161" i="1"/>
  <c r="I318" i="1"/>
  <c r="I319" i="1"/>
  <c r="I305" i="1"/>
  <c r="I815" i="1"/>
  <c r="H160" i="1"/>
  <c r="H374" i="1"/>
  <c r="H389" i="1"/>
  <c r="H375" i="1"/>
  <c r="H291" i="1"/>
  <c r="H277" i="1"/>
  <c r="H705" i="1"/>
  <c r="H716" i="1"/>
  <c r="H717" i="1"/>
  <c r="H718" i="1"/>
  <c r="H719" i="1"/>
  <c r="H720" i="1"/>
  <c r="H721" i="1"/>
  <c r="H722" i="1"/>
  <c r="H723" i="1"/>
  <c r="H724" i="1"/>
  <c r="H725" i="1"/>
  <c r="H726" i="1"/>
  <c r="H714" i="1"/>
  <c r="H711" i="1"/>
  <c r="H709" i="1"/>
  <c r="H346" i="1"/>
  <c r="H360" i="1"/>
  <c r="H361" i="1"/>
  <c r="H347" i="1"/>
  <c r="H332" i="1"/>
  <c r="H161" i="1"/>
  <c r="H318" i="1"/>
  <c r="H319" i="1"/>
  <c r="H305" i="1"/>
  <c r="H815" i="1"/>
  <c r="G160" i="1"/>
  <c r="G374" i="1"/>
  <c r="G389" i="1"/>
  <c r="G375" i="1"/>
  <c r="G291" i="1"/>
  <c r="G277" i="1"/>
  <c r="G705" i="1"/>
  <c r="G716" i="1"/>
  <c r="G717" i="1"/>
  <c r="G718" i="1"/>
  <c r="G719" i="1"/>
  <c r="G720" i="1"/>
  <c r="G721" i="1"/>
  <c r="G722" i="1"/>
  <c r="G723" i="1"/>
  <c r="G724" i="1"/>
  <c r="G725" i="1"/>
  <c r="G726" i="1"/>
  <c r="G714" i="1"/>
  <c r="G711" i="1"/>
  <c r="G709" i="1"/>
  <c r="G346" i="1"/>
  <c r="G360" i="1"/>
  <c r="G361" i="1"/>
  <c r="G347" i="1"/>
  <c r="G332" i="1"/>
  <c r="G161" i="1"/>
  <c r="G318" i="1"/>
  <c r="G319" i="1"/>
  <c r="G305" i="1"/>
  <c r="G815" i="1"/>
  <c r="F160" i="1"/>
  <c r="F374" i="1"/>
  <c r="F389" i="1"/>
  <c r="F375" i="1"/>
  <c r="F291" i="1"/>
  <c r="F277" i="1"/>
  <c r="F705" i="1"/>
  <c r="F716" i="1"/>
  <c r="F717" i="1"/>
  <c r="F718" i="1"/>
  <c r="F719" i="1"/>
  <c r="F720" i="1"/>
  <c r="F721" i="1"/>
  <c r="F722" i="1"/>
  <c r="F723" i="1"/>
  <c r="F724" i="1"/>
  <c r="F725" i="1"/>
  <c r="F726" i="1"/>
  <c r="F714" i="1"/>
  <c r="F711" i="1"/>
  <c r="F709" i="1"/>
  <c r="F346" i="1"/>
  <c r="F360" i="1"/>
  <c r="F361" i="1"/>
  <c r="F347" i="1"/>
  <c r="F332" i="1"/>
  <c r="F161" i="1"/>
  <c r="F318" i="1"/>
  <c r="F319" i="1"/>
  <c r="F305" i="1"/>
  <c r="F815" i="1"/>
  <c r="E160" i="1"/>
  <c r="E374" i="1"/>
  <c r="E389" i="1"/>
  <c r="E375" i="1"/>
  <c r="E291" i="1"/>
  <c r="E277" i="1"/>
  <c r="E705" i="1"/>
  <c r="E716" i="1"/>
  <c r="E717" i="1"/>
  <c r="E718" i="1"/>
  <c r="E719" i="1"/>
  <c r="E720" i="1"/>
  <c r="E721" i="1"/>
  <c r="E722" i="1"/>
  <c r="E723" i="1"/>
  <c r="E724" i="1"/>
  <c r="E725" i="1"/>
  <c r="E726" i="1"/>
  <c r="E714" i="1"/>
  <c r="E711" i="1"/>
  <c r="E709" i="1"/>
  <c r="E346" i="1"/>
  <c r="E360" i="1"/>
  <c r="E361" i="1"/>
  <c r="E347" i="1"/>
  <c r="E332" i="1"/>
  <c r="E161" i="1"/>
  <c r="E318" i="1"/>
  <c r="E319" i="1"/>
  <c r="E305" i="1"/>
  <c r="E815" i="1"/>
  <c r="D160" i="1"/>
  <c r="D374" i="1"/>
  <c r="D389" i="1"/>
  <c r="D375" i="1"/>
  <c r="D291" i="1"/>
  <c r="D277" i="1"/>
  <c r="D705" i="1"/>
  <c r="D716" i="1"/>
  <c r="D717" i="1"/>
  <c r="D718" i="1"/>
  <c r="D719" i="1"/>
  <c r="D720" i="1"/>
  <c r="D721" i="1"/>
  <c r="D722" i="1"/>
  <c r="D723" i="1"/>
  <c r="D724" i="1"/>
  <c r="D725" i="1"/>
  <c r="D726" i="1"/>
  <c r="D714" i="1"/>
  <c r="D711" i="1"/>
  <c r="D709" i="1"/>
  <c r="D346" i="1"/>
  <c r="D360" i="1"/>
  <c r="D361" i="1"/>
  <c r="D347" i="1"/>
  <c r="D332" i="1"/>
  <c r="D161" i="1"/>
  <c r="D318" i="1"/>
  <c r="D319" i="1"/>
  <c r="D305" i="1"/>
  <c r="D815" i="1"/>
  <c r="C160" i="1"/>
  <c r="C374" i="1"/>
  <c r="C389" i="1"/>
  <c r="C375" i="1"/>
  <c r="C291" i="1"/>
  <c r="C277" i="1"/>
  <c r="C705" i="1"/>
  <c r="C716" i="1"/>
  <c r="C717" i="1"/>
  <c r="C718" i="1"/>
  <c r="C719" i="1"/>
  <c r="C720" i="1"/>
  <c r="C721" i="1"/>
  <c r="C722" i="1"/>
  <c r="C723" i="1"/>
  <c r="C724" i="1"/>
  <c r="C725" i="1"/>
  <c r="C726" i="1"/>
  <c r="C714" i="1"/>
  <c r="C711" i="1"/>
  <c r="C709" i="1"/>
  <c r="C346" i="1"/>
  <c r="C360" i="1"/>
  <c r="C361" i="1"/>
  <c r="C347" i="1"/>
  <c r="C332" i="1"/>
  <c r="C161" i="1"/>
  <c r="C318" i="1"/>
  <c r="C319" i="1"/>
  <c r="C305" i="1"/>
  <c r="C815" i="1"/>
  <c r="B160" i="1"/>
  <c r="B374" i="1"/>
  <c r="B389" i="1"/>
  <c r="B375" i="1"/>
  <c r="B291" i="1"/>
  <c r="B277" i="1"/>
  <c r="B705" i="1"/>
  <c r="B716" i="1"/>
  <c r="B717" i="1"/>
  <c r="B718" i="1"/>
  <c r="B719" i="1"/>
  <c r="B720" i="1"/>
  <c r="B721" i="1"/>
  <c r="B722" i="1"/>
  <c r="B723" i="1"/>
  <c r="B724" i="1"/>
  <c r="B725" i="1"/>
  <c r="B726" i="1"/>
  <c r="B714" i="1"/>
  <c r="B711" i="1"/>
  <c r="B709" i="1"/>
  <c r="B346" i="1"/>
  <c r="B360" i="1"/>
  <c r="B361" i="1"/>
  <c r="B347" i="1"/>
  <c r="B332" i="1"/>
  <c r="B161" i="1"/>
  <c r="B318" i="1"/>
  <c r="B319" i="1"/>
  <c r="B305" i="1"/>
  <c r="B815" i="1"/>
  <c r="I680" i="1"/>
  <c r="I604" i="1"/>
  <c r="I603" i="1"/>
  <c r="I601" i="1"/>
  <c r="I612" i="1"/>
  <c r="I618" i="1"/>
  <c r="I607" i="1"/>
  <c r="I629" i="1"/>
  <c r="I622" i="1"/>
  <c r="I625" i="1"/>
  <c r="I623" i="1"/>
  <c r="I627" i="1"/>
  <c r="H680" i="1"/>
  <c r="H604" i="1"/>
  <c r="H603" i="1"/>
  <c r="H601" i="1"/>
  <c r="H612" i="1"/>
  <c r="H618" i="1"/>
  <c r="H607" i="1"/>
  <c r="H629" i="1"/>
  <c r="H622" i="1"/>
  <c r="H625" i="1"/>
  <c r="H623" i="1"/>
  <c r="H627" i="1"/>
  <c r="G680" i="1"/>
  <c r="G604" i="1"/>
  <c r="G603" i="1"/>
  <c r="G601" i="1"/>
  <c r="G612" i="1"/>
  <c r="G618" i="1"/>
  <c r="G607" i="1"/>
  <c r="G629" i="1"/>
  <c r="G622" i="1"/>
  <c r="G625" i="1"/>
  <c r="G623" i="1"/>
  <c r="G627" i="1"/>
  <c r="F680" i="1"/>
  <c r="F604" i="1"/>
  <c r="F603" i="1"/>
  <c r="F601" i="1"/>
  <c r="F612" i="1"/>
  <c r="F618" i="1"/>
  <c r="F607" i="1"/>
  <c r="F629" i="1"/>
  <c r="F622" i="1"/>
  <c r="F625" i="1"/>
  <c r="F623" i="1"/>
  <c r="F627" i="1"/>
  <c r="E680" i="1"/>
  <c r="E604" i="1"/>
  <c r="E603" i="1"/>
  <c r="E601" i="1"/>
  <c r="E612" i="1"/>
  <c r="E618" i="1"/>
  <c r="E607" i="1"/>
  <c r="E629" i="1"/>
  <c r="E622" i="1"/>
  <c r="E625" i="1"/>
  <c r="E623" i="1"/>
  <c r="E627" i="1"/>
  <c r="D680" i="1"/>
  <c r="D604" i="1"/>
  <c r="D603" i="1"/>
  <c r="D601" i="1"/>
  <c r="D612" i="1"/>
  <c r="D618" i="1"/>
  <c r="D607" i="1"/>
  <c r="D629" i="1"/>
  <c r="D622" i="1"/>
  <c r="D625" i="1"/>
  <c r="D623" i="1"/>
  <c r="D627" i="1"/>
  <c r="C680" i="1"/>
  <c r="C604" i="1"/>
  <c r="C603" i="1"/>
  <c r="C601" i="1"/>
  <c r="C612" i="1"/>
  <c r="C618" i="1"/>
  <c r="C607" i="1"/>
  <c r="C629" i="1"/>
  <c r="C622" i="1"/>
  <c r="C625" i="1"/>
  <c r="C623" i="1"/>
  <c r="C627" i="1"/>
  <c r="B680" i="1"/>
  <c r="B604" i="1"/>
  <c r="B603" i="1"/>
  <c r="B601" i="1"/>
  <c r="B612" i="1"/>
  <c r="B618" i="1"/>
  <c r="B607" i="1"/>
  <c r="B629" i="1"/>
  <c r="B622" i="1"/>
  <c r="B625" i="1"/>
  <c r="B623" i="1"/>
  <c r="B627" i="1"/>
  <c r="I802" i="1"/>
  <c r="H802" i="1"/>
  <c r="G802" i="1"/>
  <c r="F802" i="1"/>
  <c r="E802" i="1"/>
  <c r="D802" i="1"/>
  <c r="C802" i="1"/>
  <c r="B802" i="1"/>
  <c r="I800" i="1"/>
  <c r="H800" i="1"/>
  <c r="G800" i="1"/>
  <c r="F800" i="1"/>
  <c r="E800" i="1"/>
  <c r="D800" i="1"/>
  <c r="C800" i="1"/>
  <c r="B800" i="1"/>
  <c r="I547" i="1"/>
  <c r="I424" i="1"/>
  <c r="H547" i="1"/>
  <c r="H424" i="1"/>
  <c r="G547" i="1"/>
  <c r="G424" i="1"/>
  <c r="F547" i="1"/>
  <c r="F424" i="1"/>
  <c r="E547" i="1"/>
  <c r="E424" i="1"/>
  <c r="D547" i="1"/>
  <c r="D424" i="1"/>
  <c r="C547" i="1"/>
  <c r="C424" i="1"/>
  <c r="B547" i="1"/>
  <c r="B424" i="1"/>
  <c r="I557" i="1"/>
  <c r="I551" i="1"/>
  <c r="I753" i="1"/>
  <c r="H557" i="1"/>
  <c r="H551" i="1"/>
  <c r="H753" i="1"/>
  <c r="G557" i="1"/>
  <c r="G551" i="1"/>
  <c r="G753" i="1"/>
  <c r="F557" i="1"/>
  <c r="F551" i="1"/>
  <c r="F753" i="1"/>
  <c r="E557" i="1"/>
  <c r="E551" i="1"/>
  <c r="E753" i="1"/>
  <c r="D557" i="1"/>
  <c r="D551" i="1"/>
  <c r="D753" i="1"/>
  <c r="C557" i="1"/>
  <c r="C551" i="1"/>
  <c r="C753" i="1"/>
  <c r="B557" i="1"/>
  <c r="B551" i="1"/>
  <c r="B753" i="1"/>
  <c r="I744" i="1"/>
  <c r="H744" i="1"/>
  <c r="G744" i="1"/>
  <c r="F744" i="1"/>
  <c r="E744" i="1"/>
  <c r="D744" i="1"/>
  <c r="C744" i="1"/>
  <c r="B744" i="1"/>
  <c r="I743" i="1"/>
  <c r="H743" i="1"/>
  <c r="G743" i="1"/>
  <c r="F743" i="1"/>
  <c r="E743" i="1"/>
  <c r="D743" i="1"/>
  <c r="C743" i="1"/>
  <c r="B743" i="1"/>
  <c r="I742" i="1"/>
  <c r="H742" i="1"/>
  <c r="G742" i="1"/>
  <c r="F742" i="1"/>
  <c r="E742" i="1"/>
  <c r="D742" i="1"/>
  <c r="C742" i="1"/>
  <c r="B742" i="1"/>
  <c r="I738" i="1"/>
  <c r="H738" i="1"/>
  <c r="G738" i="1"/>
  <c r="F738" i="1"/>
  <c r="E738" i="1"/>
  <c r="D738" i="1"/>
  <c r="C738" i="1"/>
  <c r="B738" i="1"/>
  <c r="I737" i="1"/>
  <c r="H737" i="1"/>
  <c r="G737" i="1"/>
  <c r="F737" i="1"/>
  <c r="E737" i="1"/>
  <c r="D737" i="1"/>
  <c r="C737" i="1"/>
  <c r="B737" i="1"/>
  <c r="I736" i="1"/>
  <c r="H736" i="1"/>
  <c r="G736" i="1"/>
  <c r="F736" i="1"/>
  <c r="E736" i="1"/>
  <c r="D736" i="1"/>
  <c r="C736" i="1"/>
  <c r="B736" i="1"/>
  <c r="I732" i="1"/>
  <c r="H732" i="1"/>
  <c r="G732" i="1"/>
  <c r="F732" i="1"/>
  <c r="E732" i="1"/>
  <c r="D732" i="1"/>
  <c r="C732" i="1"/>
  <c r="B732" i="1"/>
  <c r="I731" i="1"/>
  <c r="H731" i="1"/>
  <c r="G731" i="1"/>
  <c r="F731" i="1"/>
  <c r="E731" i="1"/>
  <c r="D731" i="1"/>
  <c r="C731" i="1"/>
  <c r="B731" i="1"/>
  <c r="I730" i="1"/>
  <c r="H730" i="1"/>
  <c r="G730" i="1"/>
  <c r="F730" i="1"/>
  <c r="E730" i="1"/>
  <c r="D730" i="1"/>
  <c r="C730" i="1"/>
  <c r="B730" i="1"/>
  <c r="I713" i="1"/>
  <c r="H713" i="1"/>
  <c r="G713" i="1"/>
  <c r="F713" i="1"/>
  <c r="E713" i="1"/>
  <c r="D713" i="1"/>
  <c r="C713" i="1"/>
  <c r="B713" i="1"/>
  <c r="I708" i="1"/>
  <c r="H708" i="1"/>
  <c r="G708" i="1"/>
  <c r="F708" i="1"/>
  <c r="E708" i="1"/>
  <c r="D708" i="1"/>
  <c r="C708" i="1"/>
  <c r="B708" i="1"/>
  <c r="I707" i="1"/>
  <c r="H707" i="1"/>
  <c r="G707" i="1"/>
  <c r="F707" i="1"/>
  <c r="E707" i="1"/>
  <c r="D707" i="1"/>
  <c r="C707" i="1"/>
  <c r="B707" i="1"/>
  <c r="I701" i="1"/>
  <c r="H701" i="1"/>
  <c r="G701" i="1"/>
  <c r="F701" i="1"/>
  <c r="E701" i="1"/>
  <c r="D701" i="1"/>
  <c r="C701" i="1"/>
  <c r="B701" i="1"/>
  <c r="I700" i="1"/>
  <c r="H700" i="1"/>
  <c r="G700" i="1"/>
  <c r="F700" i="1"/>
  <c r="E700" i="1"/>
  <c r="D700" i="1"/>
  <c r="C700" i="1"/>
  <c r="B700" i="1"/>
  <c r="I699" i="1"/>
  <c r="H699" i="1"/>
  <c r="G699" i="1"/>
  <c r="F699" i="1"/>
  <c r="E699" i="1"/>
  <c r="D699" i="1"/>
  <c r="C699" i="1"/>
  <c r="B699" i="1"/>
  <c r="I695" i="1"/>
  <c r="H695" i="1"/>
  <c r="G695" i="1"/>
  <c r="F695" i="1"/>
  <c r="E695" i="1"/>
  <c r="D695" i="1"/>
  <c r="C695" i="1"/>
  <c r="B695" i="1"/>
  <c r="I693" i="1"/>
  <c r="H693" i="1"/>
  <c r="G693" i="1"/>
  <c r="F693" i="1"/>
  <c r="E693" i="1"/>
  <c r="D693" i="1"/>
  <c r="C693" i="1"/>
  <c r="B693" i="1"/>
  <c r="I692" i="1"/>
  <c r="H692" i="1"/>
  <c r="G692" i="1"/>
  <c r="F692" i="1"/>
  <c r="E692" i="1"/>
  <c r="D692" i="1"/>
  <c r="C692" i="1"/>
  <c r="B692" i="1"/>
  <c r="I691" i="1"/>
  <c r="H691" i="1"/>
  <c r="G691" i="1"/>
  <c r="F691" i="1"/>
  <c r="E691" i="1"/>
  <c r="D691" i="1"/>
  <c r="C691" i="1"/>
  <c r="B691" i="1"/>
  <c r="I690" i="1"/>
  <c r="H690" i="1"/>
  <c r="G690" i="1"/>
  <c r="F690" i="1"/>
  <c r="E690" i="1"/>
  <c r="D690" i="1"/>
  <c r="C690" i="1"/>
  <c r="B690" i="1"/>
  <c r="I688" i="1"/>
  <c r="H688" i="1"/>
  <c r="G688" i="1"/>
  <c r="F688" i="1"/>
  <c r="E688" i="1"/>
  <c r="D688" i="1"/>
  <c r="C688" i="1"/>
  <c r="B688" i="1"/>
  <c r="I687" i="1"/>
  <c r="H687" i="1"/>
  <c r="G687" i="1"/>
  <c r="F687" i="1"/>
  <c r="E687" i="1"/>
  <c r="D687" i="1"/>
  <c r="C687" i="1"/>
  <c r="B687" i="1"/>
  <c r="I685" i="1"/>
  <c r="H685" i="1"/>
  <c r="G685" i="1"/>
  <c r="F685" i="1"/>
  <c r="E685" i="1"/>
  <c r="D685" i="1"/>
  <c r="C685" i="1"/>
  <c r="B685" i="1"/>
  <c r="I684" i="1"/>
  <c r="H684" i="1"/>
  <c r="G684" i="1"/>
  <c r="F684" i="1"/>
  <c r="E684" i="1"/>
  <c r="D684" i="1"/>
  <c r="C684" i="1"/>
  <c r="B684" i="1"/>
  <c r="I683" i="1"/>
  <c r="H683" i="1"/>
  <c r="G683" i="1"/>
  <c r="F683" i="1"/>
  <c r="E683" i="1"/>
  <c r="D683" i="1"/>
  <c r="C683" i="1"/>
  <c r="B683" i="1"/>
  <c r="I681" i="1"/>
  <c r="H681" i="1"/>
  <c r="G681" i="1"/>
  <c r="F681" i="1"/>
  <c r="E681" i="1"/>
  <c r="D681" i="1"/>
  <c r="C681" i="1"/>
  <c r="B681" i="1"/>
  <c r="I678" i="1"/>
  <c r="H678" i="1"/>
  <c r="G678" i="1"/>
  <c r="F678" i="1"/>
  <c r="E678" i="1"/>
  <c r="D678" i="1"/>
  <c r="C678" i="1"/>
  <c r="B678" i="1"/>
  <c r="I677" i="1"/>
  <c r="H677" i="1"/>
  <c r="G677" i="1"/>
  <c r="F677" i="1"/>
  <c r="E677" i="1"/>
  <c r="D677" i="1"/>
  <c r="C677" i="1"/>
  <c r="B677" i="1"/>
  <c r="I676" i="1"/>
  <c r="H676" i="1"/>
  <c r="G676" i="1"/>
  <c r="F676" i="1"/>
  <c r="E676" i="1"/>
  <c r="D676" i="1"/>
  <c r="C676" i="1"/>
  <c r="B676" i="1"/>
  <c r="I675" i="1"/>
  <c r="H675" i="1"/>
  <c r="G675" i="1"/>
  <c r="F675" i="1"/>
  <c r="E675" i="1"/>
  <c r="D675" i="1"/>
  <c r="C675" i="1"/>
  <c r="B675" i="1"/>
  <c r="I673" i="1"/>
  <c r="H673" i="1"/>
  <c r="G673" i="1"/>
  <c r="F673" i="1"/>
  <c r="E673" i="1"/>
  <c r="D673" i="1"/>
  <c r="C673" i="1"/>
  <c r="B673" i="1"/>
  <c r="I669" i="1"/>
  <c r="H669" i="1"/>
  <c r="G669" i="1"/>
  <c r="F669" i="1"/>
  <c r="E669" i="1"/>
  <c r="D669" i="1"/>
  <c r="C669" i="1"/>
  <c r="B669" i="1"/>
  <c r="I666" i="1"/>
  <c r="H666" i="1"/>
  <c r="G666" i="1"/>
  <c r="F666" i="1"/>
  <c r="E666" i="1"/>
  <c r="D666" i="1"/>
  <c r="C666" i="1"/>
  <c r="B666" i="1"/>
  <c r="I665" i="1"/>
  <c r="H665" i="1"/>
  <c r="G665" i="1"/>
  <c r="F665" i="1"/>
  <c r="E665" i="1"/>
  <c r="D665" i="1"/>
  <c r="C665" i="1"/>
  <c r="B665" i="1"/>
  <c r="I663" i="1"/>
  <c r="H663" i="1"/>
  <c r="G663" i="1"/>
  <c r="F663" i="1"/>
  <c r="E663" i="1"/>
  <c r="D663" i="1"/>
  <c r="C663" i="1"/>
  <c r="B663" i="1"/>
  <c r="I649" i="1"/>
  <c r="H649" i="1"/>
  <c r="G649" i="1"/>
  <c r="F649" i="1"/>
  <c r="E649" i="1"/>
  <c r="D649" i="1"/>
  <c r="C649" i="1"/>
  <c r="B649" i="1"/>
  <c r="I643" i="1"/>
  <c r="H643" i="1"/>
  <c r="G643" i="1"/>
  <c r="F643" i="1"/>
  <c r="E643" i="1"/>
  <c r="D643" i="1"/>
  <c r="C643" i="1"/>
  <c r="B643" i="1"/>
  <c r="I639" i="1"/>
  <c r="H639" i="1"/>
  <c r="G639" i="1"/>
  <c r="F639" i="1"/>
  <c r="E639" i="1"/>
  <c r="D639" i="1"/>
  <c r="C639" i="1"/>
  <c r="B639" i="1"/>
  <c r="I638" i="1"/>
  <c r="H638" i="1"/>
  <c r="G638" i="1"/>
  <c r="F638" i="1"/>
  <c r="E638" i="1"/>
  <c r="D638" i="1"/>
  <c r="C638" i="1"/>
  <c r="B638" i="1"/>
  <c r="I637" i="1"/>
  <c r="H637" i="1"/>
  <c r="G637" i="1"/>
  <c r="F637" i="1"/>
  <c r="E637" i="1"/>
  <c r="D637" i="1"/>
  <c r="C637" i="1"/>
  <c r="B637" i="1"/>
  <c r="I636" i="1"/>
  <c r="H636" i="1"/>
  <c r="G636" i="1"/>
  <c r="F636" i="1"/>
  <c r="E636" i="1"/>
  <c r="D636" i="1"/>
  <c r="C636" i="1"/>
  <c r="B636" i="1"/>
  <c r="I635" i="1"/>
  <c r="H635" i="1"/>
  <c r="G635" i="1"/>
  <c r="F635" i="1"/>
  <c r="E635" i="1"/>
  <c r="D635" i="1"/>
  <c r="C635" i="1"/>
  <c r="B635" i="1"/>
  <c r="I634" i="1"/>
  <c r="H634" i="1"/>
  <c r="G634" i="1"/>
  <c r="F634" i="1"/>
  <c r="E634" i="1"/>
  <c r="D634" i="1"/>
  <c r="C634" i="1"/>
  <c r="B634" i="1"/>
  <c r="I631" i="1"/>
  <c r="H631" i="1"/>
  <c r="G631" i="1"/>
  <c r="F631" i="1"/>
  <c r="E631" i="1"/>
  <c r="D631" i="1"/>
  <c r="C631" i="1"/>
  <c r="B631" i="1"/>
  <c r="I606" i="1"/>
  <c r="I628" i="1"/>
  <c r="H606" i="1"/>
  <c r="H628" i="1"/>
  <c r="G606" i="1"/>
  <c r="G628" i="1"/>
  <c r="F606" i="1"/>
  <c r="F628" i="1"/>
  <c r="E606" i="1"/>
  <c r="E628" i="1"/>
  <c r="D606" i="1"/>
  <c r="D628" i="1"/>
  <c r="C606" i="1"/>
  <c r="C628" i="1"/>
  <c r="B606" i="1"/>
  <c r="B628" i="1"/>
  <c r="I624" i="1"/>
  <c r="H624" i="1"/>
  <c r="G624" i="1"/>
  <c r="F624" i="1"/>
  <c r="E624" i="1"/>
  <c r="D624" i="1"/>
  <c r="C624" i="1"/>
  <c r="B624" i="1"/>
  <c r="I621" i="1"/>
  <c r="H621" i="1"/>
  <c r="G621" i="1"/>
  <c r="F621" i="1"/>
  <c r="E621" i="1"/>
  <c r="D621" i="1"/>
  <c r="C621" i="1"/>
  <c r="B621" i="1"/>
  <c r="I609" i="1"/>
  <c r="H609" i="1"/>
  <c r="G609" i="1"/>
  <c r="F609" i="1"/>
  <c r="E609" i="1"/>
  <c r="D609" i="1"/>
  <c r="C609" i="1"/>
  <c r="B609" i="1"/>
  <c r="I598" i="1"/>
  <c r="H598" i="1"/>
  <c r="G598" i="1"/>
  <c r="F598" i="1"/>
  <c r="E598" i="1"/>
  <c r="D598" i="1"/>
  <c r="C598" i="1"/>
  <c r="B598" i="1"/>
  <c r="I597" i="1"/>
  <c r="H597" i="1"/>
  <c r="G597" i="1"/>
  <c r="F597" i="1"/>
  <c r="E597" i="1"/>
  <c r="D597" i="1"/>
  <c r="C597" i="1"/>
  <c r="B597" i="1"/>
  <c r="I596" i="1"/>
  <c r="H596" i="1"/>
  <c r="G596" i="1"/>
  <c r="F596" i="1"/>
  <c r="E596" i="1"/>
  <c r="D596" i="1"/>
  <c r="C596" i="1"/>
  <c r="B596" i="1"/>
  <c r="I595" i="1"/>
  <c r="H595" i="1"/>
  <c r="G595" i="1"/>
  <c r="F595" i="1"/>
  <c r="E595" i="1"/>
  <c r="D595" i="1"/>
  <c r="C595" i="1"/>
  <c r="B595" i="1"/>
  <c r="I592" i="1"/>
  <c r="H592" i="1"/>
  <c r="G592" i="1"/>
  <c r="F592" i="1"/>
  <c r="E592" i="1"/>
  <c r="D592" i="1"/>
  <c r="C592" i="1"/>
  <c r="B592" i="1"/>
  <c r="I591" i="1"/>
  <c r="H591" i="1"/>
  <c r="G591" i="1"/>
  <c r="F591" i="1"/>
  <c r="E591" i="1"/>
  <c r="D591" i="1"/>
  <c r="C591" i="1"/>
  <c r="B591" i="1"/>
  <c r="I590" i="1"/>
  <c r="H590" i="1"/>
  <c r="G590" i="1"/>
  <c r="F590" i="1"/>
  <c r="E590" i="1"/>
  <c r="D590" i="1"/>
  <c r="C590" i="1"/>
  <c r="B590" i="1"/>
  <c r="I589" i="1"/>
  <c r="H589" i="1"/>
  <c r="G589" i="1"/>
  <c r="F589" i="1"/>
  <c r="E589" i="1"/>
  <c r="D589" i="1"/>
  <c r="C589" i="1"/>
  <c r="B589" i="1"/>
  <c r="I588" i="1"/>
  <c r="H588" i="1"/>
  <c r="G588" i="1"/>
  <c r="F588" i="1"/>
  <c r="E588" i="1"/>
  <c r="D588" i="1"/>
  <c r="C588" i="1"/>
  <c r="B588" i="1"/>
  <c r="I587" i="1"/>
  <c r="H587" i="1"/>
  <c r="G587" i="1"/>
  <c r="F587" i="1"/>
  <c r="E587" i="1"/>
  <c r="D587" i="1"/>
  <c r="C587" i="1"/>
  <c r="B587" i="1"/>
  <c r="I586" i="1"/>
  <c r="H586" i="1"/>
  <c r="G586" i="1"/>
  <c r="F586" i="1"/>
  <c r="E586" i="1"/>
  <c r="D586" i="1"/>
  <c r="C586" i="1"/>
  <c r="B586" i="1"/>
  <c r="I585" i="1"/>
  <c r="H585" i="1"/>
  <c r="G585" i="1"/>
  <c r="F585" i="1"/>
  <c r="E585" i="1"/>
  <c r="D585" i="1"/>
  <c r="C585" i="1"/>
  <c r="B585" i="1"/>
  <c r="I582" i="1"/>
  <c r="H582" i="1"/>
  <c r="G582" i="1"/>
  <c r="F582" i="1"/>
  <c r="E582" i="1"/>
  <c r="D582" i="1"/>
  <c r="C582" i="1"/>
  <c r="B582" i="1"/>
  <c r="I581" i="1"/>
  <c r="H581" i="1"/>
  <c r="G581" i="1"/>
  <c r="F581" i="1"/>
  <c r="E581" i="1"/>
  <c r="D581" i="1"/>
  <c r="C581" i="1"/>
  <c r="B581" i="1"/>
  <c r="I576" i="1"/>
  <c r="H576" i="1"/>
  <c r="G576" i="1"/>
  <c r="F576" i="1"/>
  <c r="E576" i="1"/>
  <c r="D576" i="1"/>
  <c r="C576" i="1"/>
  <c r="B576" i="1"/>
  <c r="I572" i="1"/>
  <c r="H572" i="1"/>
  <c r="G572" i="1"/>
  <c r="F572" i="1"/>
  <c r="E572" i="1"/>
  <c r="D572" i="1"/>
  <c r="C572" i="1"/>
  <c r="B572" i="1"/>
  <c r="I571" i="1"/>
  <c r="H571" i="1"/>
  <c r="G571" i="1"/>
  <c r="F571" i="1"/>
  <c r="E571" i="1"/>
  <c r="D571" i="1"/>
  <c r="C571" i="1"/>
  <c r="B571" i="1"/>
  <c r="I561" i="1"/>
  <c r="H561" i="1"/>
  <c r="G561" i="1"/>
  <c r="F561" i="1"/>
  <c r="E561" i="1"/>
  <c r="D561" i="1"/>
  <c r="C561" i="1"/>
  <c r="B561" i="1"/>
  <c r="I560" i="1"/>
  <c r="H560" i="1"/>
  <c r="G560" i="1"/>
  <c r="F560" i="1"/>
  <c r="E560" i="1"/>
  <c r="D560" i="1"/>
  <c r="C560" i="1"/>
  <c r="B560" i="1"/>
  <c r="I546" i="1"/>
  <c r="H546" i="1"/>
  <c r="G546" i="1"/>
  <c r="F546" i="1"/>
  <c r="E546" i="1"/>
  <c r="D546" i="1"/>
  <c r="C546" i="1"/>
  <c r="B546" i="1"/>
  <c r="I543" i="1"/>
  <c r="H543" i="1"/>
  <c r="G543" i="1"/>
  <c r="F543" i="1"/>
  <c r="E543" i="1"/>
  <c r="D543" i="1"/>
  <c r="C543" i="1"/>
  <c r="B543" i="1"/>
  <c r="I540" i="1"/>
  <c r="H540" i="1"/>
  <c r="G540" i="1"/>
  <c r="F540" i="1"/>
  <c r="E540" i="1"/>
  <c r="D540" i="1"/>
  <c r="C540" i="1"/>
  <c r="B540" i="1"/>
  <c r="A504" i="1"/>
  <c r="A516" i="1"/>
  <c r="A528" i="1"/>
  <c r="A540" i="1"/>
  <c r="I539" i="1"/>
  <c r="H539" i="1"/>
  <c r="G539" i="1"/>
  <c r="F539" i="1"/>
  <c r="E539" i="1"/>
  <c r="D539" i="1"/>
  <c r="C539" i="1"/>
  <c r="B539" i="1"/>
  <c r="A503" i="1"/>
  <c r="A515" i="1"/>
  <c r="A527" i="1"/>
  <c r="A539" i="1"/>
  <c r="I538" i="1"/>
  <c r="H538" i="1"/>
  <c r="G538" i="1"/>
  <c r="F538" i="1"/>
  <c r="E538" i="1"/>
  <c r="D538" i="1"/>
  <c r="C538" i="1"/>
  <c r="B538" i="1"/>
  <c r="A502" i="1"/>
  <c r="A514" i="1"/>
  <c r="A526" i="1"/>
  <c r="A538" i="1"/>
  <c r="I537" i="1"/>
  <c r="H537" i="1"/>
  <c r="G537" i="1"/>
  <c r="F537" i="1"/>
  <c r="E537" i="1"/>
  <c r="D537" i="1"/>
  <c r="C537" i="1"/>
  <c r="B537" i="1"/>
  <c r="A501" i="1"/>
  <c r="A513" i="1"/>
  <c r="A525" i="1"/>
  <c r="A537" i="1"/>
  <c r="I536" i="1"/>
  <c r="H536" i="1"/>
  <c r="G536" i="1"/>
  <c r="F536" i="1"/>
  <c r="E536" i="1"/>
  <c r="D536" i="1"/>
  <c r="C536" i="1"/>
  <c r="B536" i="1"/>
  <c r="A500" i="1"/>
  <c r="A512" i="1"/>
  <c r="A524" i="1"/>
  <c r="A536" i="1"/>
  <c r="I535" i="1"/>
  <c r="H535" i="1"/>
  <c r="G535" i="1"/>
  <c r="F535" i="1"/>
  <c r="E535" i="1"/>
  <c r="D535" i="1"/>
  <c r="C535" i="1"/>
  <c r="B535" i="1"/>
  <c r="A499" i="1"/>
  <c r="A511" i="1"/>
  <c r="A523" i="1"/>
  <c r="A535" i="1"/>
  <c r="I534" i="1"/>
  <c r="H534" i="1"/>
  <c r="G534" i="1"/>
  <c r="F534" i="1"/>
  <c r="E534" i="1"/>
  <c r="D534" i="1"/>
  <c r="C534" i="1"/>
  <c r="B534" i="1"/>
  <c r="A498" i="1"/>
  <c r="A510" i="1"/>
  <c r="A522" i="1"/>
  <c r="A534" i="1"/>
  <c r="I533" i="1"/>
  <c r="H533" i="1"/>
  <c r="G533" i="1"/>
  <c r="F533" i="1"/>
  <c r="E533" i="1"/>
  <c r="D533" i="1"/>
  <c r="C533" i="1"/>
  <c r="B533" i="1"/>
  <c r="A497" i="1"/>
  <c r="A509" i="1"/>
  <c r="A521" i="1"/>
  <c r="A533" i="1"/>
  <c r="I532" i="1"/>
  <c r="H532" i="1"/>
  <c r="G532" i="1"/>
  <c r="F532" i="1"/>
  <c r="E532" i="1"/>
  <c r="D532" i="1"/>
  <c r="C532" i="1"/>
  <c r="B532" i="1"/>
  <c r="A496" i="1"/>
  <c r="A508" i="1"/>
  <c r="A520" i="1"/>
  <c r="A532" i="1"/>
  <c r="I531" i="1"/>
  <c r="H531" i="1"/>
  <c r="G531" i="1"/>
  <c r="F531" i="1"/>
  <c r="E531" i="1"/>
  <c r="D531" i="1"/>
  <c r="C531" i="1"/>
  <c r="B531" i="1"/>
  <c r="A495" i="1"/>
  <c r="A507" i="1"/>
  <c r="A519" i="1"/>
  <c r="A531" i="1"/>
  <c r="I530" i="1"/>
  <c r="H530" i="1"/>
  <c r="G530" i="1"/>
  <c r="F530" i="1"/>
  <c r="E530" i="1"/>
  <c r="D530" i="1"/>
  <c r="C530" i="1"/>
  <c r="B530" i="1"/>
  <c r="I528" i="1"/>
  <c r="H528" i="1"/>
  <c r="G528" i="1"/>
  <c r="F528" i="1"/>
  <c r="E528" i="1"/>
  <c r="D528" i="1"/>
  <c r="C528" i="1"/>
  <c r="B528" i="1"/>
  <c r="I527" i="1"/>
  <c r="H527" i="1"/>
  <c r="G527" i="1"/>
  <c r="F527" i="1"/>
  <c r="E527" i="1"/>
  <c r="D527" i="1"/>
  <c r="C527" i="1"/>
  <c r="B527" i="1"/>
  <c r="I526" i="1"/>
  <c r="H526" i="1"/>
  <c r="G526" i="1"/>
  <c r="F526" i="1"/>
  <c r="E526" i="1"/>
  <c r="D526" i="1"/>
  <c r="C526" i="1"/>
  <c r="B526" i="1"/>
  <c r="I525" i="1"/>
  <c r="H525" i="1"/>
  <c r="G525" i="1"/>
  <c r="F525" i="1"/>
  <c r="E525" i="1"/>
  <c r="D525" i="1"/>
  <c r="C525" i="1"/>
  <c r="B525" i="1"/>
  <c r="I524" i="1"/>
  <c r="H524" i="1"/>
  <c r="G524" i="1"/>
  <c r="F524" i="1"/>
  <c r="E524" i="1"/>
  <c r="D524" i="1"/>
  <c r="C524" i="1"/>
  <c r="B524" i="1"/>
  <c r="I523" i="1"/>
  <c r="H523" i="1"/>
  <c r="G523" i="1"/>
  <c r="F523" i="1"/>
  <c r="E523" i="1"/>
  <c r="D523" i="1"/>
  <c r="C523" i="1"/>
  <c r="B523" i="1"/>
  <c r="I522" i="1"/>
  <c r="H522" i="1"/>
  <c r="G522" i="1"/>
  <c r="F522" i="1"/>
  <c r="E522" i="1"/>
  <c r="D522" i="1"/>
  <c r="C522" i="1"/>
  <c r="B522" i="1"/>
  <c r="I521" i="1"/>
  <c r="H521" i="1"/>
  <c r="G521" i="1"/>
  <c r="F521" i="1"/>
  <c r="E521" i="1"/>
  <c r="D521" i="1"/>
  <c r="C521" i="1"/>
  <c r="B521" i="1"/>
  <c r="I520" i="1"/>
  <c r="H520" i="1"/>
  <c r="G520" i="1"/>
  <c r="F520" i="1"/>
  <c r="E520" i="1"/>
  <c r="D520" i="1"/>
  <c r="C520" i="1"/>
  <c r="B520" i="1"/>
  <c r="I519" i="1"/>
  <c r="H519" i="1"/>
  <c r="G519" i="1"/>
  <c r="F519" i="1"/>
  <c r="E519" i="1"/>
  <c r="D519" i="1"/>
  <c r="C519" i="1"/>
  <c r="B519" i="1"/>
  <c r="I516" i="1"/>
  <c r="H516" i="1"/>
  <c r="G516" i="1"/>
  <c r="F516" i="1"/>
  <c r="E516" i="1"/>
  <c r="D516" i="1"/>
  <c r="C516" i="1"/>
  <c r="B516" i="1"/>
  <c r="I515" i="1"/>
  <c r="H515" i="1"/>
  <c r="G515" i="1"/>
  <c r="F515" i="1"/>
  <c r="E515" i="1"/>
  <c r="D515" i="1"/>
  <c r="C515" i="1"/>
  <c r="B515" i="1"/>
  <c r="I514" i="1"/>
  <c r="H514" i="1"/>
  <c r="G514" i="1"/>
  <c r="F514" i="1"/>
  <c r="E514" i="1"/>
  <c r="D514" i="1"/>
  <c r="C514" i="1"/>
  <c r="B514" i="1"/>
  <c r="I513" i="1"/>
  <c r="H513" i="1"/>
  <c r="G513" i="1"/>
  <c r="F513" i="1"/>
  <c r="E513" i="1"/>
  <c r="D513" i="1"/>
  <c r="C513" i="1"/>
  <c r="B513" i="1"/>
  <c r="I512" i="1"/>
  <c r="H512" i="1"/>
  <c r="G512" i="1"/>
  <c r="F512" i="1"/>
  <c r="E512" i="1"/>
  <c r="D512" i="1"/>
  <c r="C512" i="1"/>
  <c r="B512" i="1"/>
  <c r="I511" i="1"/>
  <c r="H511" i="1"/>
  <c r="G511" i="1"/>
  <c r="F511" i="1"/>
  <c r="E511" i="1"/>
  <c r="D511" i="1"/>
  <c r="C511" i="1"/>
  <c r="B511" i="1"/>
  <c r="I510" i="1"/>
  <c r="H510" i="1"/>
  <c r="G510" i="1"/>
  <c r="F510" i="1"/>
  <c r="E510" i="1"/>
  <c r="D510" i="1"/>
  <c r="C510" i="1"/>
  <c r="B510" i="1"/>
  <c r="I509" i="1"/>
  <c r="H509" i="1"/>
  <c r="G509" i="1"/>
  <c r="F509" i="1"/>
  <c r="E509" i="1"/>
  <c r="D509" i="1"/>
  <c r="C509" i="1"/>
  <c r="B509" i="1"/>
  <c r="I508" i="1"/>
  <c r="H508" i="1"/>
  <c r="G508" i="1"/>
  <c r="F508" i="1"/>
  <c r="E508" i="1"/>
  <c r="D508" i="1"/>
  <c r="C508" i="1"/>
  <c r="B508" i="1"/>
  <c r="I507" i="1"/>
  <c r="H507" i="1"/>
  <c r="G507" i="1"/>
  <c r="F507" i="1"/>
  <c r="E507" i="1"/>
  <c r="D507" i="1"/>
  <c r="C507" i="1"/>
  <c r="B507" i="1"/>
  <c r="I506" i="1"/>
  <c r="H506" i="1"/>
  <c r="G506" i="1"/>
  <c r="F506" i="1"/>
  <c r="E506" i="1"/>
  <c r="D506" i="1"/>
  <c r="C506" i="1"/>
  <c r="B506" i="1"/>
  <c r="I504" i="1"/>
  <c r="H504" i="1"/>
  <c r="G504" i="1"/>
  <c r="F504" i="1"/>
  <c r="E504" i="1"/>
  <c r="D504" i="1"/>
  <c r="C504" i="1"/>
  <c r="B504" i="1"/>
  <c r="I503" i="1"/>
  <c r="H503" i="1"/>
  <c r="G503" i="1"/>
  <c r="F503" i="1"/>
  <c r="E503" i="1"/>
  <c r="D503" i="1"/>
  <c r="C503" i="1"/>
  <c r="B503" i="1"/>
  <c r="I502" i="1"/>
  <c r="H502" i="1"/>
  <c r="G502" i="1"/>
  <c r="F502" i="1"/>
  <c r="E502" i="1"/>
  <c r="D502" i="1"/>
  <c r="C502" i="1"/>
  <c r="B502" i="1"/>
  <c r="I501" i="1"/>
  <c r="H501" i="1"/>
  <c r="G501" i="1"/>
  <c r="F501" i="1"/>
  <c r="E501" i="1"/>
  <c r="D501" i="1"/>
  <c r="C501" i="1"/>
  <c r="B501" i="1"/>
  <c r="I500" i="1"/>
  <c r="H500" i="1"/>
  <c r="G500" i="1"/>
  <c r="F500" i="1"/>
  <c r="E500" i="1"/>
  <c r="D500" i="1"/>
  <c r="C500" i="1"/>
  <c r="B500" i="1"/>
  <c r="I499" i="1"/>
  <c r="H499" i="1"/>
  <c r="G499" i="1"/>
  <c r="F499" i="1"/>
  <c r="E499" i="1"/>
  <c r="D499" i="1"/>
  <c r="C499" i="1"/>
  <c r="B499" i="1"/>
  <c r="I498" i="1"/>
  <c r="H498" i="1"/>
  <c r="G498" i="1"/>
  <c r="F498" i="1"/>
  <c r="E498" i="1"/>
  <c r="D498" i="1"/>
  <c r="C498" i="1"/>
  <c r="B498" i="1"/>
  <c r="I497" i="1"/>
  <c r="H497" i="1"/>
  <c r="G497" i="1"/>
  <c r="F497" i="1"/>
  <c r="E497" i="1"/>
  <c r="D497" i="1"/>
  <c r="C497" i="1"/>
  <c r="B497" i="1"/>
  <c r="I496" i="1"/>
  <c r="H496" i="1"/>
  <c r="G496" i="1"/>
  <c r="F496" i="1"/>
  <c r="E496" i="1"/>
  <c r="D496" i="1"/>
  <c r="C496" i="1"/>
  <c r="B496" i="1"/>
  <c r="I495" i="1"/>
  <c r="H495" i="1"/>
  <c r="G495" i="1"/>
  <c r="F495" i="1"/>
  <c r="E495" i="1"/>
  <c r="D495" i="1"/>
  <c r="C495" i="1"/>
  <c r="B495" i="1"/>
  <c r="I493" i="1"/>
  <c r="H493" i="1"/>
  <c r="G493" i="1"/>
  <c r="F493" i="1"/>
  <c r="E493" i="1"/>
  <c r="D493" i="1"/>
  <c r="C493" i="1"/>
  <c r="B493" i="1"/>
  <c r="I490" i="1"/>
  <c r="H490" i="1"/>
  <c r="G490" i="1"/>
  <c r="F490" i="1"/>
  <c r="E490" i="1"/>
  <c r="D490" i="1"/>
  <c r="C490" i="1"/>
  <c r="B490" i="1"/>
  <c r="A454" i="1"/>
  <c r="A466" i="1"/>
  <c r="A478" i="1"/>
  <c r="A490" i="1"/>
  <c r="I489" i="1"/>
  <c r="H489" i="1"/>
  <c r="G489" i="1"/>
  <c r="F489" i="1"/>
  <c r="E489" i="1"/>
  <c r="D489" i="1"/>
  <c r="C489" i="1"/>
  <c r="B489" i="1"/>
  <c r="A453" i="1"/>
  <c r="A465" i="1"/>
  <c r="A477" i="1"/>
  <c r="A489" i="1"/>
  <c r="I488" i="1"/>
  <c r="H488" i="1"/>
  <c r="G488" i="1"/>
  <c r="F488" i="1"/>
  <c r="E488" i="1"/>
  <c r="D488" i="1"/>
  <c r="C488" i="1"/>
  <c r="B488" i="1"/>
  <c r="A452" i="1"/>
  <c r="A464" i="1"/>
  <c r="A476" i="1"/>
  <c r="A488" i="1"/>
  <c r="I487" i="1"/>
  <c r="H487" i="1"/>
  <c r="G487" i="1"/>
  <c r="F487" i="1"/>
  <c r="E487" i="1"/>
  <c r="D487" i="1"/>
  <c r="C487" i="1"/>
  <c r="B487" i="1"/>
  <c r="A451" i="1"/>
  <c r="A463" i="1"/>
  <c r="A475" i="1"/>
  <c r="A487" i="1"/>
  <c r="I486" i="1"/>
  <c r="H486" i="1"/>
  <c r="G486" i="1"/>
  <c r="F486" i="1"/>
  <c r="E486" i="1"/>
  <c r="D486" i="1"/>
  <c r="C486" i="1"/>
  <c r="B486" i="1"/>
  <c r="A450" i="1"/>
  <c r="A462" i="1"/>
  <c r="A474" i="1"/>
  <c r="A486" i="1"/>
  <c r="I485" i="1"/>
  <c r="H485" i="1"/>
  <c r="G485" i="1"/>
  <c r="F485" i="1"/>
  <c r="E485" i="1"/>
  <c r="D485" i="1"/>
  <c r="C485" i="1"/>
  <c r="B485" i="1"/>
  <c r="A449" i="1"/>
  <c r="A461" i="1"/>
  <c r="A473" i="1"/>
  <c r="A485" i="1"/>
  <c r="I484" i="1"/>
  <c r="H484" i="1"/>
  <c r="G484" i="1"/>
  <c r="F484" i="1"/>
  <c r="E484" i="1"/>
  <c r="D484" i="1"/>
  <c r="C484" i="1"/>
  <c r="B484" i="1"/>
  <c r="A448" i="1"/>
  <c r="A460" i="1"/>
  <c r="A472" i="1"/>
  <c r="A484" i="1"/>
  <c r="I483" i="1"/>
  <c r="H483" i="1"/>
  <c r="G483" i="1"/>
  <c r="F483" i="1"/>
  <c r="E483" i="1"/>
  <c r="D483" i="1"/>
  <c r="C483" i="1"/>
  <c r="B483" i="1"/>
  <c r="A447" i="1"/>
  <c r="A459" i="1"/>
  <c r="A471" i="1"/>
  <c r="A483" i="1"/>
  <c r="I482" i="1"/>
  <c r="H482" i="1"/>
  <c r="G482" i="1"/>
  <c r="F482" i="1"/>
  <c r="E482" i="1"/>
  <c r="D482" i="1"/>
  <c r="C482" i="1"/>
  <c r="B482" i="1"/>
  <c r="A446" i="1"/>
  <c r="A458" i="1"/>
  <c r="A470" i="1"/>
  <c r="A482" i="1"/>
  <c r="I481" i="1"/>
  <c r="H481" i="1"/>
  <c r="G481" i="1"/>
  <c r="F481" i="1"/>
  <c r="E481" i="1"/>
  <c r="D481" i="1"/>
  <c r="C481" i="1"/>
  <c r="B481" i="1"/>
  <c r="A445" i="1"/>
  <c r="A457" i="1"/>
  <c r="A469" i="1"/>
  <c r="A481" i="1"/>
  <c r="I480" i="1"/>
  <c r="H480" i="1"/>
  <c r="G480" i="1"/>
  <c r="F480" i="1"/>
  <c r="E480" i="1"/>
  <c r="D480" i="1"/>
  <c r="C480" i="1"/>
  <c r="B480" i="1"/>
  <c r="I478" i="1"/>
  <c r="H478" i="1"/>
  <c r="G478" i="1"/>
  <c r="F478" i="1"/>
  <c r="E478" i="1"/>
  <c r="D478" i="1"/>
  <c r="C478" i="1"/>
  <c r="B478" i="1"/>
  <c r="I477" i="1"/>
  <c r="H477" i="1"/>
  <c r="G477" i="1"/>
  <c r="F477" i="1"/>
  <c r="E477" i="1"/>
  <c r="D477" i="1"/>
  <c r="C477" i="1"/>
  <c r="B477" i="1"/>
  <c r="I476" i="1"/>
  <c r="H476" i="1"/>
  <c r="G476" i="1"/>
  <c r="F476" i="1"/>
  <c r="E476" i="1"/>
  <c r="D476" i="1"/>
  <c r="C476" i="1"/>
  <c r="B476" i="1"/>
  <c r="I475" i="1"/>
  <c r="H475" i="1"/>
  <c r="G475" i="1"/>
  <c r="F475" i="1"/>
  <c r="E475" i="1"/>
  <c r="D475" i="1"/>
  <c r="C475" i="1"/>
  <c r="B475" i="1"/>
  <c r="I474" i="1"/>
  <c r="H474" i="1"/>
  <c r="G474" i="1"/>
  <c r="F474" i="1"/>
  <c r="E474" i="1"/>
  <c r="D474" i="1"/>
  <c r="C474" i="1"/>
  <c r="B474" i="1"/>
  <c r="I473" i="1"/>
  <c r="H473" i="1"/>
  <c r="G473" i="1"/>
  <c r="F473" i="1"/>
  <c r="E473" i="1"/>
  <c r="D473" i="1"/>
  <c r="C473" i="1"/>
  <c r="B473" i="1"/>
  <c r="I472" i="1"/>
  <c r="H472" i="1"/>
  <c r="G472" i="1"/>
  <c r="F472" i="1"/>
  <c r="E472" i="1"/>
  <c r="D472" i="1"/>
  <c r="C472" i="1"/>
  <c r="B472" i="1"/>
  <c r="I471" i="1"/>
  <c r="H471" i="1"/>
  <c r="G471" i="1"/>
  <c r="F471" i="1"/>
  <c r="E471" i="1"/>
  <c r="D471" i="1"/>
  <c r="C471" i="1"/>
  <c r="B471" i="1"/>
  <c r="I470" i="1"/>
  <c r="H470" i="1"/>
  <c r="G470" i="1"/>
  <c r="F470" i="1"/>
  <c r="E470" i="1"/>
  <c r="D470" i="1"/>
  <c r="C470" i="1"/>
  <c r="B470" i="1"/>
  <c r="I469" i="1"/>
  <c r="H469" i="1"/>
  <c r="G469" i="1"/>
  <c r="F469" i="1"/>
  <c r="E469" i="1"/>
  <c r="D469" i="1"/>
  <c r="C469" i="1"/>
  <c r="B469" i="1"/>
  <c r="I466" i="1"/>
  <c r="H466" i="1"/>
  <c r="G466" i="1"/>
  <c r="F466" i="1"/>
  <c r="E466" i="1"/>
  <c r="D466" i="1"/>
  <c r="C466" i="1"/>
  <c r="B466" i="1"/>
  <c r="I465" i="1"/>
  <c r="H465" i="1"/>
  <c r="G465" i="1"/>
  <c r="F465" i="1"/>
  <c r="E465" i="1"/>
  <c r="D465" i="1"/>
  <c r="C465" i="1"/>
  <c r="B465" i="1"/>
  <c r="I464" i="1"/>
  <c r="H464" i="1"/>
  <c r="G464" i="1"/>
  <c r="F464" i="1"/>
  <c r="E464" i="1"/>
  <c r="D464" i="1"/>
  <c r="C464" i="1"/>
  <c r="B464" i="1"/>
  <c r="I463" i="1"/>
  <c r="H463" i="1"/>
  <c r="G463" i="1"/>
  <c r="F463" i="1"/>
  <c r="E463" i="1"/>
  <c r="D463" i="1"/>
  <c r="C463" i="1"/>
  <c r="B463" i="1"/>
  <c r="I462" i="1"/>
  <c r="H462" i="1"/>
  <c r="G462" i="1"/>
  <c r="F462" i="1"/>
  <c r="E462" i="1"/>
  <c r="D462" i="1"/>
  <c r="C462" i="1"/>
  <c r="B462" i="1"/>
  <c r="I461" i="1"/>
  <c r="H461" i="1"/>
  <c r="G461" i="1"/>
  <c r="F461" i="1"/>
  <c r="E461" i="1"/>
  <c r="D461" i="1"/>
  <c r="C461" i="1"/>
  <c r="B461" i="1"/>
  <c r="I460" i="1"/>
  <c r="H460" i="1"/>
  <c r="G460" i="1"/>
  <c r="F460" i="1"/>
  <c r="E460" i="1"/>
  <c r="D460" i="1"/>
  <c r="C460" i="1"/>
  <c r="B460" i="1"/>
  <c r="I459" i="1"/>
  <c r="H459" i="1"/>
  <c r="G459" i="1"/>
  <c r="F459" i="1"/>
  <c r="E459" i="1"/>
  <c r="D459" i="1"/>
  <c r="C459" i="1"/>
  <c r="B459" i="1"/>
  <c r="I458" i="1"/>
  <c r="H458" i="1"/>
  <c r="G458" i="1"/>
  <c r="F458" i="1"/>
  <c r="E458" i="1"/>
  <c r="D458" i="1"/>
  <c r="C458" i="1"/>
  <c r="B458" i="1"/>
  <c r="I457" i="1"/>
  <c r="H457" i="1"/>
  <c r="G457" i="1"/>
  <c r="F457" i="1"/>
  <c r="E457" i="1"/>
  <c r="D457" i="1"/>
  <c r="C457" i="1"/>
  <c r="B457" i="1"/>
  <c r="I456" i="1"/>
  <c r="H456" i="1"/>
  <c r="G456" i="1"/>
  <c r="F456" i="1"/>
  <c r="E456" i="1"/>
  <c r="D456" i="1"/>
  <c r="C456" i="1"/>
  <c r="B456" i="1"/>
  <c r="I454" i="1"/>
  <c r="H454" i="1"/>
  <c r="G454" i="1"/>
  <c r="F454" i="1"/>
  <c r="E454" i="1"/>
  <c r="D454" i="1"/>
  <c r="C454" i="1"/>
  <c r="B454" i="1"/>
  <c r="I453" i="1"/>
  <c r="H453" i="1"/>
  <c r="G453" i="1"/>
  <c r="F453" i="1"/>
  <c r="E453" i="1"/>
  <c r="D453" i="1"/>
  <c r="C453" i="1"/>
  <c r="B453" i="1"/>
  <c r="I452" i="1"/>
  <c r="H452" i="1"/>
  <c r="G452" i="1"/>
  <c r="F452" i="1"/>
  <c r="E452" i="1"/>
  <c r="D452" i="1"/>
  <c r="C452" i="1"/>
  <c r="B452" i="1"/>
  <c r="I451" i="1"/>
  <c r="H451" i="1"/>
  <c r="G451" i="1"/>
  <c r="F451" i="1"/>
  <c r="E451" i="1"/>
  <c r="D451" i="1"/>
  <c r="C451" i="1"/>
  <c r="B451" i="1"/>
  <c r="I450" i="1"/>
  <c r="H450" i="1"/>
  <c r="G450" i="1"/>
  <c r="F450" i="1"/>
  <c r="E450" i="1"/>
  <c r="D450" i="1"/>
  <c r="C450" i="1"/>
  <c r="B450" i="1"/>
  <c r="I449" i="1"/>
  <c r="H449" i="1"/>
  <c r="G449" i="1"/>
  <c r="F449" i="1"/>
  <c r="E449" i="1"/>
  <c r="D449" i="1"/>
  <c r="C449" i="1"/>
  <c r="B449" i="1"/>
  <c r="I448" i="1"/>
  <c r="H448" i="1"/>
  <c r="G448" i="1"/>
  <c r="F448" i="1"/>
  <c r="E448" i="1"/>
  <c r="D448" i="1"/>
  <c r="C448" i="1"/>
  <c r="B448" i="1"/>
  <c r="I447" i="1"/>
  <c r="H447" i="1"/>
  <c r="G447" i="1"/>
  <c r="F447" i="1"/>
  <c r="E447" i="1"/>
  <c r="D447" i="1"/>
  <c r="C447" i="1"/>
  <c r="B447" i="1"/>
  <c r="I446" i="1"/>
  <c r="H446" i="1"/>
  <c r="G446" i="1"/>
  <c r="F446" i="1"/>
  <c r="E446" i="1"/>
  <c r="D446" i="1"/>
  <c r="C446" i="1"/>
  <c r="B446" i="1"/>
  <c r="I445" i="1"/>
  <c r="H445" i="1"/>
  <c r="G445" i="1"/>
  <c r="F445" i="1"/>
  <c r="E445" i="1"/>
  <c r="D445" i="1"/>
  <c r="C445" i="1"/>
  <c r="B445" i="1"/>
  <c r="I444" i="1"/>
  <c r="H444" i="1"/>
  <c r="G444" i="1"/>
  <c r="F444" i="1"/>
  <c r="E444" i="1"/>
  <c r="D444" i="1"/>
  <c r="C444" i="1"/>
  <c r="B444" i="1"/>
  <c r="I442" i="1"/>
  <c r="H442" i="1"/>
  <c r="G442" i="1"/>
  <c r="F442" i="1"/>
  <c r="E442" i="1"/>
  <c r="D442" i="1"/>
  <c r="C442" i="1"/>
  <c r="B442" i="1"/>
  <c r="I441" i="1"/>
  <c r="H441" i="1"/>
  <c r="G441" i="1"/>
  <c r="F441" i="1"/>
  <c r="E441" i="1"/>
  <c r="D441" i="1"/>
  <c r="C441" i="1"/>
  <c r="B441" i="1"/>
  <c r="I440" i="1"/>
  <c r="H440" i="1"/>
  <c r="G440" i="1"/>
  <c r="F440" i="1"/>
  <c r="E440" i="1"/>
  <c r="D440" i="1"/>
  <c r="C440" i="1"/>
  <c r="B440" i="1"/>
  <c r="I439" i="1"/>
  <c r="H439" i="1"/>
  <c r="G439" i="1"/>
  <c r="F439" i="1"/>
  <c r="E439" i="1"/>
  <c r="D439" i="1"/>
  <c r="C439" i="1"/>
  <c r="B439" i="1"/>
  <c r="I438" i="1"/>
  <c r="H438" i="1"/>
  <c r="G438" i="1"/>
  <c r="F438" i="1"/>
  <c r="E438" i="1"/>
  <c r="D438" i="1"/>
  <c r="C438" i="1"/>
  <c r="B438" i="1"/>
  <c r="I437" i="1"/>
  <c r="H437" i="1"/>
  <c r="G437" i="1"/>
  <c r="F437" i="1"/>
  <c r="E437" i="1"/>
  <c r="D437" i="1"/>
  <c r="C437" i="1"/>
  <c r="B437" i="1"/>
  <c r="I436" i="1"/>
  <c r="H436" i="1"/>
  <c r="G436" i="1"/>
  <c r="F436" i="1"/>
  <c r="E436" i="1"/>
  <c r="D436" i="1"/>
  <c r="C436" i="1"/>
  <c r="B436" i="1"/>
  <c r="I435" i="1"/>
  <c r="H435" i="1"/>
  <c r="G435" i="1"/>
  <c r="F435" i="1"/>
  <c r="E435" i="1"/>
  <c r="D435" i="1"/>
  <c r="C435" i="1"/>
  <c r="B435" i="1"/>
  <c r="I434" i="1"/>
  <c r="H434" i="1"/>
  <c r="G434" i="1"/>
  <c r="F434" i="1"/>
  <c r="E434" i="1"/>
  <c r="D434" i="1"/>
  <c r="C434" i="1"/>
  <c r="B434" i="1"/>
  <c r="I433" i="1"/>
  <c r="H433" i="1"/>
  <c r="G433" i="1"/>
  <c r="F433" i="1"/>
  <c r="E433" i="1"/>
  <c r="D433" i="1"/>
  <c r="C433" i="1"/>
  <c r="B433" i="1"/>
  <c r="I431" i="1"/>
  <c r="H431" i="1"/>
  <c r="G431" i="1"/>
  <c r="F431" i="1"/>
  <c r="E431" i="1"/>
  <c r="D431" i="1"/>
  <c r="C431" i="1"/>
  <c r="B431" i="1"/>
  <c r="I429" i="1"/>
  <c r="H429" i="1"/>
  <c r="G429" i="1"/>
  <c r="F429" i="1"/>
  <c r="E429" i="1"/>
  <c r="D429" i="1"/>
  <c r="C429" i="1"/>
  <c r="B429" i="1"/>
  <c r="I418" i="1"/>
  <c r="H418" i="1"/>
  <c r="G418" i="1"/>
  <c r="F418" i="1"/>
  <c r="E418" i="1"/>
  <c r="D418" i="1"/>
  <c r="C418" i="1"/>
  <c r="B418" i="1"/>
  <c r="I416" i="1"/>
  <c r="H416" i="1"/>
  <c r="G416" i="1"/>
  <c r="F416" i="1"/>
  <c r="E416" i="1"/>
  <c r="D416" i="1"/>
  <c r="C416" i="1"/>
  <c r="B416" i="1"/>
  <c r="I414" i="1"/>
  <c r="H414" i="1"/>
  <c r="G414" i="1"/>
  <c r="F414" i="1"/>
  <c r="E414" i="1"/>
  <c r="D414" i="1"/>
  <c r="C414" i="1"/>
  <c r="B414" i="1"/>
  <c r="I412" i="1"/>
  <c r="H412" i="1"/>
  <c r="G412" i="1"/>
  <c r="F412" i="1"/>
  <c r="E412" i="1"/>
  <c r="D412" i="1"/>
  <c r="C412" i="1"/>
  <c r="B412" i="1"/>
  <c r="A166" i="1"/>
  <c r="A167" i="1"/>
  <c r="A168" i="1"/>
  <c r="A169" i="1"/>
  <c r="A170" i="1"/>
  <c r="A171" i="1"/>
  <c r="A172" i="1"/>
  <c r="A173" i="1"/>
  <c r="A174" i="1"/>
  <c r="A202" i="1"/>
  <c r="A216" i="1"/>
  <c r="A230" i="1"/>
  <c r="A244" i="1"/>
  <c r="A258" i="1"/>
  <c r="A272" i="1"/>
  <c r="A286" i="1"/>
  <c r="A300" i="1"/>
  <c r="A314" i="1"/>
  <c r="A328" i="1"/>
  <c r="A342" i="1"/>
  <c r="A356" i="1"/>
  <c r="A370" i="1"/>
  <c r="A384" i="1"/>
  <c r="A398" i="1"/>
  <c r="A197" i="1"/>
  <c r="A211" i="1"/>
  <c r="A225" i="1"/>
  <c r="A239" i="1"/>
  <c r="A253" i="1"/>
  <c r="A267" i="1"/>
  <c r="A281" i="1"/>
  <c r="A295" i="1"/>
  <c r="A309" i="1"/>
  <c r="A323" i="1"/>
  <c r="A337" i="1"/>
  <c r="A351" i="1"/>
  <c r="A365" i="1"/>
  <c r="A379" i="1"/>
  <c r="A393" i="1"/>
  <c r="A196" i="1"/>
  <c r="A210" i="1"/>
  <c r="A224" i="1"/>
  <c r="A238" i="1"/>
  <c r="A252" i="1"/>
  <c r="A266" i="1"/>
  <c r="A280" i="1"/>
  <c r="A294" i="1"/>
  <c r="A308" i="1"/>
  <c r="A322" i="1"/>
  <c r="A336" i="1"/>
  <c r="A350" i="1"/>
  <c r="A364" i="1"/>
  <c r="A378" i="1"/>
  <c r="A392" i="1"/>
  <c r="A195" i="1"/>
  <c r="A209" i="1"/>
  <c r="A223" i="1"/>
  <c r="A237" i="1"/>
  <c r="A251" i="1"/>
  <c r="A265" i="1"/>
  <c r="A279" i="1"/>
  <c r="A293" i="1"/>
  <c r="A307" i="1"/>
  <c r="A321" i="1"/>
  <c r="A335" i="1"/>
  <c r="A349" i="1"/>
  <c r="A363" i="1"/>
  <c r="A377" i="1"/>
  <c r="A391" i="1"/>
  <c r="A194" i="1"/>
  <c r="A208" i="1"/>
  <c r="A222" i="1"/>
  <c r="A236" i="1"/>
  <c r="A250" i="1"/>
  <c r="A264" i="1"/>
  <c r="A278" i="1"/>
  <c r="A292" i="1"/>
  <c r="A306" i="1"/>
  <c r="A320" i="1"/>
  <c r="A334" i="1"/>
  <c r="A348" i="1"/>
  <c r="A362" i="1"/>
  <c r="A376" i="1"/>
  <c r="A390" i="1"/>
  <c r="I390" i="1"/>
  <c r="I391" i="1"/>
  <c r="I392" i="1"/>
  <c r="I393" i="1"/>
  <c r="I398" i="1"/>
  <c r="H390" i="1"/>
  <c r="H391" i="1"/>
  <c r="H392" i="1"/>
  <c r="H393" i="1"/>
  <c r="H398" i="1"/>
  <c r="G390" i="1"/>
  <c r="G391" i="1"/>
  <c r="G392" i="1"/>
  <c r="G393" i="1"/>
  <c r="G398" i="1"/>
  <c r="F390" i="1"/>
  <c r="F391" i="1"/>
  <c r="F392" i="1"/>
  <c r="F393" i="1"/>
  <c r="F398" i="1"/>
  <c r="E390" i="1"/>
  <c r="E391" i="1"/>
  <c r="E392" i="1"/>
  <c r="E393" i="1"/>
  <c r="E398" i="1"/>
  <c r="D390" i="1"/>
  <c r="D391" i="1"/>
  <c r="D392" i="1"/>
  <c r="D393" i="1"/>
  <c r="D398" i="1"/>
  <c r="C390" i="1"/>
  <c r="C391" i="1"/>
  <c r="C392" i="1"/>
  <c r="C393" i="1"/>
  <c r="C398" i="1"/>
  <c r="B390" i="1"/>
  <c r="B391" i="1"/>
  <c r="B392" i="1"/>
  <c r="B393" i="1"/>
  <c r="B398" i="1"/>
  <c r="A201" i="1"/>
  <c r="A215" i="1"/>
  <c r="A229" i="1"/>
  <c r="A243" i="1"/>
  <c r="A257" i="1"/>
  <c r="A271" i="1"/>
  <c r="A285" i="1"/>
  <c r="A299" i="1"/>
  <c r="A313" i="1"/>
  <c r="A327" i="1"/>
  <c r="A341" i="1"/>
  <c r="A355" i="1"/>
  <c r="A369" i="1"/>
  <c r="A383" i="1"/>
  <c r="A397" i="1"/>
  <c r="I397" i="1"/>
  <c r="H397" i="1"/>
  <c r="G397" i="1"/>
  <c r="F397" i="1"/>
  <c r="E397" i="1"/>
  <c r="D397" i="1"/>
  <c r="C397" i="1"/>
  <c r="B397" i="1"/>
  <c r="A200" i="1"/>
  <c r="A214" i="1"/>
  <c r="A228" i="1"/>
  <c r="A242" i="1"/>
  <c r="A256" i="1"/>
  <c r="A270" i="1"/>
  <c r="A284" i="1"/>
  <c r="A298" i="1"/>
  <c r="A312" i="1"/>
  <c r="A326" i="1"/>
  <c r="A340" i="1"/>
  <c r="A354" i="1"/>
  <c r="A368" i="1"/>
  <c r="A382" i="1"/>
  <c r="A396" i="1"/>
  <c r="I396" i="1"/>
  <c r="H396" i="1"/>
  <c r="G396" i="1"/>
  <c r="F396" i="1"/>
  <c r="E396" i="1"/>
  <c r="D396" i="1"/>
  <c r="C396" i="1"/>
  <c r="B396" i="1"/>
  <c r="A199" i="1"/>
  <c r="A213" i="1"/>
  <c r="A227" i="1"/>
  <c r="A241" i="1"/>
  <c r="A255" i="1"/>
  <c r="A269" i="1"/>
  <c r="A283" i="1"/>
  <c r="A297" i="1"/>
  <c r="A311" i="1"/>
  <c r="A325" i="1"/>
  <c r="A339" i="1"/>
  <c r="A353" i="1"/>
  <c r="A367" i="1"/>
  <c r="A381" i="1"/>
  <c r="A395" i="1"/>
  <c r="I395" i="1"/>
  <c r="H395" i="1"/>
  <c r="G395" i="1"/>
  <c r="F395" i="1"/>
  <c r="E395" i="1"/>
  <c r="D395" i="1"/>
  <c r="C395" i="1"/>
  <c r="B395" i="1"/>
  <c r="A198" i="1"/>
  <c r="A212" i="1"/>
  <c r="A226" i="1"/>
  <c r="A240" i="1"/>
  <c r="A254" i="1"/>
  <c r="A268" i="1"/>
  <c r="A282" i="1"/>
  <c r="A296" i="1"/>
  <c r="A310" i="1"/>
  <c r="A324" i="1"/>
  <c r="A338" i="1"/>
  <c r="A352" i="1"/>
  <c r="A366" i="1"/>
  <c r="A380" i="1"/>
  <c r="A394" i="1"/>
  <c r="I394" i="1"/>
  <c r="H394" i="1"/>
  <c r="G394" i="1"/>
  <c r="F394" i="1"/>
  <c r="E394" i="1"/>
  <c r="D394" i="1"/>
  <c r="C394" i="1"/>
  <c r="B394" i="1"/>
  <c r="A388" i="1"/>
  <c r="I388" i="1"/>
  <c r="H388" i="1"/>
  <c r="G388" i="1"/>
  <c r="F388" i="1"/>
  <c r="E388" i="1"/>
  <c r="D388" i="1"/>
  <c r="C388" i="1"/>
  <c r="B388" i="1"/>
  <c r="A387" i="1"/>
  <c r="I376" i="1"/>
  <c r="I377" i="1"/>
  <c r="I378" i="1"/>
  <c r="I379" i="1"/>
  <c r="I380" i="1"/>
  <c r="I381" i="1"/>
  <c r="I382" i="1"/>
  <c r="I383" i="1"/>
  <c r="I384" i="1"/>
  <c r="H376" i="1"/>
  <c r="H377" i="1"/>
  <c r="H378" i="1"/>
  <c r="H379" i="1"/>
  <c r="H380" i="1"/>
  <c r="H381" i="1"/>
  <c r="H382" i="1"/>
  <c r="H383" i="1"/>
  <c r="H384" i="1"/>
  <c r="G376" i="1"/>
  <c r="G377" i="1"/>
  <c r="G378" i="1"/>
  <c r="G379" i="1"/>
  <c r="G380" i="1"/>
  <c r="G381" i="1"/>
  <c r="G382" i="1"/>
  <c r="G383" i="1"/>
  <c r="G384" i="1"/>
  <c r="F376" i="1"/>
  <c r="F377" i="1"/>
  <c r="F378" i="1"/>
  <c r="F379" i="1"/>
  <c r="F380" i="1"/>
  <c r="F381" i="1"/>
  <c r="F382" i="1"/>
  <c r="F383" i="1"/>
  <c r="F384" i="1"/>
  <c r="E376" i="1"/>
  <c r="E377" i="1"/>
  <c r="E378" i="1"/>
  <c r="E379" i="1"/>
  <c r="E380" i="1"/>
  <c r="E381" i="1"/>
  <c r="E382" i="1"/>
  <c r="E383" i="1"/>
  <c r="E384" i="1"/>
  <c r="D376" i="1"/>
  <c r="D377" i="1"/>
  <c r="D378" i="1"/>
  <c r="D379" i="1"/>
  <c r="D380" i="1"/>
  <c r="D381" i="1"/>
  <c r="D382" i="1"/>
  <c r="D383" i="1"/>
  <c r="D384" i="1"/>
  <c r="C376" i="1"/>
  <c r="C377" i="1"/>
  <c r="C378" i="1"/>
  <c r="C379" i="1"/>
  <c r="C380" i="1"/>
  <c r="C381" i="1"/>
  <c r="C382" i="1"/>
  <c r="C383" i="1"/>
  <c r="C384" i="1"/>
  <c r="B376" i="1"/>
  <c r="B377" i="1"/>
  <c r="B378" i="1"/>
  <c r="B379" i="1"/>
  <c r="B380" i="1"/>
  <c r="B381" i="1"/>
  <c r="B382" i="1"/>
  <c r="B383" i="1"/>
  <c r="B384" i="1"/>
  <c r="A373" i="1"/>
  <c r="I370" i="1"/>
  <c r="H370" i="1"/>
  <c r="G370" i="1"/>
  <c r="F370" i="1"/>
  <c r="E370" i="1"/>
  <c r="D370" i="1"/>
  <c r="C370" i="1"/>
  <c r="B370" i="1"/>
  <c r="I369" i="1"/>
  <c r="H369" i="1"/>
  <c r="G369" i="1"/>
  <c r="F369" i="1"/>
  <c r="E369" i="1"/>
  <c r="D369" i="1"/>
  <c r="C369" i="1"/>
  <c r="B369" i="1"/>
  <c r="I368" i="1"/>
  <c r="H368" i="1"/>
  <c r="G368" i="1"/>
  <c r="F368" i="1"/>
  <c r="E368" i="1"/>
  <c r="D368" i="1"/>
  <c r="C368" i="1"/>
  <c r="B368" i="1"/>
  <c r="I367" i="1"/>
  <c r="H367" i="1"/>
  <c r="G367" i="1"/>
  <c r="F367" i="1"/>
  <c r="E367" i="1"/>
  <c r="D367" i="1"/>
  <c r="C367" i="1"/>
  <c r="B367" i="1"/>
  <c r="I366" i="1"/>
  <c r="H366" i="1"/>
  <c r="G366" i="1"/>
  <c r="F366" i="1"/>
  <c r="E366" i="1"/>
  <c r="D366" i="1"/>
  <c r="C366" i="1"/>
  <c r="B366" i="1"/>
  <c r="I365" i="1"/>
  <c r="H365" i="1"/>
  <c r="G365" i="1"/>
  <c r="F365" i="1"/>
  <c r="E365" i="1"/>
  <c r="D365" i="1"/>
  <c r="C365" i="1"/>
  <c r="B365" i="1"/>
  <c r="I364" i="1"/>
  <c r="H364" i="1"/>
  <c r="G364" i="1"/>
  <c r="F364" i="1"/>
  <c r="E364" i="1"/>
  <c r="D364" i="1"/>
  <c r="C364" i="1"/>
  <c r="B364" i="1"/>
  <c r="I363" i="1"/>
  <c r="H363" i="1"/>
  <c r="G363" i="1"/>
  <c r="F363" i="1"/>
  <c r="E363" i="1"/>
  <c r="D363" i="1"/>
  <c r="C363" i="1"/>
  <c r="B363" i="1"/>
  <c r="I362" i="1"/>
  <c r="H362" i="1"/>
  <c r="G362" i="1"/>
  <c r="F362" i="1"/>
  <c r="E362" i="1"/>
  <c r="D362" i="1"/>
  <c r="C362" i="1"/>
  <c r="B362" i="1"/>
  <c r="I356" i="1"/>
  <c r="H356" i="1"/>
  <c r="G356" i="1"/>
  <c r="F356" i="1"/>
  <c r="E356" i="1"/>
  <c r="D356" i="1"/>
  <c r="C356" i="1"/>
  <c r="B356" i="1"/>
  <c r="I355" i="1"/>
  <c r="H355" i="1"/>
  <c r="G355" i="1"/>
  <c r="F355" i="1"/>
  <c r="E355" i="1"/>
  <c r="D355" i="1"/>
  <c r="C355" i="1"/>
  <c r="B355" i="1"/>
  <c r="I354" i="1"/>
  <c r="H354" i="1"/>
  <c r="G354" i="1"/>
  <c r="F354" i="1"/>
  <c r="E354" i="1"/>
  <c r="D354" i="1"/>
  <c r="C354" i="1"/>
  <c r="B354" i="1"/>
  <c r="I353" i="1"/>
  <c r="H353" i="1"/>
  <c r="G353" i="1"/>
  <c r="F353" i="1"/>
  <c r="E353" i="1"/>
  <c r="D353" i="1"/>
  <c r="C353" i="1"/>
  <c r="B353" i="1"/>
  <c r="I352" i="1"/>
  <c r="H352" i="1"/>
  <c r="G352" i="1"/>
  <c r="F352" i="1"/>
  <c r="E352" i="1"/>
  <c r="D352" i="1"/>
  <c r="C352" i="1"/>
  <c r="B352" i="1"/>
  <c r="I351" i="1"/>
  <c r="H351" i="1"/>
  <c r="G351" i="1"/>
  <c r="F351" i="1"/>
  <c r="E351" i="1"/>
  <c r="D351" i="1"/>
  <c r="C351" i="1"/>
  <c r="B351" i="1"/>
  <c r="I350" i="1"/>
  <c r="H350" i="1"/>
  <c r="G350" i="1"/>
  <c r="F350" i="1"/>
  <c r="E350" i="1"/>
  <c r="D350" i="1"/>
  <c r="C350" i="1"/>
  <c r="B350" i="1"/>
  <c r="I349" i="1"/>
  <c r="H349" i="1"/>
  <c r="G349" i="1"/>
  <c r="F349" i="1"/>
  <c r="E349" i="1"/>
  <c r="D349" i="1"/>
  <c r="C349" i="1"/>
  <c r="B349" i="1"/>
  <c r="I348" i="1"/>
  <c r="H348" i="1"/>
  <c r="G348" i="1"/>
  <c r="F348" i="1"/>
  <c r="E348" i="1"/>
  <c r="D348" i="1"/>
  <c r="C348" i="1"/>
  <c r="B348" i="1"/>
  <c r="A345" i="1"/>
  <c r="I333" i="1"/>
  <c r="I334" i="1"/>
  <c r="I335" i="1"/>
  <c r="I336" i="1"/>
  <c r="I337" i="1"/>
  <c r="I338" i="1"/>
  <c r="I339" i="1"/>
  <c r="I340" i="1"/>
  <c r="I341" i="1"/>
  <c r="I342" i="1"/>
  <c r="H333" i="1"/>
  <c r="H334" i="1"/>
  <c r="H335" i="1"/>
  <c r="H336" i="1"/>
  <c r="H337" i="1"/>
  <c r="H338" i="1"/>
  <c r="H339" i="1"/>
  <c r="H340" i="1"/>
  <c r="H341" i="1"/>
  <c r="H342" i="1"/>
  <c r="G333" i="1"/>
  <c r="G334" i="1"/>
  <c r="G335" i="1"/>
  <c r="G336" i="1"/>
  <c r="G337" i="1"/>
  <c r="G338" i="1"/>
  <c r="G339" i="1"/>
  <c r="G340" i="1"/>
  <c r="G341" i="1"/>
  <c r="G342" i="1"/>
  <c r="F333" i="1"/>
  <c r="F334" i="1"/>
  <c r="F335" i="1"/>
  <c r="F336" i="1"/>
  <c r="F337" i="1"/>
  <c r="F338" i="1"/>
  <c r="F339" i="1"/>
  <c r="F340" i="1"/>
  <c r="F341" i="1"/>
  <c r="F342" i="1"/>
  <c r="E333" i="1"/>
  <c r="E334" i="1"/>
  <c r="E335" i="1"/>
  <c r="E336" i="1"/>
  <c r="E337" i="1"/>
  <c r="E338" i="1"/>
  <c r="E339" i="1"/>
  <c r="E340" i="1"/>
  <c r="E341" i="1"/>
  <c r="E342" i="1"/>
  <c r="D333" i="1"/>
  <c r="D334" i="1"/>
  <c r="D335" i="1"/>
  <c r="D336" i="1"/>
  <c r="D337" i="1"/>
  <c r="D338" i="1"/>
  <c r="D339" i="1"/>
  <c r="D340" i="1"/>
  <c r="D341" i="1"/>
  <c r="D342" i="1"/>
  <c r="C333" i="1"/>
  <c r="C334" i="1"/>
  <c r="C335" i="1"/>
  <c r="C336" i="1"/>
  <c r="C337" i="1"/>
  <c r="C338" i="1"/>
  <c r="C339" i="1"/>
  <c r="C340" i="1"/>
  <c r="C341" i="1"/>
  <c r="C342" i="1"/>
  <c r="B333" i="1"/>
  <c r="B334" i="1"/>
  <c r="B335" i="1"/>
  <c r="B336" i="1"/>
  <c r="B337" i="1"/>
  <c r="B338" i="1"/>
  <c r="B339" i="1"/>
  <c r="B340" i="1"/>
  <c r="B341" i="1"/>
  <c r="B342" i="1"/>
  <c r="A331" i="1"/>
  <c r="I320" i="1"/>
  <c r="I321" i="1"/>
  <c r="I322" i="1"/>
  <c r="I323" i="1"/>
  <c r="I151" i="1"/>
  <c r="I324" i="1"/>
  <c r="I325" i="1"/>
  <c r="I326" i="1"/>
  <c r="I327" i="1"/>
  <c r="I328" i="1"/>
  <c r="H320" i="1"/>
  <c r="H321" i="1"/>
  <c r="H322" i="1"/>
  <c r="H323" i="1"/>
  <c r="H151" i="1"/>
  <c r="H324" i="1"/>
  <c r="H325" i="1"/>
  <c r="H326" i="1"/>
  <c r="H327" i="1"/>
  <c r="H328" i="1"/>
  <c r="G320" i="1"/>
  <c r="G321" i="1"/>
  <c r="G322" i="1"/>
  <c r="G323" i="1"/>
  <c r="G151" i="1"/>
  <c r="G324" i="1"/>
  <c r="G325" i="1"/>
  <c r="G326" i="1"/>
  <c r="G327" i="1"/>
  <c r="G328" i="1"/>
  <c r="F320" i="1"/>
  <c r="F321" i="1"/>
  <c r="F322" i="1"/>
  <c r="F323" i="1"/>
  <c r="F151" i="1"/>
  <c r="F324" i="1"/>
  <c r="F325" i="1"/>
  <c r="F326" i="1"/>
  <c r="F327" i="1"/>
  <c r="F328" i="1"/>
  <c r="E320" i="1"/>
  <c r="E321" i="1"/>
  <c r="E322" i="1"/>
  <c r="E323" i="1"/>
  <c r="E151" i="1"/>
  <c r="E324" i="1"/>
  <c r="E325" i="1"/>
  <c r="E326" i="1"/>
  <c r="E327" i="1"/>
  <c r="E328" i="1"/>
  <c r="D320" i="1"/>
  <c r="D321" i="1"/>
  <c r="D322" i="1"/>
  <c r="D323" i="1"/>
  <c r="D151" i="1"/>
  <c r="D324" i="1"/>
  <c r="D325" i="1"/>
  <c r="D326" i="1"/>
  <c r="D327" i="1"/>
  <c r="D328" i="1"/>
  <c r="C320" i="1"/>
  <c r="C321" i="1"/>
  <c r="C322" i="1"/>
  <c r="C323" i="1"/>
  <c r="C151" i="1"/>
  <c r="C324" i="1"/>
  <c r="C325" i="1"/>
  <c r="C326" i="1"/>
  <c r="C327" i="1"/>
  <c r="C328" i="1"/>
  <c r="B320" i="1"/>
  <c r="B321" i="1"/>
  <c r="B322" i="1"/>
  <c r="B323" i="1"/>
  <c r="B151" i="1"/>
  <c r="B324" i="1"/>
  <c r="B325" i="1"/>
  <c r="B326" i="1"/>
  <c r="B327" i="1"/>
  <c r="B328" i="1"/>
  <c r="I314" i="1"/>
  <c r="H314" i="1"/>
  <c r="G314" i="1"/>
  <c r="F314" i="1"/>
  <c r="E314" i="1"/>
  <c r="D314" i="1"/>
  <c r="C314" i="1"/>
  <c r="B314" i="1"/>
  <c r="I313" i="1"/>
  <c r="H313" i="1"/>
  <c r="G313" i="1"/>
  <c r="F313" i="1"/>
  <c r="E313" i="1"/>
  <c r="D313" i="1"/>
  <c r="C313" i="1"/>
  <c r="B313" i="1"/>
  <c r="I312" i="1"/>
  <c r="H312" i="1"/>
  <c r="G312" i="1"/>
  <c r="F312" i="1"/>
  <c r="E312" i="1"/>
  <c r="D312" i="1"/>
  <c r="C312" i="1"/>
  <c r="B312" i="1"/>
  <c r="I311" i="1"/>
  <c r="H311" i="1"/>
  <c r="G311" i="1"/>
  <c r="F311" i="1"/>
  <c r="E311" i="1"/>
  <c r="D311" i="1"/>
  <c r="C311" i="1"/>
  <c r="B311" i="1"/>
  <c r="I310" i="1"/>
  <c r="H310" i="1"/>
  <c r="G310" i="1"/>
  <c r="F310" i="1"/>
  <c r="E310" i="1"/>
  <c r="D310" i="1"/>
  <c r="C310" i="1"/>
  <c r="B310" i="1"/>
  <c r="I309" i="1"/>
  <c r="H309" i="1"/>
  <c r="G309" i="1"/>
  <c r="F309" i="1"/>
  <c r="E309" i="1"/>
  <c r="D309" i="1"/>
  <c r="C309" i="1"/>
  <c r="B309" i="1"/>
  <c r="I308" i="1"/>
  <c r="H308" i="1"/>
  <c r="G308" i="1"/>
  <c r="F308" i="1"/>
  <c r="E308" i="1"/>
  <c r="D308" i="1"/>
  <c r="C308" i="1"/>
  <c r="B308" i="1"/>
  <c r="I307" i="1"/>
  <c r="H307" i="1"/>
  <c r="G307" i="1"/>
  <c r="F307" i="1"/>
  <c r="E307" i="1"/>
  <c r="D307" i="1"/>
  <c r="C307" i="1"/>
  <c r="B307" i="1"/>
  <c r="I306" i="1"/>
  <c r="H306" i="1"/>
  <c r="G306" i="1"/>
  <c r="F306" i="1"/>
  <c r="E306" i="1"/>
  <c r="D306" i="1"/>
  <c r="C306" i="1"/>
  <c r="B306" i="1"/>
  <c r="I304" i="1"/>
  <c r="H304" i="1"/>
  <c r="G304" i="1"/>
  <c r="F304" i="1"/>
  <c r="E304" i="1"/>
  <c r="D304" i="1"/>
  <c r="C304" i="1"/>
  <c r="B304" i="1"/>
  <c r="I292" i="1"/>
  <c r="I293" i="1"/>
  <c r="I294" i="1"/>
  <c r="I295" i="1"/>
  <c r="I296" i="1"/>
  <c r="I297" i="1"/>
  <c r="I298" i="1"/>
  <c r="I299" i="1"/>
  <c r="I300" i="1"/>
  <c r="H292" i="1"/>
  <c r="H293" i="1"/>
  <c r="H294" i="1"/>
  <c r="H295" i="1"/>
  <c r="H296" i="1"/>
  <c r="H297" i="1"/>
  <c r="H298" i="1"/>
  <c r="H299" i="1"/>
  <c r="H300" i="1"/>
  <c r="G292" i="1"/>
  <c r="G293" i="1"/>
  <c r="G294" i="1"/>
  <c r="G295" i="1"/>
  <c r="G296" i="1"/>
  <c r="G297" i="1"/>
  <c r="G298" i="1"/>
  <c r="G299" i="1"/>
  <c r="G300" i="1"/>
  <c r="F292" i="1"/>
  <c r="F293" i="1"/>
  <c r="F294" i="1"/>
  <c r="F295" i="1"/>
  <c r="F296" i="1"/>
  <c r="F297" i="1"/>
  <c r="F298" i="1"/>
  <c r="F299" i="1"/>
  <c r="F300" i="1"/>
  <c r="E292" i="1"/>
  <c r="E293" i="1"/>
  <c r="E294" i="1"/>
  <c r="E295" i="1"/>
  <c r="E296" i="1"/>
  <c r="E297" i="1"/>
  <c r="E298" i="1"/>
  <c r="E299" i="1"/>
  <c r="E300" i="1"/>
  <c r="D292" i="1"/>
  <c r="D293" i="1"/>
  <c r="D294" i="1"/>
  <c r="D295" i="1"/>
  <c r="D296" i="1"/>
  <c r="D297" i="1"/>
  <c r="D298" i="1"/>
  <c r="D299" i="1"/>
  <c r="D300" i="1"/>
  <c r="C292" i="1"/>
  <c r="C293" i="1"/>
  <c r="C294" i="1"/>
  <c r="C295" i="1"/>
  <c r="C296" i="1"/>
  <c r="C297" i="1"/>
  <c r="C298" i="1"/>
  <c r="C299" i="1"/>
  <c r="C300" i="1"/>
  <c r="B292" i="1"/>
  <c r="B293" i="1"/>
  <c r="B294" i="1"/>
  <c r="B295" i="1"/>
  <c r="B296" i="1"/>
  <c r="B297" i="1"/>
  <c r="B298" i="1"/>
  <c r="B299" i="1"/>
  <c r="B300" i="1"/>
  <c r="I290" i="1"/>
  <c r="H290" i="1"/>
  <c r="G290" i="1"/>
  <c r="F290" i="1"/>
  <c r="E290" i="1"/>
  <c r="D290" i="1"/>
  <c r="C290" i="1"/>
  <c r="B290" i="1"/>
  <c r="I286" i="1"/>
  <c r="H286" i="1"/>
  <c r="G286" i="1"/>
  <c r="F286" i="1"/>
  <c r="E286" i="1"/>
  <c r="D286" i="1"/>
  <c r="C286" i="1"/>
  <c r="B286" i="1"/>
  <c r="I285" i="1"/>
  <c r="H285" i="1"/>
  <c r="G285" i="1"/>
  <c r="F285" i="1"/>
  <c r="E285" i="1"/>
  <c r="D285" i="1"/>
  <c r="C285" i="1"/>
  <c r="B285" i="1"/>
  <c r="I284" i="1"/>
  <c r="H284" i="1"/>
  <c r="G284" i="1"/>
  <c r="F284" i="1"/>
  <c r="E284" i="1"/>
  <c r="D284" i="1"/>
  <c r="C284" i="1"/>
  <c r="B284" i="1"/>
  <c r="I283" i="1"/>
  <c r="H283" i="1"/>
  <c r="G283" i="1"/>
  <c r="F283" i="1"/>
  <c r="E283" i="1"/>
  <c r="D283" i="1"/>
  <c r="C283" i="1"/>
  <c r="B283" i="1"/>
  <c r="I282" i="1"/>
  <c r="H282" i="1"/>
  <c r="G282" i="1"/>
  <c r="F282" i="1"/>
  <c r="E282" i="1"/>
  <c r="D282" i="1"/>
  <c r="C282" i="1"/>
  <c r="B282" i="1"/>
  <c r="I281" i="1"/>
  <c r="H281" i="1"/>
  <c r="G281" i="1"/>
  <c r="F281" i="1"/>
  <c r="E281" i="1"/>
  <c r="D281" i="1"/>
  <c r="C281" i="1"/>
  <c r="B281" i="1"/>
  <c r="I280" i="1"/>
  <c r="H280" i="1"/>
  <c r="G280" i="1"/>
  <c r="F280" i="1"/>
  <c r="E280" i="1"/>
  <c r="D280" i="1"/>
  <c r="C280" i="1"/>
  <c r="B280" i="1"/>
  <c r="I279" i="1"/>
  <c r="H279" i="1"/>
  <c r="G279" i="1"/>
  <c r="F279" i="1"/>
  <c r="E279" i="1"/>
  <c r="D279" i="1"/>
  <c r="C279" i="1"/>
  <c r="B279" i="1"/>
  <c r="I278" i="1"/>
  <c r="H278" i="1"/>
  <c r="G278" i="1"/>
  <c r="F278" i="1"/>
  <c r="E278" i="1"/>
  <c r="D278" i="1"/>
  <c r="C278" i="1"/>
  <c r="B278" i="1"/>
  <c r="I192" i="1"/>
  <c r="I276" i="1"/>
  <c r="H192" i="1"/>
  <c r="H276" i="1"/>
  <c r="G192" i="1"/>
  <c r="G276" i="1"/>
  <c r="F192" i="1"/>
  <c r="F276" i="1"/>
  <c r="E192" i="1"/>
  <c r="E276" i="1"/>
  <c r="D192" i="1"/>
  <c r="D276" i="1"/>
  <c r="C192" i="1"/>
  <c r="C276" i="1"/>
  <c r="B192" i="1"/>
  <c r="B276" i="1"/>
  <c r="A275" i="1"/>
  <c r="I272" i="1"/>
  <c r="H272" i="1"/>
  <c r="G272" i="1"/>
  <c r="F272" i="1"/>
  <c r="E272" i="1"/>
  <c r="D272" i="1"/>
  <c r="C272" i="1"/>
  <c r="B272" i="1"/>
  <c r="I271" i="1"/>
  <c r="H271" i="1"/>
  <c r="G271" i="1"/>
  <c r="F271" i="1"/>
  <c r="E271" i="1"/>
  <c r="D271" i="1"/>
  <c r="C271" i="1"/>
  <c r="B271" i="1"/>
  <c r="I270" i="1"/>
  <c r="H270" i="1"/>
  <c r="G270" i="1"/>
  <c r="F270" i="1"/>
  <c r="E270" i="1"/>
  <c r="D270" i="1"/>
  <c r="C270" i="1"/>
  <c r="B270" i="1"/>
  <c r="I269" i="1"/>
  <c r="H269" i="1"/>
  <c r="G269" i="1"/>
  <c r="F269" i="1"/>
  <c r="E269" i="1"/>
  <c r="D269" i="1"/>
  <c r="C269" i="1"/>
  <c r="B269" i="1"/>
  <c r="I268" i="1"/>
  <c r="H268" i="1"/>
  <c r="G268" i="1"/>
  <c r="F268" i="1"/>
  <c r="E268" i="1"/>
  <c r="D268" i="1"/>
  <c r="C268" i="1"/>
  <c r="B268" i="1"/>
  <c r="I267" i="1"/>
  <c r="H267" i="1"/>
  <c r="G267" i="1"/>
  <c r="F267" i="1"/>
  <c r="E267" i="1"/>
  <c r="D267" i="1"/>
  <c r="C267" i="1"/>
  <c r="B267" i="1"/>
  <c r="I266" i="1"/>
  <c r="H266" i="1"/>
  <c r="G266" i="1"/>
  <c r="F266" i="1"/>
  <c r="E266" i="1"/>
  <c r="D266" i="1"/>
  <c r="C266" i="1"/>
  <c r="B266" i="1"/>
  <c r="I265" i="1"/>
  <c r="H265" i="1"/>
  <c r="G265" i="1"/>
  <c r="F265" i="1"/>
  <c r="E265" i="1"/>
  <c r="D265" i="1"/>
  <c r="C265" i="1"/>
  <c r="B265" i="1"/>
  <c r="I264" i="1"/>
  <c r="H264" i="1"/>
  <c r="G264" i="1"/>
  <c r="F264" i="1"/>
  <c r="E264" i="1"/>
  <c r="D264" i="1"/>
  <c r="C264" i="1"/>
  <c r="B264" i="1"/>
  <c r="I263" i="1"/>
  <c r="H263" i="1"/>
  <c r="G263" i="1"/>
  <c r="F263" i="1"/>
  <c r="E263" i="1"/>
  <c r="D263" i="1"/>
  <c r="C263" i="1"/>
  <c r="B263" i="1"/>
  <c r="I262" i="1"/>
  <c r="H262" i="1"/>
  <c r="G262" i="1"/>
  <c r="F262" i="1"/>
  <c r="E262" i="1"/>
  <c r="D262" i="1"/>
  <c r="C262" i="1"/>
  <c r="B262" i="1"/>
  <c r="A261" i="1"/>
  <c r="I248" i="1"/>
  <c r="I249" i="1"/>
  <c r="I250" i="1"/>
  <c r="I251" i="1"/>
  <c r="I252" i="1"/>
  <c r="I253" i="1"/>
  <c r="I254" i="1"/>
  <c r="I255" i="1"/>
  <c r="I256" i="1"/>
  <c r="I257" i="1"/>
  <c r="I258" i="1"/>
  <c r="H248" i="1"/>
  <c r="H249" i="1"/>
  <c r="H250" i="1"/>
  <c r="H251" i="1"/>
  <c r="H252" i="1"/>
  <c r="H253" i="1"/>
  <c r="H254" i="1"/>
  <c r="H255" i="1"/>
  <c r="H256" i="1"/>
  <c r="H257" i="1"/>
  <c r="H258" i="1"/>
  <c r="G248" i="1"/>
  <c r="G249" i="1"/>
  <c r="G250" i="1"/>
  <c r="G251" i="1"/>
  <c r="G252" i="1"/>
  <c r="G253" i="1"/>
  <c r="G254" i="1"/>
  <c r="G255" i="1"/>
  <c r="G256" i="1"/>
  <c r="G257" i="1"/>
  <c r="G258" i="1"/>
  <c r="F248" i="1"/>
  <c r="F249" i="1"/>
  <c r="F250" i="1"/>
  <c r="F251" i="1"/>
  <c r="F252" i="1"/>
  <c r="F253" i="1"/>
  <c r="F254" i="1"/>
  <c r="F255" i="1"/>
  <c r="F256" i="1"/>
  <c r="F257" i="1"/>
  <c r="F258" i="1"/>
  <c r="E248" i="1"/>
  <c r="E249" i="1"/>
  <c r="E250" i="1"/>
  <c r="E251" i="1"/>
  <c r="E252" i="1"/>
  <c r="E253" i="1"/>
  <c r="E254" i="1"/>
  <c r="E255" i="1"/>
  <c r="E256" i="1"/>
  <c r="E257" i="1"/>
  <c r="E258" i="1"/>
  <c r="D248" i="1"/>
  <c r="D249" i="1"/>
  <c r="D250" i="1"/>
  <c r="D251" i="1"/>
  <c r="D252" i="1"/>
  <c r="D253" i="1"/>
  <c r="D254" i="1"/>
  <c r="D255" i="1"/>
  <c r="D256" i="1"/>
  <c r="D257" i="1"/>
  <c r="D258" i="1"/>
  <c r="C248" i="1"/>
  <c r="C249" i="1"/>
  <c r="C250" i="1"/>
  <c r="C251" i="1"/>
  <c r="C252" i="1"/>
  <c r="C253" i="1"/>
  <c r="C254" i="1"/>
  <c r="C255" i="1"/>
  <c r="C256" i="1"/>
  <c r="C257" i="1"/>
  <c r="C258" i="1"/>
  <c r="B248" i="1"/>
  <c r="B249" i="1"/>
  <c r="B250" i="1"/>
  <c r="B251" i="1"/>
  <c r="B252" i="1"/>
  <c r="B253" i="1"/>
  <c r="B254" i="1"/>
  <c r="B255" i="1"/>
  <c r="B256" i="1"/>
  <c r="B257" i="1"/>
  <c r="B258" i="1"/>
  <c r="I244" i="1"/>
  <c r="H244" i="1"/>
  <c r="G244" i="1"/>
  <c r="F244" i="1"/>
  <c r="E244" i="1"/>
  <c r="D244" i="1"/>
  <c r="C244" i="1"/>
  <c r="B244" i="1"/>
  <c r="I243" i="1"/>
  <c r="H243" i="1"/>
  <c r="G243" i="1"/>
  <c r="F243" i="1"/>
  <c r="E243" i="1"/>
  <c r="D243" i="1"/>
  <c r="C243" i="1"/>
  <c r="B243" i="1"/>
  <c r="I242" i="1"/>
  <c r="H242" i="1"/>
  <c r="G242" i="1"/>
  <c r="F242" i="1"/>
  <c r="E242" i="1"/>
  <c r="D242" i="1"/>
  <c r="C242" i="1"/>
  <c r="B242" i="1"/>
  <c r="I241" i="1"/>
  <c r="H241" i="1"/>
  <c r="G241" i="1"/>
  <c r="F241" i="1"/>
  <c r="E241" i="1"/>
  <c r="D241" i="1"/>
  <c r="C241" i="1"/>
  <c r="B241" i="1"/>
  <c r="I240" i="1"/>
  <c r="H240" i="1"/>
  <c r="G240" i="1"/>
  <c r="F240" i="1"/>
  <c r="E240" i="1"/>
  <c r="D240" i="1"/>
  <c r="C240" i="1"/>
  <c r="B240" i="1"/>
  <c r="I239" i="1"/>
  <c r="H239" i="1"/>
  <c r="G239" i="1"/>
  <c r="F239" i="1"/>
  <c r="E239" i="1"/>
  <c r="D239" i="1"/>
  <c r="C239" i="1"/>
  <c r="B239" i="1"/>
  <c r="I238" i="1"/>
  <c r="H238" i="1"/>
  <c r="G238" i="1"/>
  <c r="F238" i="1"/>
  <c r="E238" i="1"/>
  <c r="D238" i="1"/>
  <c r="C238" i="1"/>
  <c r="B238" i="1"/>
  <c r="I237" i="1"/>
  <c r="H237" i="1"/>
  <c r="G237" i="1"/>
  <c r="F237" i="1"/>
  <c r="E237" i="1"/>
  <c r="D237" i="1"/>
  <c r="C237" i="1"/>
  <c r="B237" i="1"/>
  <c r="I236" i="1"/>
  <c r="H236" i="1"/>
  <c r="G236" i="1"/>
  <c r="F236" i="1"/>
  <c r="E236" i="1"/>
  <c r="D236" i="1"/>
  <c r="C236" i="1"/>
  <c r="B236" i="1"/>
  <c r="I235" i="1"/>
  <c r="H235" i="1"/>
  <c r="G235" i="1"/>
  <c r="F235" i="1"/>
  <c r="E235" i="1"/>
  <c r="D235" i="1"/>
  <c r="C235" i="1"/>
  <c r="B235" i="1"/>
  <c r="I234" i="1"/>
  <c r="H234" i="1"/>
  <c r="G234" i="1"/>
  <c r="F234" i="1"/>
  <c r="E234" i="1"/>
  <c r="D234" i="1"/>
  <c r="C234" i="1"/>
  <c r="B234" i="1"/>
  <c r="A233" i="1"/>
  <c r="I220" i="1"/>
  <c r="H220" i="1"/>
  <c r="G220" i="1"/>
  <c r="F220" i="1"/>
  <c r="E220" i="1"/>
  <c r="D220" i="1"/>
  <c r="C220" i="1"/>
  <c r="B220" i="1"/>
  <c r="A219" i="1"/>
  <c r="I206" i="1"/>
  <c r="H206" i="1"/>
  <c r="G206" i="1"/>
  <c r="F206" i="1"/>
  <c r="E206" i="1"/>
  <c r="D206" i="1"/>
  <c r="C206" i="1"/>
  <c r="B206" i="1"/>
  <c r="I202" i="1"/>
  <c r="H202" i="1"/>
  <c r="G202" i="1"/>
  <c r="F202" i="1"/>
  <c r="E202" i="1"/>
  <c r="D202" i="1"/>
  <c r="C202" i="1"/>
  <c r="B202" i="1"/>
  <c r="I201" i="1"/>
  <c r="H201" i="1"/>
  <c r="G201" i="1"/>
  <c r="F201" i="1"/>
  <c r="E201" i="1"/>
  <c r="D201" i="1"/>
  <c r="C201" i="1"/>
  <c r="B201" i="1"/>
  <c r="I200" i="1"/>
  <c r="H200" i="1"/>
  <c r="G200" i="1"/>
  <c r="F200" i="1"/>
  <c r="E200" i="1"/>
  <c r="D200" i="1"/>
  <c r="C200" i="1"/>
  <c r="B200" i="1"/>
  <c r="I199" i="1"/>
  <c r="H199" i="1"/>
  <c r="G199" i="1"/>
  <c r="F199" i="1"/>
  <c r="E199" i="1"/>
  <c r="D199" i="1"/>
  <c r="C199" i="1"/>
  <c r="B199" i="1"/>
  <c r="I198" i="1"/>
  <c r="H198" i="1"/>
  <c r="G198" i="1"/>
  <c r="F198" i="1"/>
  <c r="E198" i="1"/>
  <c r="D198" i="1"/>
  <c r="C198" i="1"/>
  <c r="B198" i="1"/>
  <c r="I197" i="1"/>
  <c r="H197" i="1"/>
  <c r="G197" i="1"/>
  <c r="F197" i="1"/>
  <c r="E197" i="1"/>
  <c r="D197" i="1"/>
  <c r="C197" i="1"/>
  <c r="B197" i="1"/>
  <c r="I196" i="1"/>
  <c r="H196" i="1"/>
  <c r="G196" i="1"/>
  <c r="F196" i="1"/>
  <c r="E196" i="1"/>
  <c r="D196" i="1"/>
  <c r="C196" i="1"/>
  <c r="B196" i="1"/>
  <c r="I195" i="1"/>
  <c r="H195" i="1"/>
  <c r="G195" i="1"/>
  <c r="F195" i="1"/>
  <c r="E195" i="1"/>
  <c r="D195" i="1"/>
  <c r="C195" i="1"/>
  <c r="B195" i="1"/>
  <c r="I194" i="1"/>
  <c r="H194" i="1"/>
  <c r="G194" i="1"/>
  <c r="F194" i="1"/>
  <c r="E194" i="1"/>
  <c r="D194" i="1"/>
  <c r="C194" i="1"/>
  <c r="B194" i="1"/>
  <c r="I193" i="1"/>
  <c r="H193" i="1"/>
  <c r="G193" i="1"/>
  <c r="F193" i="1"/>
  <c r="E193" i="1"/>
  <c r="D193" i="1"/>
  <c r="C193" i="1"/>
  <c r="B193" i="1"/>
  <c r="A191" i="1"/>
  <c r="A188" i="1"/>
  <c r="I188" i="1"/>
  <c r="H188" i="1"/>
  <c r="G188" i="1"/>
  <c r="F188" i="1"/>
  <c r="E188" i="1"/>
  <c r="D188" i="1"/>
  <c r="C188" i="1"/>
  <c r="B188" i="1"/>
  <c r="A187" i="1"/>
  <c r="I187" i="1"/>
  <c r="H187" i="1"/>
  <c r="G187" i="1"/>
  <c r="F187" i="1"/>
  <c r="E187" i="1"/>
  <c r="D187" i="1"/>
  <c r="C187" i="1"/>
  <c r="B187" i="1"/>
  <c r="A186" i="1"/>
  <c r="I186" i="1"/>
  <c r="H186" i="1"/>
  <c r="G186" i="1"/>
  <c r="F186" i="1"/>
  <c r="E186" i="1"/>
  <c r="D186" i="1"/>
  <c r="C186" i="1"/>
  <c r="B186" i="1"/>
  <c r="A185" i="1"/>
  <c r="I185" i="1"/>
  <c r="H185" i="1"/>
  <c r="G185" i="1"/>
  <c r="F185" i="1"/>
  <c r="E185" i="1"/>
  <c r="D185" i="1"/>
  <c r="C185" i="1"/>
  <c r="B185" i="1"/>
  <c r="A184" i="1"/>
  <c r="I184" i="1"/>
  <c r="H184" i="1"/>
  <c r="G184" i="1"/>
  <c r="F184" i="1"/>
  <c r="E184" i="1"/>
  <c r="D184" i="1"/>
  <c r="C184" i="1"/>
  <c r="B184" i="1"/>
  <c r="A183" i="1"/>
  <c r="I183" i="1"/>
  <c r="H183" i="1"/>
  <c r="G183" i="1"/>
  <c r="F183" i="1"/>
  <c r="E183" i="1"/>
  <c r="D183" i="1"/>
  <c r="C183" i="1"/>
  <c r="B183" i="1"/>
  <c r="A182" i="1"/>
  <c r="I182" i="1"/>
  <c r="H182" i="1"/>
  <c r="G182" i="1"/>
  <c r="F182" i="1"/>
  <c r="E182" i="1"/>
  <c r="D182" i="1"/>
  <c r="C182" i="1"/>
  <c r="B182" i="1"/>
  <c r="A181" i="1"/>
  <c r="I181" i="1"/>
  <c r="H181" i="1"/>
  <c r="G181" i="1"/>
  <c r="F181" i="1"/>
  <c r="E181" i="1"/>
  <c r="D181" i="1"/>
  <c r="C181" i="1"/>
  <c r="B181" i="1"/>
  <c r="A180" i="1"/>
  <c r="I180" i="1"/>
  <c r="H180" i="1"/>
  <c r="G180" i="1"/>
  <c r="F180" i="1"/>
  <c r="E180" i="1"/>
  <c r="D180" i="1"/>
  <c r="C180" i="1"/>
  <c r="B180" i="1"/>
  <c r="A179" i="1"/>
  <c r="I179" i="1"/>
  <c r="H179" i="1"/>
  <c r="G179" i="1"/>
  <c r="F179" i="1"/>
  <c r="E179" i="1"/>
  <c r="D179" i="1"/>
  <c r="C179" i="1"/>
  <c r="B179" i="1"/>
  <c r="A178" i="1"/>
  <c r="I178" i="1"/>
  <c r="H178" i="1"/>
  <c r="G178" i="1"/>
  <c r="F178" i="1"/>
  <c r="E178" i="1"/>
  <c r="D178" i="1"/>
  <c r="C178" i="1"/>
  <c r="B178" i="1"/>
  <c r="I164" i="1"/>
  <c r="H164" i="1"/>
  <c r="G164" i="1"/>
  <c r="F164" i="1"/>
  <c r="E164" i="1"/>
  <c r="D164" i="1"/>
  <c r="C164" i="1"/>
  <c r="B164" i="1"/>
  <c r="I156" i="1"/>
  <c r="H156" i="1"/>
  <c r="G156" i="1"/>
  <c r="F156" i="1"/>
  <c r="E156" i="1"/>
  <c r="D156" i="1"/>
  <c r="C156" i="1"/>
  <c r="B156" i="1"/>
  <c r="I155" i="1"/>
  <c r="H155" i="1"/>
  <c r="G155" i="1"/>
  <c r="F155" i="1"/>
  <c r="E155" i="1"/>
  <c r="D155" i="1"/>
  <c r="C155" i="1"/>
  <c r="B155" i="1"/>
  <c r="I154" i="1"/>
  <c r="H154" i="1"/>
  <c r="G154" i="1"/>
  <c r="F154" i="1"/>
  <c r="E154" i="1"/>
  <c r="D154" i="1"/>
  <c r="C154" i="1"/>
  <c r="B154" i="1"/>
  <c r="I153" i="1"/>
  <c r="H153" i="1"/>
  <c r="G153" i="1"/>
  <c r="F153" i="1"/>
  <c r="E153" i="1"/>
  <c r="D153" i="1"/>
  <c r="C153" i="1"/>
  <c r="B153" i="1"/>
  <c r="I152" i="1"/>
  <c r="H152" i="1"/>
  <c r="G152" i="1"/>
  <c r="F152" i="1"/>
  <c r="E152" i="1"/>
  <c r="D152" i="1"/>
  <c r="C152" i="1"/>
  <c r="B152" i="1"/>
  <c r="I150" i="1"/>
  <c r="H150" i="1"/>
  <c r="G150" i="1"/>
  <c r="F150" i="1"/>
  <c r="E150" i="1"/>
  <c r="D150" i="1"/>
  <c r="C150" i="1"/>
  <c r="B150" i="1"/>
  <c r="A150" i="1"/>
  <c r="I147" i="1"/>
  <c r="I149" i="1"/>
  <c r="G147" i="1"/>
  <c r="G149" i="1"/>
  <c r="F147" i="1"/>
  <c r="F149" i="1"/>
  <c r="E147" i="1"/>
  <c r="E149" i="1"/>
  <c r="D147" i="1"/>
  <c r="D149" i="1"/>
  <c r="C147" i="1"/>
  <c r="C149" i="1"/>
  <c r="B147" i="1"/>
  <c r="B149" i="1"/>
  <c r="I148" i="1"/>
  <c r="G148" i="1"/>
  <c r="F148" i="1"/>
  <c r="E148" i="1"/>
  <c r="D148" i="1"/>
  <c r="C148" i="1"/>
  <c r="B148" i="1"/>
  <c r="I146" i="1"/>
  <c r="H146" i="1"/>
  <c r="G146" i="1"/>
  <c r="F146" i="1"/>
  <c r="E146" i="1"/>
  <c r="D146" i="1"/>
  <c r="C146" i="1"/>
  <c r="B146" i="1"/>
  <c r="I145" i="1"/>
  <c r="G145" i="1"/>
  <c r="F145" i="1"/>
  <c r="E145" i="1"/>
  <c r="D145" i="1"/>
  <c r="C145" i="1"/>
  <c r="B145" i="1"/>
  <c r="I140" i="1"/>
  <c r="H140" i="1"/>
  <c r="G140" i="1"/>
  <c r="F140" i="1"/>
  <c r="E140" i="1"/>
  <c r="D140" i="1"/>
  <c r="C140" i="1"/>
  <c r="B140" i="1"/>
  <c r="I139" i="1"/>
  <c r="G139" i="1"/>
  <c r="F139" i="1"/>
  <c r="E139" i="1"/>
  <c r="D139" i="1"/>
  <c r="C139" i="1"/>
  <c r="B139" i="1"/>
  <c r="I137" i="1"/>
  <c r="H137" i="1"/>
  <c r="G137" i="1"/>
  <c r="F137" i="1"/>
  <c r="E137" i="1"/>
  <c r="D137" i="1"/>
  <c r="C137" i="1"/>
  <c r="B137" i="1"/>
  <c r="I136" i="1"/>
  <c r="H136" i="1"/>
  <c r="G136" i="1"/>
  <c r="F136" i="1"/>
  <c r="E136" i="1"/>
  <c r="D136" i="1"/>
  <c r="C136" i="1"/>
  <c r="B136" i="1"/>
  <c r="I135" i="1"/>
  <c r="H135" i="1"/>
  <c r="G135" i="1"/>
  <c r="F135" i="1"/>
  <c r="E135" i="1"/>
  <c r="D135" i="1"/>
  <c r="C135" i="1"/>
  <c r="B135" i="1"/>
  <c r="I134" i="1"/>
  <c r="H134" i="1"/>
  <c r="G134" i="1"/>
  <c r="F134" i="1"/>
  <c r="E134" i="1"/>
  <c r="D134" i="1"/>
  <c r="C134" i="1"/>
  <c r="B134" i="1"/>
  <c r="I132" i="1"/>
  <c r="H132" i="1"/>
  <c r="G132" i="1"/>
  <c r="F132" i="1"/>
  <c r="E132" i="1"/>
  <c r="D132" i="1"/>
  <c r="C132" i="1"/>
  <c r="B132" i="1"/>
  <c r="I131" i="1"/>
  <c r="H131" i="1"/>
  <c r="G131" i="1"/>
  <c r="F131" i="1"/>
  <c r="E131" i="1"/>
  <c r="D131" i="1"/>
  <c r="C131" i="1"/>
  <c r="B131" i="1"/>
  <c r="I14" i="1"/>
  <c r="I28" i="1"/>
  <c r="I75" i="1"/>
  <c r="I80" i="1"/>
  <c r="I82" i="1"/>
  <c r="I79" i="1"/>
  <c r="I74" i="1"/>
  <c r="I29" i="1"/>
  <c r="I30" i="1"/>
  <c r="I48" i="1"/>
  <c r="I53" i="1"/>
  <c r="I49" i="1"/>
  <c r="I44" i="1"/>
  <c r="I51" i="1"/>
  <c r="I52" i="1"/>
  <c r="I45" i="1"/>
  <c r="I56" i="1"/>
  <c r="I60" i="1"/>
  <c r="I55" i="1"/>
  <c r="I58" i="1"/>
  <c r="H14" i="1"/>
  <c r="H28" i="1"/>
  <c r="H75" i="1"/>
  <c r="H80" i="1"/>
  <c r="H82" i="1"/>
  <c r="H79" i="1"/>
  <c r="H74" i="1"/>
  <c r="H29" i="1"/>
  <c r="H30" i="1"/>
  <c r="H48" i="1"/>
  <c r="H53" i="1"/>
  <c r="H49" i="1"/>
  <c r="H44" i="1"/>
  <c r="H51" i="1"/>
  <c r="H52" i="1"/>
  <c r="H45" i="1"/>
  <c r="H56" i="1"/>
  <c r="H60" i="1"/>
  <c r="H55" i="1"/>
  <c r="H58" i="1"/>
  <c r="G14" i="1"/>
  <c r="G28" i="1"/>
  <c r="G75" i="1"/>
  <c r="G80" i="1"/>
  <c r="G82" i="1"/>
  <c r="G79" i="1"/>
  <c r="G74" i="1"/>
  <c r="G29" i="1"/>
  <c r="G30" i="1"/>
  <c r="G48" i="1"/>
  <c r="G53" i="1"/>
  <c r="G49" i="1"/>
  <c r="G44" i="1"/>
  <c r="G51" i="1"/>
  <c r="G52" i="1"/>
  <c r="G45" i="1"/>
  <c r="G56" i="1"/>
  <c r="G60" i="1"/>
  <c r="G55" i="1"/>
  <c r="G58" i="1"/>
  <c r="F14" i="1"/>
  <c r="F28" i="1"/>
  <c r="F75" i="1"/>
  <c r="F80" i="1"/>
  <c r="F82" i="1"/>
  <c r="F79" i="1"/>
  <c r="F74" i="1"/>
  <c r="F29" i="1"/>
  <c r="F30" i="1"/>
  <c r="F48" i="1"/>
  <c r="F53" i="1"/>
  <c r="F49" i="1"/>
  <c r="F44" i="1"/>
  <c r="F51" i="1"/>
  <c r="F52" i="1"/>
  <c r="F45" i="1"/>
  <c r="F56" i="1"/>
  <c r="F60" i="1"/>
  <c r="F55" i="1"/>
  <c r="F58" i="1"/>
  <c r="E14" i="1"/>
  <c r="E28" i="1"/>
  <c r="E75" i="1"/>
  <c r="E80" i="1"/>
  <c r="E82" i="1"/>
  <c r="E79" i="1"/>
  <c r="E74" i="1"/>
  <c r="E29" i="1"/>
  <c r="E30" i="1"/>
  <c r="E48" i="1"/>
  <c r="E53" i="1"/>
  <c r="E49" i="1"/>
  <c r="E44" i="1"/>
  <c r="E51" i="1"/>
  <c r="E52" i="1"/>
  <c r="E45" i="1"/>
  <c r="E56" i="1"/>
  <c r="E60" i="1"/>
  <c r="E55" i="1"/>
  <c r="E58" i="1"/>
  <c r="D14" i="1"/>
  <c r="D28" i="1"/>
  <c r="D75" i="1"/>
  <c r="D80" i="1"/>
  <c r="D82" i="1"/>
  <c r="D79" i="1"/>
  <c r="D74" i="1"/>
  <c r="D29" i="1"/>
  <c r="D30" i="1"/>
  <c r="D48" i="1"/>
  <c r="D53" i="1"/>
  <c r="D49" i="1"/>
  <c r="D44" i="1"/>
  <c r="D51" i="1"/>
  <c r="D52" i="1"/>
  <c r="D45" i="1"/>
  <c r="D56" i="1"/>
  <c r="D60" i="1"/>
  <c r="D55" i="1"/>
  <c r="D58" i="1"/>
  <c r="C14" i="1"/>
  <c r="C28" i="1"/>
  <c r="C75" i="1"/>
  <c r="C80" i="1"/>
  <c r="C82" i="1"/>
  <c r="C79" i="1"/>
  <c r="C74" i="1"/>
  <c r="C29" i="1"/>
  <c r="C30" i="1"/>
  <c r="C48" i="1"/>
  <c r="C53" i="1"/>
  <c r="C49" i="1"/>
  <c r="C44" i="1"/>
  <c r="C51" i="1"/>
  <c r="C52" i="1"/>
  <c r="C45" i="1"/>
  <c r="C56" i="1"/>
  <c r="C60" i="1"/>
  <c r="C55" i="1"/>
  <c r="C58" i="1"/>
  <c r="B14" i="1"/>
  <c r="B28" i="1"/>
  <c r="B75" i="1"/>
  <c r="B80" i="1"/>
  <c r="B82" i="1"/>
  <c r="B79" i="1"/>
  <c r="B74" i="1"/>
  <c r="B29" i="1"/>
  <c r="B30" i="1"/>
  <c r="B48" i="1"/>
  <c r="B53" i="1"/>
  <c r="B49" i="1"/>
  <c r="B44" i="1"/>
  <c r="B51" i="1"/>
  <c r="B52" i="1"/>
  <c r="B45" i="1"/>
  <c r="B56" i="1"/>
  <c r="B60" i="1"/>
  <c r="B55" i="1"/>
  <c r="B58" i="1"/>
  <c r="I125" i="1"/>
  <c r="H125" i="1"/>
  <c r="G125" i="1"/>
  <c r="F125" i="1"/>
  <c r="E125" i="1"/>
  <c r="D125" i="1"/>
  <c r="C125" i="1"/>
  <c r="B125" i="1"/>
  <c r="I124" i="1"/>
  <c r="H124" i="1"/>
  <c r="G124" i="1"/>
  <c r="F124" i="1"/>
  <c r="E124" i="1"/>
  <c r="D124" i="1"/>
  <c r="C124" i="1"/>
  <c r="B124" i="1"/>
  <c r="I123" i="1"/>
  <c r="H123" i="1"/>
  <c r="G123" i="1"/>
  <c r="F123" i="1"/>
  <c r="E123" i="1"/>
  <c r="D123" i="1"/>
  <c r="C123" i="1"/>
  <c r="B123" i="1"/>
  <c r="I120" i="1"/>
  <c r="H120" i="1"/>
  <c r="G120" i="1"/>
  <c r="F120" i="1"/>
  <c r="E120" i="1"/>
  <c r="D120" i="1"/>
  <c r="C120" i="1"/>
  <c r="B120" i="1"/>
  <c r="I119" i="1"/>
  <c r="H119" i="1"/>
  <c r="G119" i="1"/>
  <c r="F119" i="1"/>
  <c r="E119" i="1"/>
  <c r="D119" i="1"/>
  <c r="C119" i="1"/>
  <c r="B119" i="1"/>
  <c r="I118" i="1"/>
  <c r="G118" i="1"/>
  <c r="F118" i="1"/>
  <c r="E118" i="1"/>
  <c r="D118" i="1"/>
  <c r="C118" i="1"/>
  <c r="B118" i="1"/>
  <c r="I116" i="1"/>
  <c r="H116" i="1"/>
  <c r="G116" i="1"/>
  <c r="F116" i="1"/>
  <c r="E116" i="1"/>
  <c r="D116" i="1"/>
  <c r="C116" i="1"/>
  <c r="B116" i="1"/>
  <c r="I115" i="1"/>
  <c r="H115" i="1"/>
  <c r="G115" i="1"/>
  <c r="F115" i="1"/>
  <c r="E115" i="1"/>
  <c r="D115" i="1"/>
  <c r="C115" i="1"/>
  <c r="B115" i="1"/>
  <c r="I112" i="1"/>
  <c r="I113" i="1"/>
  <c r="G112" i="1"/>
  <c r="G113" i="1"/>
  <c r="F112" i="1"/>
  <c r="F113" i="1"/>
  <c r="E112" i="1"/>
  <c r="E113" i="1"/>
  <c r="D112" i="1"/>
  <c r="D113" i="1"/>
  <c r="C112" i="1"/>
  <c r="C113" i="1"/>
  <c r="B112" i="1"/>
  <c r="B113" i="1"/>
  <c r="I109" i="1"/>
  <c r="H109" i="1"/>
  <c r="G109" i="1"/>
  <c r="F109" i="1"/>
  <c r="E109" i="1"/>
  <c r="D109" i="1"/>
  <c r="C109" i="1"/>
  <c r="B109" i="1"/>
  <c r="I108" i="1"/>
  <c r="G108" i="1"/>
  <c r="F108" i="1"/>
  <c r="E108" i="1"/>
  <c r="D108" i="1"/>
  <c r="C108" i="1"/>
  <c r="B108" i="1"/>
  <c r="I107" i="1"/>
  <c r="H107" i="1"/>
  <c r="G107" i="1"/>
  <c r="F107" i="1"/>
  <c r="E107" i="1"/>
  <c r="D107" i="1"/>
  <c r="C107" i="1"/>
  <c r="B107" i="1"/>
  <c r="I105" i="1"/>
  <c r="H105" i="1"/>
  <c r="G105" i="1"/>
  <c r="F105" i="1"/>
  <c r="E105" i="1"/>
  <c r="D105" i="1"/>
  <c r="C105" i="1"/>
  <c r="B105" i="1"/>
  <c r="I104" i="1"/>
  <c r="H104" i="1"/>
  <c r="G104" i="1"/>
  <c r="F104" i="1"/>
  <c r="E104" i="1"/>
  <c r="D104" i="1"/>
  <c r="C104" i="1"/>
  <c r="B104" i="1"/>
  <c r="I103" i="1"/>
  <c r="H103" i="1"/>
  <c r="G103" i="1"/>
  <c r="F103" i="1"/>
  <c r="E103" i="1"/>
  <c r="D103" i="1"/>
  <c r="C103" i="1"/>
  <c r="B103" i="1"/>
  <c r="I102" i="1"/>
  <c r="G102" i="1"/>
  <c r="F102" i="1"/>
  <c r="E102" i="1"/>
  <c r="D102" i="1"/>
  <c r="C102" i="1"/>
  <c r="B102" i="1"/>
  <c r="I101" i="1"/>
  <c r="G101" i="1"/>
  <c r="F101" i="1"/>
  <c r="E101" i="1"/>
  <c r="D101" i="1"/>
  <c r="C101" i="1"/>
  <c r="B101" i="1"/>
  <c r="I97" i="1"/>
  <c r="G97" i="1"/>
  <c r="F97" i="1"/>
  <c r="E97" i="1"/>
  <c r="D97" i="1"/>
  <c r="C97" i="1"/>
  <c r="B97" i="1"/>
  <c r="I96" i="1"/>
  <c r="H96" i="1"/>
  <c r="G96" i="1"/>
  <c r="F96" i="1"/>
  <c r="E96" i="1"/>
  <c r="D96" i="1"/>
  <c r="C96" i="1"/>
  <c r="B96" i="1"/>
  <c r="I95" i="1"/>
  <c r="G95" i="1"/>
  <c r="F95" i="1"/>
  <c r="E95" i="1"/>
  <c r="D95" i="1"/>
  <c r="C95" i="1"/>
  <c r="B95" i="1"/>
  <c r="I88" i="1"/>
  <c r="H88" i="1"/>
  <c r="G88" i="1"/>
  <c r="F88" i="1"/>
  <c r="E88" i="1"/>
  <c r="D88" i="1"/>
  <c r="C88" i="1"/>
  <c r="B88" i="1"/>
  <c r="I87" i="1"/>
  <c r="H87" i="1"/>
  <c r="G87" i="1"/>
  <c r="F87" i="1"/>
  <c r="E87" i="1"/>
  <c r="D87" i="1"/>
  <c r="C87" i="1"/>
  <c r="B87" i="1"/>
  <c r="I86" i="1"/>
  <c r="H86" i="1"/>
  <c r="G86" i="1"/>
  <c r="F86" i="1"/>
  <c r="E86" i="1"/>
  <c r="D86" i="1"/>
  <c r="C86" i="1"/>
  <c r="B86" i="1"/>
  <c r="I85" i="1"/>
  <c r="H85" i="1"/>
  <c r="G85" i="1"/>
  <c r="F85" i="1"/>
  <c r="E85" i="1"/>
  <c r="D85" i="1"/>
  <c r="C85" i="1"/>
  <c r="B85" i="1"/>
  <c r="I77" i="1"/>
  <c r="H77" i="1"/>
  <c r="G77" i="1"/>
  <c r="F77" i="1"/>
  <c r="E77" i="1"/>
  <c r="D77" i="1"/>
  <c r="C77" i="1"/>
  <c r="B77" i="1"/>
  <c r="I71" i="1"/>
  <c r="H71" i="1"/>
  <c r="G71" i="1"/>
  <c r="F71" i="1"/>
  <c r="E71" i="1"/>
  <c r="D71" i="1"/>
  <c r="C71" i="1"/>
  <c r="B71" i="1"/>
  <c r="I63" i="1"/>
  <c r="I70" i="1"/>
  <c r="H63" i="1"/>
  <c r="H70" i="1"/>
  <c r="G63" i="1"/>
  <c r="G70" i="1"/>
  <c r="F63" i="1"/>
  <c r="F70" i="1"/>
  <c r="E63" i="1"/>
  <c r="E70" i="1"/>
  <c r="D63" i="1"/>
  <c r="D70" i="1"/>
  <c r="C63" i="1"/>
  <c r="C70" i="1"/>
  <c r="B63" i="1"/>
  <c r="B70" i="1"/>
  <c r="I68" i="1"/>
  <c r="H68" i="1"/>
  <c r="G68" i="1"/>
  <c r="F68" i="1"/>
  <c r="E68" i="1"/>
  <c r="D68" i="1"/>
  <c r="C68" i="1"/>
  <c r="B68" i="1"/>
  <c r="I67" i="1"/>
  <c r="H67" i="1"/>
  <c r="G67" i="1"/>
  <c r="F67" i="1"/>
  <c r="E67" i="1"/>
  <c r="D67" i="1"/>
  <c r="C67" i="1"/>
  <c r="B67" i="1"/>
  <c r="I65" i="1"/>
  <c r="H65" i="1"/>
  <c r="G65" i="1"/>
  <c r="F65" i="1"/>
  <c r="E65" i="1"/>
  <c r="D65" i="1"/>
  <c r="C65" i="1"/>
  <c r="B65" i="1"/>
  <c r="I37" i="1"/>
  <c r="H37" i="1"/>
  <c r="G37" i="1"/>
  <c r="F37" i="1"/>
  <c r="E37" i="1"/>
  <c r="D37" i="1"/>
  <c r="C37" i="1"/>
  <c r="B37" i="1"/>
  <c r="I36" i="1"/>
  <c r="H36" i="1"/>
  <c r="G36" i="1"/>
  <c r="F36" i="1"/>
  <c r="E36" i="1"/>
  <c r="D36" i="1"/>
  <c r="C36" i="1"/>
  <c r="B36" i="1"/>
  <c r="I35" i="1"/>
  <c r="H35" i="1"/>
  <c r="G35" i="1"/>
  <c r="F35" i="1"/>
  <c r="E35" i="1"/>
  <c r="D35" i="1"/>
  <c r="C35" i="1"/>
  <c r="B35" i="1"/>
  <c r="I34" i="1"/>
  <c r="H34" i="1"/>
  <c r="G34" i="1"/>
  <c r="F34" i="1"/>
  <c r="E34" i="1"/>
  <c r="D34" i="1"/>
  <c r="C34" i="1"/>
  <c r="B34" i="1"/>
  <c r="I33" i="1"/>
  <c r="H33" i="1"/>
  <c r="G33" i="1"/>
  <c r="F33" i="1"/>
  <c r="E33" i="1"/>
  <c r="D33" i="1"/>
  <c r="C33" i="1"/>
  <c r="B33" i="1"/>
  <c r="I32" i="1"/>
  <c r="H32" i="1"/>
  <c r="G32" i="1"/>
  <c r="F32" i="1"/>
  <c r="E32" i="1"/>
  <c r="D32" i="1"/>
  <c r="C32" i="1"/>
  <c r="B32" i="1"/>
  <c r="I25" i="1"/>
  <c r="H25" i="1"/>
  <c r="G25" i="1"/>
  <c r="F25" i="1"/>
  <c r="E25" i="1"/>
  <c r="D25" i="1"/>
  <c r="C25" i="1"/>
  <c r="B25" i="1"/>
  <c r="I13" i="1"/>
  <c r="H13" i="1"/>
  <c r="G13" i="1"/>
  <c r="F13" i="1"/>
  <c r="E13" i="1"/>
  <c r="D13" i="1"/>
  <c r="C13" i="1"/>
  <c r="B13" i="1"/>
  <c r="B432" i="1"/>
  <c r="B758" i="1"/>
  <c r="B828" i="1"/>
  <c r="B426" i="1"/>
  <c r="C432" i="1"/>
  <c r="C758" i="1"/>
  <c r="C828" i="1"/>
  <c r="C426" i="1"/>
  <c r="D432" i="1"/>
  <c r="D758" i="1"/>
  <c r="D828" i="1"/>
  <c r="D426" i="1"/>
  <c r="E432" i="1"/>
  <c r="E758" i="1"/>
  <c r="E828" i="1"/>
  <c r="E426" i="1"/>
  <c r="F432" i="1"/>
  <c r="F758" i="1"/>
  <c r="F828" i="1"/>
  <c r="F426" i="1"/>
  <c r="G432" i="1"/>
  <c r="G758" i="1"/>
  <c r="G828" i="1"/>
  <c r="G426" i="1"/>
  <c r="H432" i="1"/>
  <c r="H758" i="1"/>
  <c r="H828" i="1"/>
  <c r="H426" i="1"/>
  <c r="I432" i="1"/>
  <c r="I758" i="1"/>
  <c r="I828" i="1"/>
  <c r="I426" i="1"/>
  <c r="B494" i="1"/>
  <c r="B763" i="1"/>
  <c r="B829" i="1"/>
  <c r="B428" i="1"/>
  <c r="C494" i="1"/>
  <c r="C763" i="1"/>
  <c r="C829" i="1"/>
  <c r="C428" i="1"/>
  <c r="D494" i="1"/>
  <c r="D763" i="1"/>
  <c r="D829" i="1"/>
  <c r="D428" i="1"/>
  <c r="E494" i="1"/>
  <c r="E763" i="1"/>
  <c r="E829" i="1"/>
  <c r="E428" i="1"/>
  <c r="F494" i="1"/>
  <c r="F763" i="1"/>
  <c r="F829" i="1"/>
  <c r="F428" i="1"/>
  <c r="G494" i="1"/>
  <c r="G763" i="1"/>
  <c r="G829" i="1"/>
  <c r="G428" i="1"/>
  <c r="H494" i="1"/>
  <c r="H763" i="1"/>
  <c r="H829" i="1"/>
  <c r="H428" i="1"/>
  <c r="I494" i="1"/>
  <c r="I763" i="1"/>
  <c r="I829" i="1"/>
  <c r="I428" i="1"/>
  <c r="B11" i="1"/>
  <c r="C11" i="1"/>
  <c r="D11" i="1"/>
  <c r="E11" i="1"/>
  <c r="F11" i="1"/>
  <c r="G11" i="1"/>
  <c r="H11" i="1"/>
  <c r="I11" i="1"/>
  <c r="B12" i="1"/>
  <c r="C12" i="1"/>
  <c r="D12" i="1"/>
  <c r="E12" i="1"/>
  <c r="F12" i="1"/>
  <c r="G12" i="1"/>
  <c r="H12" i="1"/>
  <c r="I12" i="1"/>
  <c r="B23" i="1"/>
  <c r="C23" i="1"/>
  <c r="D23" i="1"/>
  <c r="E23" i="1"/>
  <c r="F23" i="1"/>
  <c r="G23" i="1"/>
  <c r="H23" i="1"/>
  <c r="I23" i="1"/>
  <c r="B24" i="1"/>
  <c r="C24" i="1"/>
  <c r="D24" i="1"/>
  <c r="E24" i="1"/>
  <c r="F24" i="1"/>
  <c r="G24" i="1"/>
  <c r="H24" i="1"/>
  <c r="I24" i="1"/>
  <c r="B27" i="1"/>
  <c r="C27" i="1"/>
  <c r="D27" i="1"/>
  <c r="E27" i="1"/>
  <c r="F27" i="1"/>
  <c r="G27" i="1"/>
  <c r="H27" i="1"/>
  <c r="I27" i="1"/>
  <c r="B31" i="1"/>
  <c r="C31" i="1"/>
  <c r="D31" i="1"/>
  <c r="E31" i="1"/>
  <c r="F31" i="1"/>
  <c r="G31" i="1"/>
  <c r="H31" i="1"/>
  <c r="I31" i="1"/>
  <c r="B39" i="1"/>
  <c r="C39" i="1"/>
  <c r="D39" i="1"/>
  <c r="E39" i="1"/>
  <c r="F39" i="1"/>
  <c r="G39" i="1"/>
  <c r="H39" i="1"/>
  <c r="I39" i="1"/>
  <c r="B43" i="1"/>
  <c r="C43" i="1"/>
  <c r="D43" i="1"/>
  <c r="E43" i="1"/>
  <c r="F43" i="1"/>
  <c r="G43" i="1"/>
  <c r="H43" i="1"/>
  <c r="I43" i="1"/>
  <c r="B46" i="1"/>
  <c r="C46" i="1"/>
  <c r="D46" i="1"/>
  <c r="E46" i="1"/>
  <c r="F46" i="1"/>
  <c r="G46" i="1"/>
  <c r="H46" i="1"/>
  <c r="I46" i="1"/>
  <c r="B59" i="1"/>
  <c r="C59" i="1"/>
  <c r="D59" i="1"/>
  <c r="E59" i="1"/>
  <c r="F59" i="1"/>
  <c r="G59" i="1"/>
  <c r="H59" i="1"/>
  <c r="I59" i="1"/>
  <c r="B64" i="1"/>
  <c r="C64" i="1"/>
  <c r="D64" i="1"/>
  <c r="E64" i="1"/>
  <c r="F64" i="1"/>
  <c r="G64" i="1"/>
  <c r="H64" i="1"/>
  <c r="I64" i="1"/>
  <c r="B91" i="1"/>
  <c r="C91" i="1"/>
  <c r="D91" i="1"/>
  <c r="E91" i="1"/>
  <c r="F91" i="1"/>
  <c r="G91" i="1"/>
  <c r="H91" i="1"/>
  <c r="I91" i="1"/>
  <c r="B92" i="1"/>
  <c r="C92" i="1"/>
  <c r="D92" i="1"/>
  <c r="E92" i="1"/>
  <c r="F92" i="1"/>
  <c r="G92" i="1"/>
  <c r="H92" i="1"/>
  <c r="I92" i="1"/>
  <c r="B93" i="1"/>
  <c r="C93" i="1"/>
  <c r="D93" i="1"/>
  <c r="E93" i="1"/>
  <c r="F93" i="1"/>
  <c r="G93" i="1"/>
  <c r="H93" i="1"/>
  <c r="I93" i="1"/>
  <c r="H95" i="1"/>
  <c r="H97" i="1"/>
  <c r="H101" i="1"/>
  <c r="H102" i="1"/>
  <c r="H108" i="1"/>
  <c r="B110" i="1"/>
  <c r="C110" i="1"/>
  <c r="D110" i="1"/>
  <c r="E110" i="1"/>
  <c r="F110" i="1"/>
  <c r="G110" i="1"/>
  <c r="H110" i="1"/>
  <c r="I110" i="1"/>
  <c r="H112" i="1"/>
  <c r="H113" i="1"/>
  <c r="H118" i="1"/>
  <c r="B122" i="1"/>
  <c r="C122" i="1"/>
  <c r="D122" i="1"/>
  <c r="E122" i="1"/>
  <c r="F122" i="1"/>
  <c r="G122" i="1"/>
  <c r="H122" i="1"/>
  <c r="I122" i="1"/>
  <c r="B128" i="1"/>
  <c r="C128" i="1"/>
  <c r="D128" i="1"/>
  <c r="E128" i="1"/>
  <c r="F128" i="1"/>
  <c r="G128" i="1"/>
  <c r="H128" i="1"/>
  <c r="I128" i="1"/>
  <c r="B129" i="1"/>
  <c r="C129" i="1"/>
  <c r="D129" i="1"/>
  <c r="E129" i="1"/>
  <c r="F129" i="1"/>
  <c r="G129" i="1"/>
  <c r="H129" i="1"/>
  <c r="I129" i="1"/>
  <c r="H139" i="1"/>
  <c r="H145" i="1"/>
  <c r="H147" i="1"/>
  <c r="H148" i="1"/>
  <c r="H149" i="1"/>
  <c r="B165" i="1"/>
  <c r="C165" i="1"/>
  <c r="D165" i="1"/>
  <c r="E165" i="1"/>
  <c r="F165" i="1"/>
  <c r="G165" i="1"/>
  <c r="H165" i="1"/>
  <c r="I165" i="1"/>
  <c r="B166" i="1"/>
  <c r="C166" i="1"/>
  <c r="D166" i="1"/>
  <c r="E166" i="1"/>
  <c r="F166" i="1"/>
  <c r="G166" i="1"/>
  <c r="H166" i="1"/>
  <c r="I166" i="1"/>
  <c r="B167" i="1"/>
  <c r="C167" i="1"/>
  <c r="D167" i="1"/>
  <c r="E167" i="1"/>
  <c r="F167" i="1"/>
  <c r="G167" i="1"/>
  <c r="H167" i="1"/>
  <c r="I167" i="1"/>
  <c r="B168" i="1"/>
  <c r="C168" i="1"/>
  <c r="D168" i="1"/>
  <c r="E168" i="1"/>
  <c r="F168" i="1"/>
  <c r="G168" i="1"/>
  <c r="H168" i="1"/>
  <c r="I168" i="1"/>
  <c r="B169" i="1"/>
  <c r="C169" i="1"/>
  <c r="D169" i="1"/>
  <c r="E169" i="1"/>
  <c r="F169" i="1"/>
  <c r="G169" i="1"/>
  <c r="H169" i="1"/>
  <c r="I169" i="1"/>
  <c r="B170" i="1"/>
  <c r="C170" i="1"/>
  <c r="D170" i="1"/>
  <c r="E170" i="1"/>
  <c r="F170" i="1"/>
  <c r="G170" i="1"/>
  <c r="H170" i="1"/>
  <c r="I170" i="1"/>
  <c r="B171" i="1"/>
  <c r="C171" i="1"/>
  <c r="D171" i="1"/>
  <c r="E171" i="1"/>
  <c r="F171" i="1"/>
  <c r="G171" i="1"/>
  <c r="H171" i="1"/>
  <c r="I171" i="1"/>
  <c r="B172" i="1"/>
  <c r="C172" i="1"/>
  <c r="D172" i="1"/>
  <c r="E172" i="1"/>
  <c r="F172" i="1"/>
  <c r="G172" i="1"/>
  <c r="H172" i="1"/>
  <c r="I172" i="1"/>
  <c r="B173" i="1"/>
  <c r="C173" i="1"/>
  <c r="D173" i="1"/>
  <c r="E173" i="1"/>
  <c r="F173" i="1"/>
  <c r="G173" i="1"/>
  <c r="H173" i="1"/>
  <c r="I173" i="1"/>
  <c r="B174" i="1"/>
  <c r="C174" i="1"/>
  <c r="D174" i="1"/>
  <c r="E174" i="1"/>
  <c r="F174" i="1"/>
  <c r="G174" i="1"/>
  <c r="H174" i="1"/>
  <c r="I174" i="1"/>
  <c r="B207" i="1"/>
  <c r="C207" i="1"/>
  <c r="D207" i="1"/>
  <c r="E207" i="1"/>
  <c r="F207" i="1"/>
  <c r="G207" i="1"/>
  <c r="H207" i="1"/>
  <c r="I207" i="1"/>
  <c r="B208" i="1"/>
  <c r="C208" i="1"/>
  <c r="D208" i="1"/>
  <c r="E208" i="1"/>
  <c r="F208" i="1"/>
  <c r="G208" i="1"/>
  <c r="H208" i="1"/>
  <c r="I208" i="1"/>
  <c r="B209" i="1"/>
  <c r="C209" i="1"/>
  <c r="D209" i="1"/>
  <c r="E209" i="1"/>
  <c r="F209" i="1"/>
  <c r="G209" i="1"/>
  <c r="H209" i="1"/>
  <c r="I209" i="1"/>
  <c r="B210" i="1"/>
  <c r="C210" i="1"/>
  <c r="D210" i="1"/>
  <c r="E210" i="1"/>
  <c r="F210" i="1"/>
  <c r="G210" i="1"/>
  <c r="H210" i="1"/>
  <c r="I210" i="1"/>
  <c r="B211" i="1"/>
  <c r="C211" i="1"/>
  <c r="D211" i="1"/>
  <c r="E211" i="1"/>
  <c r="F211" i="1"/>
  <c r="G211" i="1"/>
  <c r="H211" i="1"/>
  <c r="I211" i="1"/>
  <c r="B212" i="1"/>
  <c r="C212" i="1"/>
  <c r="D212" i="1"/>
  <c r="E212" i="1"/>
  <c r="F212" i="1"/>
  <c r="G212" i="1"/>
  <c r="H212" i="1"/>
  <c r="I212" i="1"/>
  <c r="B213" i="1"/>
  <c r="C213" i="1"/>
  <c r="D213" i="1"/>
  <c r="E213" i="1"/>
  <c r="F213" i="1"/>
  <c r="G213" i="1"/>
  <c r="H213" i="1"/>
  <c r="I213" i="1"/>
  <c r="B214" i="1"/>
  <c r="C214" i="1"/>
  <c r="D214" i="1"/>
  <c r="E214" i="1"/>
  <c r="F214" i="1"/>
  <c r="G214" i="1"/>
  <c r="H214" i="1"/>
  <c r="I214" i="1"/>
  <c r="B215" i="1"/>
  <c r="C215" i="1"/>
  <c r="D215" i="1"/>
  <c r="E215" i="1"/>
  <c r="F215" i="1"/>
  <c r="G215" i="1"/>
  <c r="H215" i="1"/>
  <c r="I215" i="1"/>
  <c r="B216" i="1"/>
  <c r="C216" i="1"/>
  <c r="D216" i="1"/>
  <c r="E216" i="1"/>
  <c r="F216" i="1"/>
  <c r="G216" i="1"/>
  <c r="H216" i="1"/>
  <c r="I216" i="1"/>
  <c r="B221" i="1"/>
  <c r="C221" i="1"/>
  <c r="D221" i="1"/>
  <c r="E221" i="1"/>
  <c r="F221" i="1"/>
  <c r="G221" i="1"/>
  <c r="H221" i="1"/>
  <c r="I221" i="1"/>
  <c r="B222" i="1"/>
  <c r="C222" i="1"/>
  <c r="D222" i="1"/>
  <c r="E222" i="1"/>
  <c r="F222" i="1"/>
  <c r="G222" i="1"/>
  <c r="H222" i="1"/>
  <c r="I222" i="1"/>
  <c r="B223" i="1"/>
  <c r="C223" i="1"/>
  <c r="D223" i="1"/>
  <c r="E223" i="1"/>
  <c r="F223" i="1"/>
  <c r="G223" i="1"/>
  <c r="H223" i="1"/>
  <c r="I223" i="1"/>
  <c r="B224" i="1"/>
  <c r="C224" i="1"/>
  <c r="D224" i="1"/>
  <c r="E224" i="1"/>
  <c r="F224" i="1"/>
  <c r="G224" i="1"/>
  <c r="H224" i="1"/>
  <c r="I224" i="1"/>
  <c r="B225" i="1"/>
  <c r="C225" i="1"/>
  <c r="D225" i="1"/>
  <c r="E225" i="1"/>
  <c r="F225" i="1"/>
  <c r="G225" i="1"/>
  <c r="H225" i="1"/>
  <c r="I225" i="1"/>
  <c r="B226" i="1"/>
  <c r="C226" i="1"/>
  <c r="D226" i="1"/>
  <c r="E226" i="1"/>
  <c r="F226" i="1"/>
  <c r="G226" i="1"/>
  <c r="H226" i="1"/>
  <c r="I226" i="1"/>
  <c r="B227" i="1"/>
  <c r="C227" i="1"/>
  <c r="D227" i="1"/>
  <c r="E227" i="1"/>
  <c r="F227" i="1"/>
  <c r="G227" i="1"/>
  <c r="H227" i="1"/>
  <c r="I227" i="1"/>
  <c r="B228" i="1"/>
  <c r="C228" i="1"/>
  <c r="D228" i="1"/>
  <c r="E228" i="1"/>
  <c r="F228" i="1"/>
  <c r="G228" i="1"/>
  <c r="H228" i="1"/>
  <c r="I228" i="1"/>
  <c r="B229" i="1"/>
  <c r="C229" i="1"/>
  <c r="D229" i="1"/>
  <c r="E229" i="1"/>
  <c r="F229" i="1"/>
  <c r="G229" i="1"/>
  <c r="H229" i="1"/>
  <c r="I229" i="1"/>
  <c r="B230" i="1"/>
  <c r="C230" i="1"/>
  <c r="D230" i="1"/>
  <c r="E230" i="1"/>
  <c r="F230" i="1"/>
  <c r="G230" i="1"/>
  <c r="H230" i="1"/>
  <c r="I230" i="1"/>
  <c r="B404" i="1"/>
  <c r="C404" i="1"/>
  <c r="D404" i="1"/>
  <c r="E404" i="1"/>
  <c r="F404" i="1"/>
  <c r="G404" i="1"/>
  <c r="H404" i="1"/>
  <c r="I404" i="1"/>
  <c r="B405" i="1"/>
  <c r="C405" i="1"/>
  <c r="D405" i="1"/>
  <c r="E405" i="1"/>
  <c r="F405" i="1"/>
  <c r="G405" i="1"/>
  <c r="H405" i="1"/>
  <c r="I405" i="1"/>
  <c r="B406" i="1"/>
  <c r="C406" i="1"/>
  <c r="D406" i="1"/>
  <c r="E406" i="1"/>
  <c r="F406" i="1"/>
  <c r="G406" i="1"/>
  <c r="H406" i="1"/>
  <c r="I406" i="1"/>
  <c r="B408" i="1"/>
  <c r="C408" i="1"/>
  <c r="D408" i="1"/>
  <c r="E408" i="1"/>
  <c r="F408" i="1"/>
  <c r="G408" i="1"/>
  <c r="H408" i="1"/>
  <c r="I408" i="1"/>
  <c r="B409" i="1"/>
  <c r="C409" i="1"/>
  <c r="D409" i="1"/>
  <c r="E409" i="1"/>
  <c r="F409" i="1"/>
  <c r="G409" i="1"/>
  <c r="H409" i="1"/>
  <c r="I409" i="1"/>
  <c r="B410" i="1"/>
  <c r="C410" i="1"/>
  <c r="D410" i="1"/>
  <c r="E410" i="1"/>
  <c r="F410" i="1"/>
  <c r="G410" i="1"/>
  <c r="H410" i="1"/>
  <c r="I410" i="1"/>
  <c r="B413" i="1"/>
  <c r="C413" i="1"/>
  <c r="D413" i="1"/>
  <c r="E413" i="1"/>
  <c r="F413" i="1"/>
  <c r="G413" i="1"/>
  <c r="H413" i="1"/>
  <c r="I413" i="1"/>
  <c r="B417" i="1"/>
  <c r="C417" i="1"/>
  <c r="D417" i="1"/>
  <c r="E417" i="1"/>
  <c r="F417" i="1"/>
  <c r="G417" i="1"/>
  <c r="H417" i="1"/>
  <c r="I417" i="1"/>
  <c r="B421" i="1"/>
  <c r="C421" i="1"/>
  <c r="D421" i="1"/>
  <c r="E421" i="1"/>
  <c r="F421" i="1"/>
  <c r="G421" i="1"/>
  <c r="H421" i="1"/>
  <c r="I421" i="1"/>
  <c r="B423" i="1"/>
  <c r="C423" i="1"/>
  <c r="D423" i="1"/>
  <c r="E423" i="1"/>
  <c r="F423" i="1"/>
  <c r="G423" i="1"/>
  <c r="H423" i="1"/>
  <c r="I423" i="1"/>
  <c r="B425" i="1"/>
  <c r="C425" i="1"/>
  <c r="D425" i="1"/>
  <c r="E425" i="1"/>
  <c r="F425" i="1"/>
  <c r="G425" i="1"/>
  <c r="H425" i="1"/>
  <c r="I425" i="1"/>
  <c r="B568" i="1"/>
  <c r="C568" i="1"/>
  <c r="D568" i="1"/>
  <c r="E568" i="1"/>
  <c r="F568" i="1"/>
  <c r="G568" i="1"/>
  <c r="H568" i="1"/>
  <c r="I568" i="1"/>
  <c r="B570" i="1"/>
  <c r="C570" i="1"/>
  <c r="D570" i="1"/>
  <c r="E570" i="1"/>
  <c r="F570" i="1"/>
  <c r="G570" i="1"/>
  <c r="H570" i="1"/>
  <c r="I570" i="1"/>
  <c r="B574" i="1"/>
  <c r="C574" i="1"/>
  <c r="D574" i="1"/>
  <c r="E574" i="1"/>
  <c r="F574" i="1"/>
  <c r="G574" i="1"/>
  <c r="H574" i="1"/>
  <c r="I574" i="1"/>
  <c r="B575" i="1"/>
  <c r="C575" i="1"/>
  <c r="D575" i="1"/>
  <c r="E575" i="1"/>
  <c r="F575" i="1"/>
  <c r="G575" i="1"/>
  <c r="H575" i="1"/>
  <c r="I575" i="1"/>
  <c r="B579" i="1"/>
  <c r="C579" i="1"/>
  <c r="D579" i="1"/>
  <c r="E579" i="1"/>
  <c r="F579" i="1"/>
  <c r="G579" i="1"/>
  <c r="H579" i="1"/>
  <c r="I579" i="1"/>
  <c r="B580" i="1"/>
  <c r="C580" i="1"/>
  <c r="D580" i="1"/>
  <c r="E580" i="1"/>
  <c r="F580" i="1"/>
  <c r="G580" i="1"/>
  <c r="H580" i="1"/>
  <c r="I580" i="1"/>
  <c r="B613" i="1"/>
  <c r="C613" i="1"/>
  <c r="D613" i="1"/>
  <c r="E613" i="1"/>
  <c r="F613" i="1"/>
  <c r="G613" i="1"/>
  <c r="H613" i="1"/>
  <c r="I613" i="1"/>
  <c r="B614" i="1"/>
  <c r="C614" i="1"/>
  <c r="D614" i="1"/>
  <c r="E614" i="1"/>
  <c r="F614" i="1"/>
  <c r="G614" i="1"/>
  <c r="H614" i="1"/>
  <c r="I614" i="1"/>
  <c r="B616" i="1"/>
  <c r="C616" i="1"/>
  <c r="D616" i="1"/>
  <c r="E616" i="1"/>
  <c r="F616" i="1"/>
  <c r="G616" i="1"/>
  <c r="H616" i="1"/>
  <c r="I616" i="1"/>
  <c r="B617" i="1"/>
  <c r="C617" i="1"/>
  <c r="D617" i="1"/>
  <c r="E617" i="1"/>
  <c r="F617" i="1"/>
  <c r="G617" i="1"/>
  <c r="H617" i="1"/>
  <c r="I617" i="1"/>
  <c r="B620" i="1"/>
  <c r="C620" i="1"/>
  <c r="D620" i="1"/>
  <c r="E620" i="1"/>
  <c r="F620" i="1"/>
  <c r="G620" i="1"/>
  <c r="H620" i="1"/>
  <c r="I620" i="1"/>
  <c r="B759" i="1"/>
  <c r="C759" i="1"/>
  <c r="D759" i="1"/>
  <c r="E759" i="1"/>
  <c r="F759" i="1"/>
  <c r="G759" i="1"/>
  <c r="H759" i="1"/>
  <c r="I759" i="1"/>
  <c r="B808" i="1"/>
  <c r="C808" i="1"/>
  <c r="D808" i="1"/>
  <c r="E808" i="1"/>
  <c r="F808" i="1"/>
  <c r="G808" i="1"/>
  <c r="H808" i="1"/>
  <c r="I80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F6BE37E6-2916-6342-9028-FEA15C087F4E}">
      <text>
        <r>
          <rPr>
            <b/>
            <sz val="9"/>
            <color indexed="81"/>
            <rFont val="Tahoma"/>
            <family val="2"/>
          </rPr>
          <t>Author:</t>
        </r>
        <r>
          <rPr>
            <sz val="9"/>
            <color indexed="81"/>
            <rFont val="Tahoma"/>
            <family val="2"/>
          </rPr>
          <t xml:space="preserve">
If you are in multiple businesses, you can construct your own weighted averages using the industry average table from this spreadsheet and your company's business breakdown.</t>
        </r>
      </text>
    </comment>
    <comment ref="A7" authorId="0" shapeId="0" xr:uid="{96DE4C7A-78BD-9644-9FB7-CE0C70DBE75E}">
      <text>
        <r>
          <rPr>
            <b/>
            <sz val="9"/>
            <color indexed="81"/>
            <rFont val="Tahoma"/>
            <family val="2"/>
          </rPr>
          <t>Author:</t>
        </r>
        <r>
          <rPr>
            <sz val="9"/>
            <color indexed="81"/>
            <rFont val="Tahoma"/>
            <family val="2"/>
          </rPr>
          <t xml:space="preserve">
If you are using trailing 12-month data, it is best if the last year is the 12-month period just prior to the one that you are using. Thus, if you are looking at June 2011-June 2012, your trailing 12 month for the income statement numbers will be June 2010-June 2011 and your balance sheet numbers should be as of June 2011.</t>
        </r>
      </text>
    </comment>
    <comment ref="A11" authorId="0" shapeId="0" xr:uid="{5041F3D4-341C-E747-9E85-A38DF3156CF3}">
      <text>
        <r>
          <rPr>
            <b/>
            <sz val="9"/>
            <color indexed="81"/>
            <rFont val="Tahoma"/>
            <family val="2"/>
          </rPr>
          <t>Author:</t>
        </r>
        <r>
          <rPr>
            <sz val="9"/>
            <color indexed="81"/>
            <rFont val="Tahoma"/>
            <family val="2"/>
          </rPr>
          <t xml:space="preserve">
*** If calculated value is negative or looks too low
- Revenue growth rate: Increase revenue growth rate
- Last period EBIT as % of revenue: Increase the target pre-tax operating margin
- Sales to Capital Ratio or reinvestment: Decrease the sales/capital ratio
- Return on capital in perpetuity: Increase relative to your cost of capital
*** If calculated value looks too high
- Revenue growth rate: Decrease revenue growth rate
- Last period EBIT as % of revenue: Decrease the target pre-tax operating margin
- Sales to Capital Ratio or reinvestment: Increase the sales/capital ratio
- Return on capital in perpetuity: If higher than your cost of capital, lower towards your cost of capital</t>
        </r>
      </text>
    </comment>
    <comment ref="A13" authorId="0" shapeId="0" xr:uid="{79EB555E-D11D-3640-B825-78C6D3D137C3}">
      <text>
        <r>
          <rPr>
            <b/>
            <sz val="9"/>
            <color indexed="81"/>
            <rFont val="Tahoma"/>
            <family val="2"/>
          </rPr>
          <t>Author:</t>
        </r>
        <r>
          <rPr>
            <sz val="9"/>
            <color indexed="81"/>
            <rFont val="Tahoma"/>
            <family val="2"/>
          </rPr>
          <t xml:space="preserve">
Enter the most recent stock price (how about today's?) in here. </t>
        </r>
      </text>
    </comment>
    <comment ref="A14" authorId="0" shapeId="0" xr:uid="{87D6C347-326F-8B40-8FEC-6E078BD648A0}">
      <text>
        <r>
          <rPr>
            <b/>
            <sz val="9"/>
            <color indexed="81"/>
            <rFont val="Tahoma"/>
            <family val="2"/>
          </rPr>
          <t>Author:</t>
        </r>
        <r>
          <rPr>
            <sz val="9"/>
            <color indexed="81"/>
            <rFont val="Tahoma"/>
            <family val="2"/>
          </rPr>
          <t xml:space="preserve">
Enter the most recent update you have on the number of shares. If you have different classes of shares, aggregate them all and enter one number. Count restricted stock units (RSUs) as shares but don't count shares underlying employee options.</t>
        </r>
      </text>
    </comment>
    <comment ref="A17" authorId="0" shapeId="0" xr:uid="{67B1FBC7-D4C9-9C4D-9836-49F623554AD0}">
      <text>
        <r>
          <rPr>
            <b/>
            <sz val="9"/>
            <color indexed="81"/>
            <rFont val="Tahoma"/>
            <family val="2"/>
          </rPr>
          <t>Author:</t>
        </r>
        <r>
          <rPr>
            <sz val="9"/>
            <color indexed="81"/>
            <rFont val="Tahoma"/>
            <family val="2"/>
          </rPr>
          <t xml:space="preserve">
If you pick operating regions or countries, please input the revenues by country or region in the table to the right.</t>
        </r>
      </text>
    </comment>
    <comment ref="A35" authorId="0" shapeId="0" xr:uid="{7850B732-CAD5-2642-99DE-D2782082711A}">
      <text>
        <r>
          <rPr>
            <b/>
            <sz val="9"/>
            <color indexed="81"/>
            <rFont val="Tahoma"/>
            <family val="2"/>
          </rPr>
          <t>Author:</t>
        </r>
        <r>
          <rPr>
            <sz val="9"/>
            <color indexed="81"/>
            <rFont val="Tahoma"/>
            <family val="2"/>
          </rPr>
          <t xml:space="preserve">
include debt value of leases and pension liabilities</t>
        </r>
      </text>
    </comment>
    <comment ref="A36" authorId="0" shapeId="0" xr:uid="{B4D55461-B890-BF45-AF24-416185BF12D6}">
      <text>
        <r>
          <rPr>
            <b/>
            <sz val="9"/>
            <color indexed="81"/>
            <rFont val="Tahoma"/>
            <family val="2"/>
          </rPr>
          <t>Author:</t>
        </r>
        <r>
          <rPr>
            <sz val="9"/>
            <color indexed="81"/>
            <rFont val="Tahoma"/>
            <family val="2"/>
          </rPr>
          <t xml:space="preserve">
Estimated Value of straight bond portion</t>
        </r>
      </text>
    </comment>
    <comment ref="A48" authorId="0" shapeId="0" xr:uid="{9EC14FE4-7F22-824E-A1E0-04867C5F38AC}">
      <text>
        <r>
          <rPr>
            <b/>
            <sz val="9"/>
            <color indexed="81"/>
            <rFont val="Tahoma"/>
            <family val="2"/>
          </rPr>
          <t>Author:</t>
        </r>
        <r>
          <rPr>
            <sz val="9"/>
            <color indexed="81"/>
            <rFont val="Tahoma"/>
            <family val="2"/>
          </rPr>
          <t xml:space="preserve">
One time Effect</t>
        </r>
      </text>
    </comment>
    <comment ref="A51" authorId="0" shapeId="0" xr:uid="{78932C30-8379-0D41-9741-99E10CB2F068}">
      <text>
        <r>
          <rPr>
            <b/>
            <sz val="9"/>
            <color indexed="81"/>
            <rFont val="Tahoma"/>
            <family val="2"/>
          </rPr>
          <t>Author:</t>
        </r>
        <r>
          <rPr>
            <sz val="9"/>
            <color indexed="81"/>
            <rFont val="Tahoma"/>
            <family val="2"/>
          </rPr>
          <t xml:space="preserve">
Legal Jeopardy</t>
        </r>
      </text>
    </comment>
    <comment ref="A55" authorId="0" shapeId="0" xr:uid="{B4F6C5B5-99C4-2341-9735-AE59AE80968F}">
      <text>
        <r>
          <rPr>
            <b/>
            <sz val="9"/>
            <color indexed="81"/>
            <rFont val="Tahoma"/>
            <family val="2"/>
          </rPr>
          <t>Author:</t>
        </r>
        <r>
          <rPr>
            <sz val="9"/>
            <color indexed="81"/>
            <rFont val="Tahoma"/>
            <family val="2"/>
          </rPr>
          <t xml:space="preserve">
Revenue Effect</t>
        </r>
      </text>
    </comment>
    <comment ref="A56" authorId="0" shapeId="0" xr:uid="{96265F97-6B6A-2044-8DBC-6D828F241CCF}">
      <text>
        <r>
          <rPr>
            <b/>
            <sz val="9"/>
            <color indexed="81"/>
            <rFont val="Tahoma"/>
            <family val="2"/>
          </rPr>
          <t>NICO:</t>
        </r>
        <r>
          <rPr>
            <sz val="9"/>
            <color indexed="81"/>
            <rFont val="Tahoma"/>
            <family val="2"/>
          </rPr>
          <t xml:space="preserve">
Lost Operating Income</t>
        </r>
      </text>
    </comment>
    <comment ref="A63" authorId="0" shapeId="0" xr:uid="{56945362-9097-F74A-9405-51AB49297B5F}">
      <text>
        <r>
          <rPr>
            <b/>
            <sz val="9"/>
            <color indexed="81"/>
            <rFont val="Tahoma"/>
            <family val="2"/>
          </rPr>
          <t>Author:</t>
        </r>
        <r>
          <rPr>
            <sz val="9"/>
            <color indexed="81"/>
            <rFont val="Tahoma"/>
            <family val="2"/>
          </rPr>
          <t xml:space="preserve">
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
Many young, growth companies fail, especially if they have trouble raising cash. Many distressed companies fail, because they have trouble making debt payments.</t>
        </r>
      </text>
    </comment>
    <comment ref="A65" authorId="0" shapeId="0" xr:uid="{495B94D5-B5E6-C14A-A1FD-896C51978C45}">
      <text>
        <r>
          <rPr>
            <sz val="9"/>
            <color indexed="81"/>
            <rFont val="Tahoma"/>
            <family val="2"/>
          </rPr>
          <t xml:space="preserve">
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
If you want to look at ways of estimating this probability, try these papers I have on the topic:
For young growth companies: http://papers.ssrn.com/sol3/papers.cfm?abstract_id=1418687  
For declining, distressed companies: http://papers.ssrn.com/sol3/papers.cfm?abstract_id=1428022 </t>
        </r>
      </text>
    </comment>
    <comment ref="A67" authorId="0" shapeId="0" xr:uid="{281ACE6B-381E-CD4B-89E2-D62116B319A9}">
      <text>
        <r>
          <rPr>
            <sz val="9"/>
            <color indexed="81"/>
            <rFont val="Tahoma"/>
            <family val="2"/>
          </rPr>
          <t xml:space="preserve">
You will generally not get 100% of fair value. How much less than 100% you get will depend on whether there are lots of potential buyers for your assets and how much of a hurry you are in to liquidate. It may well be zero for a young growth company with no tangible assets.</t>
        </r>
      </text>
    </comment>
    <comment ref="A68" authorId="0" shapeId="0" xr:uid="{4C706016-B280-FE47-AA19-775247AFE84E}">
      <text>
        <r>
          <rPr>
            <sz val="9"/>
            <color indexed="81"/>
            <rFont val="Tahoma"/>
            <family val="2"/>
          </rPr>
          <t>You will generally not get 100% of fair value. How much less than 100% you get will depend on whether there are lots of potential buyers for your assets and how much of a hurry you are in to liquidate. It may well be zero for a young growth company with no tangible assets.
This can be zero, if the assets will be worth nothing if the firm fails.</t>
        </r>
      </text>
    </comment>
    <comment ref="A71" authorId="0" shapeId="0" xr:uid="{6CB536F9-EB49-2941-A102-BF73610CEC14}">
      <text>
        <r>
          <rPr>
            <sz val="9"/>
            <color indexed="81"/>
            <rFont val="Tahoma"/>
            <family val="2"/>
          </rPr>
          <t>What do you want to tie your proceeds in failure to?
If the firm fail and has to liquidate its assets, you need to specify what the liquidation proceeds will be tied to. For young growth companies, it would tie it to value and with distressed firms (especially ones with significant assets in place), we would use book value.
Proceeds if firm fails:
* Book value of capital
1: Book Value of Capital
2: Invested Capital
3: Enterprise Value
4: Fair value of Operating Assets</t>
        </r>
      </text>
    </comment>
    <comment ref="A79" authorId="0" shapeId="0" xr:uid="{C8B1A5C6-CA38-E545-9582-3E824F9B2AD1}">
      <text>
        <r>
          <rPr>
            <sz val="9"/>
            <color indexed="81"/>
            <rFont val="Tahoma"/>
            <family val="2"/>
          </rPr>
          <t>Percentage of the proceeds that be withdrawn by owners. Assume that the proceeds of the IPO will be retained by the company (for use in future investments).</t>
        </r>
      </text>
    </comment>
    <comment ref="A80" authorId="0" shapeId="0" xr:uid="{F1A23975-1D3D-0D4A-9731-CACD015749C4}">
      <text>
        <r>
          <rPr>
            <b/>
            <sz val="9"/>
            <color indexed="81"/>
            <rFont val="Geneva"/>
          </rPr>
          <t>Author:</t>
        </r>
        <r>
          <rPr>
            <sz val="9"/>
            <color indexed="81"/>
            <rFont val="Geneva"/>
          </rPr>
          <t xml:space="preserve">
Number of shares that will be sold on offering date. Most likely, not decided by company &amp; bankers yet. Update when offering details set. News reports could provide hints on what the company would like to raise (e.g., $1 billion) from offering.
</t>
        </r>
      </text>
    </comment>
    <comment ref="A86" authorId="0" shapeId="0" xr:uid="{DA878AA7-4A72-8143-946B-D7372F5DBC71}">
      <text>
        <r>
          <rPr>
            <b/>
            <sz val="9"/>
            <color indexed="81"/>
            <rFont val="Tahoma"/>
            <family val="2"/>
          </rPr>
          <t>Author:</t>
        </r>
        <r>
          <rPr>
            <sz val="9"/>
            <color indexed="81"/>
            <rFont val="Tahoma"/>
            <family val="2"/>
          </rPr>
          <t xml:space="preserve">
If equal to zero then I assume that none of the cash is trapped (in foreign countries) and that there is no additional tax liability coming due</t>
        </r>
      </text>
    </comment>
    <comment ref="A87" authorId="0" shapeId="0" xr:uid="{3814957A-C45D-9848-B032-ED9BB461E8D5}">
      <text>
        <r>
          <rPr>
            <b/>
            <sz val="9"/>
            <color indexed="81"/>
            <rFont val="Tahoma"/>
            <family val="2"/>
          </rPr>
          <t>Author:</t>
        </r>
        <r>
          <rPr>
            <sz val="9"/>
            <color indexed="81"/>
            <rFont val="Tahoma"/>
            <family val="2"/>
          </rPr>
          <t xml:space="preserve">
where the cash is trapped</t>
        </r>
      </text>
    </comment>
    <comment ref="A103" authorId="0" shapeId="0" xr:uid="{73BD5523-20A1-414B-9F48-A9BE90096B76}">
      <text>
        <r>
          <rPr>
            <b/>
            <sz val="9"/>
            <color indexed="81"/>
            <rFont val="Tahoma"/>
            <family val="2"/>
          </rPr>
          <t>Author:</t>
        </r>
        <r>
          <rPr>
            <sz val="9"/>
            <color indexed="81"/>
            <rFont val="Tahoma"/>
            <family val="2"/>
          </rPr>
          <t xml:space="preserve">
to tax rate, reinvestment rate and growth rate</t>
        </r>
      </text>
    </comment>
    <comment ref="A104" authorId="0" shapeId="0" xr:uid="{A97884B0-8BCE-C740-9601-E936ECD16866}">
      <text>
        <r>
          <rPr>
            <b/>
            <sz val="9"/>
            <color indexed="81"/>
            <rFont val="Tahoma"/>
            <family val="2"/>
          </rPr>
          <t>Author:</t>
        </r>
        <r>
          <rPr>
            <sz val="9"/>
            <color indexed="81"/>
            <rFont val="Tahoma"/>
            <family val="2"/>
          </rPr>
          <t xml:space="preserve">
If the return on capital cost of capital,</t>
        </r>
      </text>
    </comment>
    <comment ref="A105" authorId="0" shapeId="0" xr:uid="{5C49C0F0-F754-124B-9AEE-F696FF361338}">
      <text>
        <r>
          <rPr>
            <b/>
            <sz val="9"/>
            <color indexed="81"/>
            <rFont val="Tahoma"/>
            <family val="2"/>
          </rPr>
          <t>Author:</t>
        </r>
        <r>
          <rPr>
            <sz val="9"/>
            <color indexed="81"/>
            <rFont val="Tahoma"/>
            <family val="2"/>
          </rPr>
          <t xml:space="preserve">
A default assumption in DCF valuation is that the company grows at the risk free rate, has a cost of capital Riskfree rate +4.5%, pays the marginal tax rate on earnings, and earns a ROC Cost of capital). I am not suggesting that you need to adopt all of these defaults, but if you do, your terminal value will look as follows.</t>
        </r>
      </text>
    </comment>
    <comment ref="A107" authorId="0" shapeId="0" xr:uid="{E548F4A7-34C4-7145-AD21-7736C1D2C97E}">
      <text>
        <r>
          <rPr>
            <b/>
            <sz val="9"/>
            <color indexed="81"/>
            <rFont val="Tahoma"/>
            <family val="2"/>
          </rPr>
          <t>Author:</t>
        </r>
        <r>
          <rPr>
            <sz val="9"/>
            <color indexed="81"/>
            <rFont val="Tahoma"/>
            <family val="2"/>
          </rPr>
          <t xml:space="preserve">
Potential problems</t>
        </r>
      </text>
    </comment>
    <comment ref="A115" authorId="0" shapeId="0" xr:uid="{3EDD4A28-43AE-EE4B-A9DE-A4B4B45D4618}">
      <text>
        <r>
          <rPr>
            <b/>
            <sz val="9"/>
            <color indexed="81"/>
            <rFont val="Tahoma"/>
            <family val="2"/>
          </rPr>
          <t>Author:</t>
        </r>
        <r>
          <rPr>
            <sz val="9"/>
            <color indexed="81"/>
            <rFont val="Tahoma"/>
            <family val="2"/>
          </rPr>
          <t xml:space="preserve">
Terminal value numbers</t>
        </r>
      </text>
    </comment>
    <comment ref="A118" authorId="0" shapeId="0" xr:uid="{34594860-AFEE-3F46-BDCC-9E1E2AE6D173}">
      <text>
        <r>
          <rPr>
            <b/>
            <sz val="9"/>
            <color indexed="81"/>
            <rFont val="Tahoma"/>
            <family val="2"/>
          </rPr>
          <t>Author:</t>
        </r>
        <r>
          <rPr>
            <sz val="9"/>
            <color indexed="81"/>
            <rFont val="Tahoma"/>
            <family val="2"/>
          </rPr>
          <t xml:space="preserve">
This is what is being used in the numerator of your terminal value</t>
        </r>
      </text>
    </comment>
    <comment ref="A122" authorId="0" shapeId="0" xr:uid="{3A7A5077-48FF-FE48-B38E-61D1C01F4855}">
      <text>
        <r>
          <rPr>
            <b/>
            <sz val="9"/>
            <color indexed="81"/>
            <rFont val="Tahoma"/>
            <family val="2"/>
          </rPr>
          <t>Author:</t>
        </r>
        <r>
          <rPr>
            <sz val="9"/>
            <color indexed="81"/>
            <rFont val="Tahoma"/>
            <family val="2"/>
          </rPr>
          <t xml:space="preserve">
Starting numbers</t>
        </r>
      </text>
    </comment>
    <comment ref="A128" authorId="0" shapeId="0" xr:uid="{5E97B338-E62F-6C4D-AB0E-1B7348B3C7C4}">
      <text>
        <r>
          <rPr>
            <b/>
            <sz val="9"/>
            <color indexed="81"/>
            <rFont val="Tahoma"/>
            <family val="2"/>
          </rPr>
          <t>Author:</t>
        </r>
        <r>
          <rPr>
            <sz val="9"/>
            <color indexed="81"/>
            <rFont val="Tahoma"/>
            <family val="2"/>
          </rPr>
          <t xml:space="preserve">
*** If calculated value is negative or looks too low
- Revenue growth rate: Increase revenue growth rate
- Last period EBIT as % of revenue: Increase the target pre-tax operating margin
- Sales to Capital Ratio or reinvestment: Decrease the sales/capital ratio
- Return on capital in perpetuity: Increase relative to your cost of capital
*** If calculated value looks too high
- Revenue growth rate: Decrease revenue growth rate
- Last period EBIT as % of revenue: Decrease the target pre-tax operating margin
- Sales to Capital Ratio or reinvestment: Increase the sales/capital ratio
- Return on capital in perpetuity: If higher than your cost of capital, lower towards your cost of capital</t>
        </r>
      </text>
    </comment>
    <comment ref="A131" authorId="0" shapeId="0" xr:uid="{C7B7E69B-4960-6246-A500-D04F34BDD332}">
      <text>
        <r>
          <rPr>
            <b/>
            <sz val="9"/>
            <color indexed="81"/>
            <rFont val="Tahoma"/>
            <family val="2"/>
          </rPr>
          <t>Author:</t>
        </r>
        <r>
          <rPr>
            <sz val="9"/>
            <color indexed="81"/>
            <rFont val="Tahoma"/>
            <family val="2"/>
          </rPr>
          <t xml:space="preserve">
Compare this return on capital in year 10 against
a.  the industry average
b. the return on capital after year 10
If it is too high (low), you may want to lower  (raise) your sales to capital ratio
</t>
        </r>
      </text>
    </comment>
    <comment ref="A140" authorId="0" shapeId="0" xr:uid="{23AE08E9-C3C1-C347-AC7B-458A8349B986}">
      <text>
        <r>
          <rPr>
            <b/>
            <sz val="9"/>
            <color indexed="81"/>
            <rFont val="Tahoma"/>
            <family val="2"/>
          </rPr>
          <t>Author:</t>
        </r>
        <r>
          <rPr>
            <sz val="9"/>
            <color indexed="81"/>
            <rFont val="Tahoma"/>
            <family val="2"/>
          </rPr>
          <t xml:space="preserve">
This is is how much your operating income grew over the ten-year period.
</t>
        </r>
      </text>
    </comment>
    <comment ref="A156" authorId="0" shapeId="0" xr:uid="{9E1BE5F3-B193-8642-9F07-79755D917765}">
      <text>
        <r>
          <rPr>
            <b/>
            <sz val="9"/>
            <color indexed="81"/>
            <rFont val="Tahoma"/>
            <family val="2"/>
          </rPr>
          <t>Author:</t>
        </r>
        <r>
          <rPr>
            <sz val="9"/>
            <color indexed="81"/>
            <rFont val="Tahoma"/>
            <family val="2"/>
          </rPr>
          <t xml:space="preserve">
Check these revenues against
a. Overall market size
b. Largest companies in this market
</t>
        </r>
      </text>
    </comment>
    <comment ref="A161" authorId="0" shapeId="0" xr:uid="{BB66930C-B766-0944-8A2D-E4BA5CEC1882}">
      <text>
        <r>
          <rPr>
            <b/>
            <sz val="9"/>
            <color indexed="81"/>
            <rFont val="Tahoma"/>
            <family val="2"/>
          </rPr>
          <t>Author:</t>
        </r>
        <r>
          <rPr>
            <sz val="9"/>
            <color indexed="81"/>
            <rFont val="Tahoma"/>
            <family val="2"/>
          </rPr>
          <t xml:space="preserve">
Length of the period that you will be able to maintain high growth before becoming stable growth firm.</t>
        </r>
      </text>
    </comment>
    <comment ref="A387" authorId="0" shapeId="0" xr:uid="{D7BDB59C-AE46-0F48-9936-1F24BBB4418F}">
      <text>
        <r>
          <rPr>
            <b/>
            <sz val="9"/>
            <color indexed="81"/>
            <rFont val="Tahoma"/>
            <family val="2"/>
          </rPr>
          <t>Author:</t>
        </r>
        <r>
          <rPr>
            <sz val="9"/>
            <color indexed="81"/>
            <rFont val="Tahoma"/>
            <family val="2"/>
          </rPr>
          <t xml:space="preserve">
Check these revenues against
a. Overall market size
b. Largest companies in this market
</t>
        </r>
      </text>
    </comment>
    <comment ref="A410" authorId="0" shapeId="0" xr:uid="{5356761E-166C-2B46-90C0-8AA91CFE9186}">
      <text>
        <r>
          <rPr>
            <b/>
            <sz val="9"/>
            <color indexed="81"/>
            <rFont val="Geneva"/>
          </rPr>
          <t>Author:</t>
        </r>
        <r>
          <rPr>
            <sz val="9"/>
            <color indexed="81"/>
            <rFont val="Geneva"/>
          </rPr>
          <t xml:space="preserve">
Market Value of all equity = Market Capitalization + Value of employee options + Value of Conversion options</t>
        </r>
      </text>
    </comment>
    <comment ref="A426" authorId="0" shapeId="0" xr:uid="{3ED34E0D-9B06-AA48-9F16-C7F96ABA00C1}">
      <text>
        <r>
          <rPr>
            <b/>
            <sz val="9"/>
            <color indexed="81"/>
            <rFont val="Geneva"/>
          </rPr>
          <t>Author:</t>
        </r>
        <r>
          <rPr>
            <sz val="9"/>
            <color indexed="81"/>
            <rFont val="Geneva"/>
          </rPr>
          <t xml:space="preserve">
Use a sector average unlevered beta (adjusted for cash) if need be. If you are in multiple businesses, you can construct your own weighted averages using the industry average table from this spreadsheet and your company's business breakdown.</t>
        </r>
      </text>
    </comment>
    <comment ref="A428" authorId="0" shapeId="0" xr:uid="{1AE6EFCD-9FA5-BD4C-80BA-3DB6BF6774E4}">
      <text>
        <r>
          <rPr>
            <b/>
            <sz val="9"/>
            <color indexed="81"/>
            <rFont val="Geneva"/>
          </rPr>
          <t>Author:</t>
        </r>
        <r>
          <rPr>
            <sz val="9"/>
            <color indexed="81"/>
            <rFont val="Geneva"/>
          </rPr>
          <t xml:space="preserve">
You can use either the historical premium or the implied premium  or an augmented premium for country risk.
If the company has risk exposure in emergiing markets, incorporate that risk premiums here</t>
        </r>
      </text>
    </comment>
    <comment ref="A429" authorId="0" shapeId="0" xr:uid="{CB4C7FC7-C17D-4744-A86D-66477C72455D}">
      <text>
        <r>
          <rPr>
            <b/>
            <sz val="9"/>
            <color indexed="81"/>
            <rFont val="Geneva"/>
          </rPr>
          <t>Author:</t>
        </r>
        <r>
          <rPr>
            <sz val="9"/>
            <color indexed="81"/>
            <rFont val="Geneva"/>
          </rPr>
          <t xml:space="preserve">
This should be today's long term riskfree rate (today's ten -year government bond rate). If you are working with a currency where the government has default risk, clean up the government bond rate to make it riskfree (by subtracting the default spread for the government)</t>
        </r>
      </text>
    </comment>
    <comment ref="B433" authorId="0" shapeId="0" xr:uid="{1FA989A5-9E6E-3F4D-B6B7-CB15630A7713}">
      <text>
        <r>
          <rPr>
            <b/>
            <sz val="9"/>
            <color indexed="81"/>
            <rFont val="Tahoma"/>
            <family val="2"/>
          </rPr>
          <t>Author:</t>
        </r>
        <r>
          <rPr>
            <sz val="9"/>
            <color indexed="81"/>
            <rFont val="Tahoma"/>
            <family val="2"/>
          </rPr>
          <t xml:space="preserve">
Computers/Peripherals</t>
        </r>
      </text>
    </comment>
    <comment ref="C433" authorId="0" shapeId="0" xr:uid="{97ACEBD8-CD3D-AC4F-8807-DBAB4EB57684}">
      <text>
        <r>
          <rPr>
            <b/>
            <sz val="9"/>
            <color indexed="81"/>
            <rFont val="Tahoma"/>
            <family val="2"/>
          </rPr>
          <t>Author:</t>
        </r>
        <r>
          <rPr>
            <sz val="9"/>
            <color indexed="81"/>
            <rFont val="Tahoma"/>
            <family val="2"/>
          </rPr>
          <t xml:space="preserve">
Computers/Peripherals</t>
        </r>
      </text>
    </comment>
    <comment ref="D433" authorId="0" shapeId="0" xr:uid="{2B71CF3D-06C2-324D-BC2B-9C127E3B39BC}">
      <text>
        <r>
          <rPr>
            <b/>
            <sz val="9"/>
            <color indexed="81"/>
            <rFont val="Tahoma"/>
            <family val="2"/>
          </rPr>
          <t>Author:</t>
        </r>
        <r>
          <rPr>
            <sz val="9"/>
            <color indexed="81"/>
            <rFont val="Tahoma"/>
            <family val="2"/>
          </rPr>
          <t xml:space="preserve">
Computers/Peripherals</t>
        </r>
      </text>
    </comment>
    <comment ref="E433" authorId="0" shapeId="0" xr:uid="{B0958E3C-DF6C-5D4F-B0B6-95E94556E389}">
      <text>
        <r>
          <rPr>
            <b/>
            <sz val="9"/>
            <color indexed="81"/>
            <rFont val="Tahoma"/>
            <family val="2"/>
          </rPr>
          <t>Author:</t>
        </r>
        <r>
          <rPr>
            <sz val="9"/>
            <color indexed="81"/>
            <rFont val="Tahoma"/>
            <family val="2"/>
          </rPr>
          <t xml:space="preserve">
Computers/Peripherals</t>
        </r>
      </text>
    </comment>
    <comment ref="F433" authorId="0" shapeId="0" xr:uid="{52E6F5BF-267A-6242-88C6-B45528FADAB4}">
      <text>
        <r>
          <rPr>
            <b/>
            <sz val="9"/>
            <color indexed="81"/>
            <rFont val="Tahoma"/>
            <family val="2"/>
          </rPr>
          <t>Author:</t>
        </r>
        <r>
          <rPr>
            <sz val="9"/>
            <color indexed="81"/>
            <rFont val="Tahoma"/>
            <family val="2"/>
          </rPr>
          <t xml:space="preserve">
Computers/Peripherals</t>
        </r>
      </text>
    </comment>
    <comment ref="G433" authorId="0" shapeId="0" xr:uid="{14CD5C06-5B21-2749-935B-E6356D7F7667}">
      <text>
        <r>
          <rPr>
            <b/>
            <sz val="9"/>
            <color indexed="81"/>
            <rFont val="Tahoma"/>
            <family val="2"/>
          </rPr>
          <t>Author:</t>
        </r>
        <r>
          <rPr>
            <sz val="9"/>
            <color indexed="81"/>
            <rFont val="Tahoma"/>
            <family val="2"/>
          </rPr>
          <t xml:space="preserve">
Computers/Peripherals</t>
        </r>
      </text>
    </comment>
    <comment ref="H433" authorId="0" shapeId="0" xr:uid="{169CDC5F-BAC0-4648-8C69-C0BCB7AEBCF2}">
      <text>
        <r>
          <rPr>
            <b/>
            <sz val="9"/>
            <color indexed="81"/>
            <rFont val="Tahoma"/>
            <family val="2"/>
          </rPr>
          <t>Author:</t>
        </r>
        <r>
          <rPr>
            <sz val="9"/>
            <color indexed="81"/>
            <rFont val="Tahoma"/>
            <family val="2"/>
          </rPr>
          <t xml:space="preserve">
Computers/Peripherals</t>
        </r>
      </text>
    </comment>
    <comment ref="I433" authorId="0" shapeId="0" xr:uid="{C4982998-B3F2-5941-848B-1B73A84C1F66}">
      <text>
        <r>
          <rPr>
            <b/>
            <sz val="9"/>
            <color indexed="81"/>
            <rFont val="Tahoma"/>
            <family val="2"/>
          </rPr>
          <t>Author:</t>
        </r>
        <r>
          <rPr>
            <sz val="9"/>
            <color indexed="81"/>
            <rFont val="Tahoma"/>
            <family val="2"/>
          </rPr>
          <t xml:space="preserve">
Computers/Peripherals</t>
        </r>
      </text>
    </comment>
    <comment ref="B434" authorId="0" shapeId="0" xr:uid="{75F8C640-A3F5-C247-9B8E-56041E815B39}">
      <text>
        <r>
          <rPr>
            <b/>
            <sz val="9"/>
            <color indexed="81"/>
            <rFont val="Tahoma"/>
            <family val="2"/>
          </rPr>
          <t>Author:</t>
        </r>
        <r>
          <rPr>
            <sz val="9"/>
            <color indexed="81"/>
            <rFont val="Tahoma"/>
            <family val="2"/>
          </rPr>
          <t xml:space="preserve">
Electronics (General)</t>
        </r>
      </text>
    </comment>
    <comment ref="C434" authorId="0" shapeId="0" xr:uid="{F9C458CB-39AD-C84D-8339-26D36AEC2907}">
      <text>
        <r>
          <rPr>
            <b/>
            <sz val="9"/>
            <color indexed="81"/>
            <rFont val="Tahoma"/>
            <family val="2"/>
          </rPr>
          <t>Author:</t>
        </r>
        <r>
          <rPr>
            <sz val="9"/>
            <color indexed="81"/>
            <rFont val="Tahoma"/>
            <family val="2"/>
          </rPr>
          <t xml:space="preserve">
Electronics (General)</t>
        </r>
      </text>
    </comment>
    <comment ref="D434" authorId="0" shapeId="0" xr:uid="{39F1ADA0-670B-5F40-8D00-E77DA4AA006A}">
      <text>
        <r>
          <rPr>
            <b/>
            <sz val="9"/>
            <color indexed="81"/>
            <rFont val="Tahoma"/>
            <family val="2"/>
          </rPr>
          <t>Author:</t>
        </r>
        <r>
          <rPr>
            <sz val="9"/>
            <color indexed="81"/>
            <rFont val="Tahoma"/>
            <family val="2"/>
          </rPr>
          <t xml:space="preserve">
Electronics (General)</t>
        </r>
      </text>
    </comment>
    <comment ref="E434" authorId="0" shapeId="0" xr:uid="{7CFC5047-7389-F340-BE4F-FBF1F1D808B9}">
      <text>
        <r>
          <rPr>
            <b/>
            <sz val="9"/>
            <color indexed="81"/>
            <rFont val="Tahoma"/>
            <family val="2"/>
          </rPr>
          <t>Author:</t>
        </r>
        <r>
          <rPr>
            <sz val="9"/>
            <color indexed="81"/>
            <rFont val="Tahoma"/>
            <family val="2"/>
          </rPr>
          <t xml:space="preserve">
Electronics (General)</t>
        </r>
      </text>
    </comment>
    <comment ref="F434" authorId="0" shapeId="0" xr:uid="{8A46FD30-D0F0-EC4C-8953-7584E572B9A0}">
      <text>
        <r>
          <rPr>
            <b/>
            <sz val="9"/>
            <color indexed="81"/>
            <rFont val="Tahoma"/>
            <family val="2"/>
          </rPr>
          <t>Author:</t>
        </r>
        <r>
          <rPr>
            <sz val="9"/>
            <color indexed="81"/>
            <rFont val="Tahoma"/>
            <family val="2"/>
          </rPr>
          <t xml:space="preserve">
Electronics (General)</t>
        </r>
      </text>
    </comment>
    <comment ref="G434" authorId="0" shapeId="0" xr:uid="{82483F3D-488A-AD44-98FE-7369926F2FB7}">
      <text>
        <r>
          <rPr>
            <b/>
            <sz val="9"/>
            <color indexed="81"/>
            <rFont val="Tahoma"/>
            <family val="2"/>
          </rPr>
          <t>Author:</t>
        </r>
        <r>
          <rPr>
            <sz val="9"/>
            <color indexed="81"/>
            <rFont val="Tahoma"/>
            <family val="2"/>
          </rPr>
          <t xml:space="preserve">
Electronics (General)</t>
        </r>
      </text>
    </comment>
    <comment ref="H434" authorId="0" shapeId="0" xr:uid="{ED31504C-8D08-514A-A97E-1CA158F3CCF8}">
      <text>
        <r>
          <rPr>
            <b/>
            <sz val="9"/>
            <color indexed="81"/>
            <rFont val="Tahoma"/>
            <family val="2"/>
          </rPr>
          <t>Author:</t>
        </r>
        <r>
          <rPr>
            <sz val="9"/>
            <color indexed="81"/>
            <rFont val="Tahoma"/>
            <family val="2"/>
          </rPr>
          <t xml:space="preserve">
Electronics (General)</t>
        </r>
      </text>
    </comment>
    <comment ref="I434" authorId="0" shapeId="0" xr:uid="{9CEC3345-9E68-784E-B5C2-110F8D26927D}">
      <text>
        <r>
          <rPr>
            <b/>
            <sz val="9"/>
            <color indexed="81"/>
            <rFont val="Tahoma"/>
            <family val="2"/>
          </rPr>
          <t>Author:</t>
        </r>
        <r>
          <rPr>
            <sz val="9"/>
            <color indexed="81"/>
            <rFont val="Tahoma"/>
            <family val="2"/>
          </rPr>
          <t xml:space="preserve">
Electronics (General)</t>
        </r>
      </text>
    </comment>
    <comment ref="B435" authorId="0" shapeId="0" xr:uid="{429DA514-7EF5-6F4A-91FA-335432AF33B3}">
      <text>
        <r>
          <rPr>
            <b/>
            <sz val="9"/>
            <color indexed="81"/>
            <rFont val="Tahoma"/>
            <family val="2"/>
          </rPr>
          <t>Author:</t>
        </r>
        <r>
          <rPr>
            <sz val="9"/>
            <color indexed="81"/>
            <rFont val="Tahoma"/>
            <family val="2"/>
          </rPr>
          <t xml:space="preserve">
Retail (Special Lines)</t>
        </r>
      </text>
    </comment>
    <comment ref="C435" authorId="0" shapeId="0" xr:uid="{E8FCAA63-9316-5F47-A8F7-087ED72A0C87}">
      <text>
        <r>
          <rPr>
            <b/>
            <sz val="9"/>
            <color indexed="81"/>
            <rFont val="Tahoma"/>
            <family val="2"/>
          </rPr>
          <t>Author:</t>
        </r>
        <r>
          <rPr>
            <sz val="9"/>
            <color indexed="81"/>
            <rFont val="Tahoma"/>
            <family val="2"/>
          </rPr>
          <t xml:space="preserve">
Retail (Special Lines)</t>
        </r>
      </text>
    </comment>
    <comment ref="D435" authorId="0" shapeId="0" xr:uid="{37631BC3-1D95-B440-87BD-8C315258D6FF}">
      <text>
        <r>
          <rPr>
            <b/>
            <sz val="9"/>
            <color indexed="81"/>
            <rFont val="Tahoma"/>
            <family val="2"/>
          </rPr>
          <t>Author:</t>
        </r>
        <r>
          <rPr>
            <sz val="9"/>
            <color indexed="81"/>
            <rFont val="Tahoma"/>
            <family val="2"/>
          </rPr>
          <t xml:space="preserve">
Retail (Special Lines)</t>
        </r>
      </text>
    </comment>
    <comment ref="E435" authorId="0" shapeId="0" xr:uid="{3118E725-4735-1940-8BD3-F047AB680BC9}">
      <text>
        <r>
          <rPr>
            <b/>
            <sz val="9"/>
            <color indexed="81"/>
            <rFont val="Tahoma"/>
            <family val="2"/>
          </rPr>
          <t>Author:</t>
        </r>
        <r>
          <rPr>
            <sz val="9"/>
            <color indexed="81"/>
            <rFont val="Tahoma"/>
            <family val="2"/>
          </rPr>
          <t xml:space="preserve">
Retail (Special Lines)</t>
        </r>
      </text>
    </comment>
    <comment ref="F435" authorId="0" shapeId="0" xr:uid="{25CFBDCD-BF64-4140-BCFB-901C0394CB68}">
      <text>
        <r>
          <rPr>
            <b/>
            <sz val="9"/>
            <color indexed="81"/>
            <rFont val="Tahoma"/>
            <family val="2"/>
          </rPr>
          <t>Author:</t>
        </r>
        <r>
          <rPr>
            <sz val="9"/>
            <color indexed="81"/>
            <rFont val="Tahoma"/>
            <family val="2"/>
          </rPr>
          <t xml:space="preserve">
Retail (Special Lines)</t>
        </r>
      </text>
    </comment>
    <comment ref="G435" authorId="0" shapeId="0" xr:uid="{86DEBD89-06CA-9841-A998-28F117127B50}">
      <text>
        <r>
          <rPr>
            <b/>
            <sz val="9"/>
            <color indexed="81"/>
            <rFont val="Tahoma"/>
            <family val="2"/>
          </rPr>
          <t>Author:</t>
        </r>
        <r>
          <rPr>
            <sz val="9"/>
            <color indexed="81"/>
            <rFont val="Tahoma"/>
            <family val="2"/>
          </rPr>
          <t xml:space="preserve">
Retail (Special Lines)</t>
        </r>
      </text>
    </comment>
    <comment ref="H435" authorId="0" shapeId="0" xr:uid="{66BDBD25-91ED-874C-BCE6-B778D088DBDC}">
      <text>
        <r>
          <rPr>
            <b/>
            <sz val="9"/>
            <color indexed="81"/>
            <rFont val="Tahoma"/>
            <family val="2"/>
          </rPr>
          <t>Author:</t>
        </r>
        <r>
          <rPr>
            <sz val="9"/>
            <color indexed="81"/>
            <rFont val="Tahoma"/>
            <family val="2"/>
          </rPr>
          <t xml:space="preserve">
Retail (Special Lines)</t>
        </r>
      </text>
    </comment>
    <comment ref="I435" authorId="0" shapeId="0" xr:uid="{FFB82AFB-A65B-B040-8A43-F64310F928AB}">
      <text>
        <r>
          <rPr>
            <b/>
            <sz val="9"/>
            <color indexed="81"/>
            <rFont val="Tahoma"/>
            <family val="2"/>
          </rPr>
          <t>Author:</t>
        </r>
        <r>
          <rPr>
            <sz val="9"/>
            <color indexed="81"/>
            <rFont val="Tahoma"/>
            <family val="2"/>
          </rPr>
          <t xml:space="preserve">
Retail (Special Lines)</t>
        </r>
      </text>
    </comment>
    <comment ref="B445" authorId="0" shapeId="0" xr:uid="{60BDF06C-9FB2-2148-AC3B-C5BD656A3459}">
      <text>
        <r>
          <rPr>
            <b/>
            <sz val="9"/>
            <color indexed="81"/>
            <rFont val="Tahoma"/>
            <family val="2"/>
          </rPr>
          <t>Author:</t>
        </r>
        <r>
          <rPr>
            <sz val="9"/>
            <color indexed="81"/>
            <rFont val="Tahoma"/>
            <family val="2"/>
          </rPr>
          <t xml:space="preserve">
Computers/Peripherals</t>
        </r>
      </text>
    </comment>
    <comment ref="C445" authorId="0" shapeId="0" xr:uid="{D418C3F7-1C2D-614B-BCF7-BE48260B4E8F}">
      <text>
        <r>
          <rPr>
            <b/>
            <sz val="9"/>
            <color indexed="81"/>
            <rFont val="Tahoma"/>
            <family val="2"/>
          </rPr>
          <t>Author:</t>
        </r>
        <r>
          <rPr>
            <sz val="9"/>
            <color indexed="81"/>
            <rFont val="Tahoma"/>
            <family val="2"/>
          </rPr>
          <t xml:space="preserve">
Computers/Peripherals</t>
        </r>
      </text>
    </comment>
    <comment ref="D445" authorId="0" shapeId="0" xr:uid="{548CEE99-12B5-3D40-A558-8B3E44077450}">
      <text>
        <r>
          <rPr>
            <b/>
            <sz val="9"/>
            <color indexed="81"/>
            <rFont val="Tahoma"/>
            <family val="2"/>
          </rPr>
          <t>Author:</t>
        </r>
        <r>
          <rPr>
            <sz val="9"/>
            <color indexed="81"/>
            <rFont val="Tahoma"/>
            <family val="2"/>
          </rPr>
          <t xml:space="preserve">
Computers/Peripherals</t>
        </r>
      </text>
    </comment>
    <comment ref="E445" authorId="0" shapeId="0" xr:uid="{A90FD0C5-B2BF-B348-8C4F-2B68B699D086}">
      <text>
        <r>
          <rPr>
            <b/>
            <sz val="9"/>
            <color indexed="81"/>
            <rFont val="Tahoma"/>
            <family val="2"/>
          </rPr>
          <t>Author:</t>
        </r>
        <r>
          <rPr>
            <sz val="9"/>
            <color indexed="81"/>
            <rFont val="Tahoma"/>
            <family val="2"/>
          </rPr>
          <t xml:space="preserve">
Computers/Peripherals</t>
        </r>
      </text>
    </comment>
    <comment ref="F445" authorId="0" shapeId="0" xr:uid="{578AE2AB-8E5A-F04F-A8C1-F27292AE99D4}">
      <text>
        <r>
          <rPr>
            <b/>
            <sz val="9"/>
            <color indexed="81"/>
            <rFont val="Tahoma"/>
            <family val="2"/>
          </rPr>
          <t>Author:</t>
        </r>
        <r>
          <rPr>
            <sz val="9"/>
            <color indexed="81"/>
            <rFont val="Tahoma"/>
            <family val="2"/>
          </rPr>
          <t xml:space="preserve">
Computers/Peripherals</t>
        </r>
      </text>
    </comment>
    <comment ref="G445" authorId="0" shapeId="0" xr:uid="{3AB9F8B5-2EFE-9841-9673-B8F6D126570A}">
      <text>
        <r>
          <rPr>
            <b/>
            <sz val="9"/>
            <color indexed="81"/>
            <rFont val="Tahoma"/>
            <family val="2"/>
          </rPr>
          <t>Author:</t>
        </r>
        <r>
          <rPr>
            <sz val="9"/>
            <color indexed="81"/>
            <rFont val="Tahoma"/>
            <family val="2"/>
          </rPr>
          <t xml:space="preserve">
Computers/Peripherals</t>
        </r>
      </text>
    </comment>
    <comment ref="H445" authorId="0" shapeId="0" xr:uid="{6587EDB2-31C5-4149-9C80-49B126425C3A}">
      <text>
        <r>
          <rPr>
            <b/>
            <sz val="9"/>
            <color indexed="81"/>
            <rFont val="Tahoma"/>
            <family val="2"/>
          </rPr>
          <t>Author:</t>
        </r>
        <r>
          <rPr>
            <sz val="9"/>
            <color indexed="81"/>
            <rFont val="Tahoma"/>
            <family val="2"/>
          </rPr>
          <t xml:space="preserve">
Computers/Peripherals</t>
        </r>
      </text>
    </comment>
    <comment ref="I445" authorId="0" shapeId="0" xr:uid="{E7955839-04BC-CC40-8CB4-096F1BB368B6}">
      <text>
        <r>
          <rPr>
            <b/>
            <sz val="9"/>
            <color indexed="81"/>
            <rFont val="Tahoma"/>
            <family val="2"/>
          </rPr>
          <t>Author:</t>
        </r>
        <r>
          <rPr>
            <sz val="9"/>
            <color indexed="81"/>
            <rFont val="Tahoma"/>
            <family val="2"/>
          </rPr>
          <t xml:space="preserve">
Computers/Peripherals</t>
        </r>
      </text>
    </comment>
    <comment ref="B446" authorId="0" shapeId="0" xr:uid="{2BF8CBB3-EC7F-E641-BD4B-29978B0984F6}">
      <text>
        <r>
          <rPr>
            <b/>
            <sz val="9"/>
            <color indexed="81"/>
            <rFont val="Tahoma"/>
            <family val="2"/>
          </rPr>
          <t>Author:</t>
        </r>
        <r>
          <rPr>
            <sz val="9"/>
            <color indexed="81"/>
            <rFont val="Tahoma"/>
            <family val="2"/>
          </rPr>
          <t xml:space="preserve">
Electronics (General)</t>
        </r>
      </text>
    </comment>
    <comment ref="C446" authorId="0" shapeId="0" xr:uid="{6D229D4D-8344-BE4A-AC3B-FE4A1BF15EBA}">
      <text>
        <r>
          <rPr>
            <b/>
            <sz val="9"/>
            <color indexed="81"/>
            <rFont val="Tahoma"/>
            <family val="2"/>
          </rPr>
          <t>Author:</t>
        </r>
        <r>
          <rPr>
            <sz val="9"/>
            <color indexed="81"/>
            <rFont val="Tahoma"/>
            <family val="2"/>
          </rPr>
          <t xml:space="preserve">
Electronics (General)</t>
        </r>
      </text>
    </comment>
    <comment ref="D446" authorId="0" shapeId="0" xr:uid="{3E5EF7DF-FE39-7441-A6EF-30614D760D9F}">
      <text>
        <r>
          <rPr>
            <b/>
            <sz val="9"/>
            <color indexed="81"/>
            <rFont val="Tahoma"/>
            <family val="2"/>
          </rPr>
          <t>Author:</t>
        </r>
        <r>
          <rPr>
            <sz val="9"/>
            <color indexed="81"/>
            <rFont val="Tahoma"/>
            <family val="2"/>
          </rPr>
          <t xml:space="preserve">
Electronics (General)</t>
        </r>
      </text>
    </comment>
    <comment ref="E446" authorId="0" shapeId="0" xr:uid="{EFAA5636-39AB-5340-A1EF-91EBB8B61544}">
      <text>
        <r>
          <rPr>
            <b/>
            <sz val="9"/>
            <color indexed="81"/>
            <rFont val="Tahoma"/>
            <family val="2"/>
          </rPr>
          <t>Author:</t>
        </r>
        <r>
          <rPr>
            <sz val="9"/>
            <color indexed="81"/>
            <rFont val="Tahoma"/>
            <family val="2"/>
          </rPr>
          <t xml:space="preserve">
Electronics (General)</t>
        </r>
      </text>
    </comment>
    <comment ref="F446" authorId="0" shapeId="0" xr:uid="{B4415B11-FA7E-D441-8CFE-A51E0832E6BA}">
      <text>
        <r>
          <rPr>
            <b/>
            <sz val="9"/>
            <color indexed="81"/>
            <rFont val="Tahoma"/>
            <family val="2"/>
          </rPr>
          <t>Author:</t>
        </r>
        <r>
          <rPr>
            <sz val="9"/>
            <color indexed="81"/>
            <rFont val="Tahoma"/>
            <family val="2"/>
          </rPr>
          <t xml:space="preserve">
Electronics (General)</t>
        </r>
      </text>
    </comment>
    <comment ref="G446" authorId="0" shapeId="0" xr:uid="{4B3BE68C-88CF-FB43-9A12-DE7311DD4F26}">
      <text>
        <r>
          <rPr>
            <b/>
            <sz val="9"/>
            <color indexed="81"/>
            <rFont val="Tahoma"/>
            <family val="2"/>
          </rPr>
          <t>Author:</t>
        </r>
        <r>
          <rPr>
            <sz val="9"/>
            <color indexed="81"/>
            <rFont val="Tahoma"/>
            <family val="2"/>
          </rPr>
          <t xml:space="preserve">
Electronics (General)</t>
        </r>
      </text>
    </comment>
    <comment ref="H446" authorId="0" shapeId="0" xr:uid="{CA210532-46E7-7945-A0D9-AE38314DBE37}">
      <text>
        <r>
          <rPr>
            <b/>
            <sz val="9"/>
            <color indexed="81"/>
            <rFont val="Tahoma"/>
            <family val="2"/>
          </rPr>
          <t>Author:</t>
        </r>
        <r>
          <rPr>
            <sz val="9"/>
            <color indexed="81"/>
            <rFont val="Tahoma"/>
            <family val="2"/>
          </rPr>
          <t xml:space="preserve">
Electronics (General)</t>
        </r>
      </text>
    </comment>
    <comment ref="I446" authorId="0" shapeId="0" xr:uid="{B1A7FC4D-10EE-314C-95BE-0778A9429F1A}">
      <text>
        <r>
          <rPr>
            <b/>
            <sz val="9"/>
            <color indexed="81"/>
            <rFont val="Tahoma"/>
            <family val="2"/>
          </rPr>
          <t>Author:</t>
        </r>
        <r>
          <rPr>
            <sz val="9"/>
            <color indexed="81"/>
            <rFont val="Tahoma"/>
            <family val="2"/>
          </rPr>
          <t xml:space="preserve">
Electronics (General)</t>
        </r>
      </text>
    </comment>
    <comment ref="B447" authorId="0" shapeId="0" xr:uid="{03A7A693-CD93-9A49-96D2-CBD756B2CEE4}">
      <text>
        <r>
          <rPr>
            <b/>
            <sz val="9"/>
            <color indexed="81"/>
            <rFont val="Tahoma"/>
            <family val="2"/>
          </rPr>
          <t>Author:</t>
        </r>
        <r>
          <rPr>
            <sz val="9"/>
            <color indexed="81"/>
            <rFont val="Tahoma"/>
            <family val="2"/>
          </rPr>
          <t xml:space="preserve">
Retail (Special Lines)</t>
        </r>
      </text>
    </comment>
    <comment ref="C447" authorId="0" shapeId="0" xr:uid="{574084B8-E8A5-364F-9F08-AC275A9537A4}">
      <text>
        <r>
          <rPr>
            <b/>
            <sz val="9"/>
            <color indexed="81"/>
            <rFont val="Tahoma"/>
            <family val="2"/>
          </rPr>
          <t>Author:</t>
        </r>
        <r>
          <rPr>
            <sz val="9"/>
            <color indexed="81"/>
            <rFont val="Tahoma"/>
            <family val="2"/>
          </rPr>
          <t xml:space="preserve">
Retail (Special Lines)</t>
        </r>
      </text>
    </comment>
    <comment ref="D447" authorId="0" shapeId="0" xr:uid="{46A28507-8AAD-4C4D-B421-A34CDEF820DB}">
      <text>
        <r>
          <rPr>
            <b/>
            <sz val="9"/>
            <color indexed="81"/>
            <rFont val="Tahoma"/>
            <family val="2"/>
          </rPr>
          <t>Author:</t>
        </r>
        <r>
          <rPr>
            <sz val="9"/>
            <color indexed="81"/>
            <rFont val="Tahoma"/>
            <family val="2"/>
          </rPr>
          <t xml:space="preserve">
Retail (Special Lines)</t>
        </r>
      </text>
    </comment>
    <comment ref="E447" authorId="0" shapeId="0" xr:uid="{B51EA7CC-194D-884D-9849-034212A7B898}">
      <text>
        <r>
          <rPr>
            <b/>
            <sz val="9"/>
            <color indexed="81"/>
            <rFont val="Tahoma"/>
            <family val="2"/>
          </rPr>
          <t>Author:</t>
        </r>
        <r>
          <rPr>
            <sz val="9"/>
            <color indexed="81"/>
            <rFont val="Tahoma"/>
            <family val="2"/>
          </rPr>
          <t xml:space="preserve">
Retail (Special Lines)</t>
        </r>
      </text>
    </comment>
    <comment ref="F447" authorId="0" shapeId="0" xr:uid="{5EEEC090-D74F-DB48-B7BF-E0C9594F8265}">
      <text>
        <r>
          <rPr>
            <b/>
            <sz val="9"/>
            <color indexed="81"/>
            <rFont val="Tahoma"/>
            <family val="2"/>
          </rPr>
          <t>Author:</t>
        </r>
        <r>
          <rPr>
            <sz val="9"/>
            <color indexed="81"/>
            <rFont val="Tahoma"/>
            <family val="2"/>
          </rPr>
          <t xml:space="preserve">
Retail (Special Lines)</t>
        </r>
      </text>
    </comment>
    <comment ref="G447" authorId="0" shapeId="0" xr:uid="{AD4F70EC-D5B5-1344-ABCC-F934F4FEE2D3}">
      <text>
        <r>
          <rPr>
            <b/>
            <sz val="9"/>
            <color indexed="81"/>
            <rFont val="Tahoma"/>
            <family val="2"/>
          </rPr>
          <t>Author:</t>
        </r>
        <r>
          <rPr>
            <sz val="9"/>
            <color indexed="81"/>
            <rFont val="Tahoma"/>
            <family val="2"/>
          </rPr>
          <t xml:space="preserve">
Retail (Special Lines)</t>
        </r>
      </text>
    </comment>
    <comment ref="H447" authorId="0" shapeId="0" xr:uid="{59C2BD23-CBE7-4040-AF23-1F2C844CA7B8}">
      <text>
        <r>
          <rPr>
            <b/>
            <sz val="9"/>
            <color indexed="81"/>
            <rFont val="Tahoma"/>
            <family val="2"/>
          </rPr>
          <t>Author:</t>
        </r>
        <r>
          <rPr>
            <sz val="9"/>
            <color indexed="81"/>
            <rFont val="Tahoma"/>
            <family val="2"/>
          </rPr>
          <t xml:space="preserve">
Retail (Special Lines)</t>
        </r>
      </text>
    </comment>
    <comment ref="I447" authorId="0" shapeId="0" xr:uid="{4F90BC7B-61F3-1340-8695-2284DF5E7E45}">
      <text>
        <r>
          <rPr>
            <b/>
            <sz val="9"/>
            <color indexed="81"/>
            <rFont val="Tahoma"/>
            <family val="2"/>
          </rPr>
          <t>Author:</t>
        </r>
        <r>
          <rPr>
            <sz val="9"/>
            <color indexed="81"/>
            <rFont val="Tahoma"/>
            <family val="2"/>
          </rPr>
          <t xml:space="preserve">
Retail (Special Lines)</t>
        </r>
      </text>
    </comment>
    <comment ref="B457" authorId="0" shapeId="0" xr:uid="{753D2B9B-BDBA-8847-8A0E-F59919202296}">
      <text>
        <r>
          <rPr>
            <b/>
            <sz val="9"/>
            <color indexed="81"/>
            <rFont val="Tahoma"/>
            <family val="2"/>
          </rPr>
          <t>Author:</t>
        </r>
        <r>
          <rPr>
            <sz val="9"/>
            <color indexed="81"/>
            <rFont val="Tahoma"/>
            <family val="2"/>
          </rPr>
          <t xml:space="preserve">
Computers/Peripherals</t>
        </r>
      </text>
    </comment>
    <comment ref="C457" authorId="0" shapeId="0" xr:uid="{1F1681C5-A3E4-EF4E-B5B9-62F37CA5A166}">
      <text>
        <r>
          <rPr>
            <b/>
            <sz val="9"/>
            <color indexed="81"/>
            <rFont val="Tahoma"/>
            <family val="2"/>
          </rPr>
          <t>Author:</t>
        </r>
        <r>
          <rPr>
            <sz val="9"/>
            <color indexed="81"/>
            <rFont val="Tahoma"/>
            <family val="2"/>
          </rPr>
          <t xml:space="preserve">
Computers/Peripherals</t>
        </r>
      </text>
    </comment>
    <comment ref="D457" authorId="0" shapeId="0" xr:uid="{918987B5-6B36-1840-A82B-8A79F4DCABC3}">
      <text>
        <r>
          <rPr>
            <b/>
            <sz val="9"/>
            <color indexed="81"/>
            <rFont val="Tahoma"/>
            <family val="2"/>
          </rPr>
          <t>Author:</t>
        </r>
        <r>
          <rPr>
            <sz val="9"/>
            <color indexed="81"/>
            <rFont val="Tahoma"/>
            <family val="2"/>
          </rPr>
          <t xml:space="preserve">
Computers/Peripherals</t>
        </r>
      </text>
    </comment>
    <comment ref="E457" authorId="0" shapeId="0" xr:uid="{287824AD-24E0-B948-AA21-4689A712DE5D}">
      <text>
        <r>
          <rPr>
            <b/>
            <sz val="9"/>
            <color indexed="81"/>
            <rFont val="Tahoma"/>
            <family val="2"/>
          </rPr>
          <t>Author:</t>
        </r>
        <r>
          <rPr>
            <sz val="9"/>
            <color indexed="81"/>
            <rFont val="Tahoma"/>
            <family val="2"/>
          </rPr>
          <t xml:space="preserve">
Computers/Peripherals</t>
        </r>
      </text>
    </comment>
    <comment ref="F457" authorId="0" shapeId="0" xr:uid="{B7E725D8-774E-1F4E-B1FD-0822DED8F664}">
      <text>
        <r>
          <rPr>
            <b/>
            <sz val="9"/>
            <color indexed="81"/>
            <rFont val="Tahoma"/>
            <family val="2"/>
          </rPr>
          <t>Author:</t>
        </r>
        <r>
          <rPr>
            <sz val="9"/>
            <color indexed="81"/>
            <rFont val="Tahoma"/>
            <family val="2"/>
          </rPr>
          <t xml:space="preserve">
Computers/Peripherals</t>
        </r>
      </text>
    </comment>
    <comment ref="G457" authorId="0" shapeId="0" xr:uid="{1A70EEBE-EDAC-374A-91FF-99B0EC45A5E5}">
      <text>
        <r>
          <rPr>
            <b/>
            <sz val="9"/>
            <color indexed="81"/>
            <rFont val="Tahoma"/>
            <family val="2"/>
          </rPr>
          <t>Author:</t>
        </r>
        <r>
          <rPr>
            <sz val="9"/>
            <color indexed="81"/>
            <rFont val="Tahoma"/>
            <family val="2"/>
          </rPr>
          <t xml:space="preserve">
Computers/Peripherals</t>
        </r>
      </text>
    </comment>
    <comment ref="H457" authorId="0" shapeId="0" xr:uid="{F6797EF6-6A05-EE49-BDF4-855661C92D3D}">
      <text>
        <r>
          <rPr>
            <b/>
            <sz val="9"/>
            <color indexed="81"/>
            <rFont val="Tahoma"/>
            <family val="2"/>
          </rPr>
          <t>Author:</t>
        </r>
        <r>
          <rPr>
            <sz val="9"/>
            <color indexed="81"/>
            <rFont val="Tahoma"/>
            <family val="2"/>
          </rPr>
          <t xml:space="preserve">
Computers/Peripherals</t>
        </r>
      </text>
    </comment>
    <comment ref="I457" authorId="0" shapeId="0" xr:uid="{E7C78A4C-080B-FE43-BA45-660347AC6DD3}">
      <text>
        <r>
          <rPr>
            <b/>
            <sz val="9"/>
            <color indexed="81"/>
            <rFont val="Tahoma"/>
            <family val="2"/>
          </rPr>
          <t>Author:</t>
        </r>
        <r>
          <rPr>
            <sz val="9"/>
            <color indexed="81"/>
            <rFont val="Tahoma"/>
            <family val="2"/>
          </rPr>
          <t xml:space="preserve">
Computers/Peripherals</t>
        </r>
      </text>
    </comment>
    <comment ref="B458" authorId="0" shapeId="0" xr:uid="{F4C6428A-76B2-844C-B5CC-6FA4624BEB14}">
      <text>
        <r>
          <rPr>
            <b/>
            <sz val="9"/>
            <color indexed="81"/>
            <rFont val="Tahoma"/>
            <family val="2"/>
          </rPr>
          <t>Author:</t>
        </r>
        <r>
          <rPr>
            <sz val="9"/>
            <color indexed="81"/>
            <rFont val="Tahoma"/>
            <family val="2"/>
          </rPr>
          <t xml:space="preserve">
Electronics (General)</t>
        </r>
      </text>
    </comment>
    <comment ref="C458" authorId="0" shapeId="0" xr:uid="{EA46C17C-4855-8E4D-98C0-B39E40A49105}">
      <text>
        <r>
          <rPr>
            <b/>
            <sz val="9"/>
            <color indexed="81"/>
            <rFont val="Tahoma"/>
            <family val="2"/>
          </rPr>
          <t>Author:</t>
        </r>
        <r>
          <rPr>
            <sz val="9"/>
            <color indexed="81"/>
            <rFont val="Tahoma"/>
            <family val="2"/>
          </rPr>
          <t xml:space="preserve">
Electronics (General)</t>
        </r>
      </text>
    </comment>
    <comment ref="D458" authorId="0" shapeId="0" xr:uid="{B3C9C6FF-2059-1145-A24A-68FDF9D2C976}">
      <text>
        <r>
          <rPr>
            <b/>
            <sz val="9"/>
            <color indexed="81"/>
            <rFont val="Tahoma"/>
            <family val="2"/>
          </rPr>
          <t>Author:</t>
        </r>
        <r>
          <rPr>
            <sz val="9"/>
            <color indexed="81"/>
            <rFont val="Tahoma"/>
            <family val="2"/>
          </rPr>
          <t xml:space="preserve">
Electronics (General)</t>
        </r>
      </text>
    </comment>
    <comment ref="E458" authorId="0" shapeId="0" xr:uid="{F92F1F29-A93A-4B4C-B05E-CC073DCFAABC}">
      <text>
        <r>
          <rPr>
            <b/>
            <sz val="9"/>
            <color indexed="81"/>
            <rFont val="Tahoma"/>
            <family val="2"/>
          </rPr>
          <t>Author:</t>
        </r>
        <r>
          <rPr>
            <sz val="9"/>
            <color indexed="81"/>
            <rFont val="Tahoma"/>
            <family val="2"/>
          </rPr>
          <t xml:space="preserve">
Electronics (General)</t>
        </r>
      </text>
    </comment>
    <comment ref="F458" authorId="0" shapeId="0" xr:uid="{E4CBDE90-0F87-CC4E-8F2E-6BD07DE9DC54}">
      <text>
        <r>
          <rPr>
            <b/>
            <sz val="9"/>
            <color indexed="81"/>
            <rFont val="Tahoma"/>
            <family val="2"/>
          </rPr>
          <t>Author:</t>
        </r>
        <r>
          <rPr>
            <sz val="9"/>
            <color indexed="81"/>
            <rFont val="Tahoma"/>
            <family val="2"/>
          </rPr>
          <t xml:space="preserve">
Electronics (General)</t>
        </r>
      </text>
    </comment>
    <comment ref="G458" authorId="0" shapeId="0" xr:uid="{60B231ED-0341-954E-8E60-08F9A1692725}">
      <text>
        <r>
          <rPr>
            <b/>
            <sz val="9"/>
            <color indexed="81"/>
            <rFont val="Tahoma"/>
            <family val="2"/>
          </rPr>
          <t>Author:</t>
        </r>
        <r>
          <rPr>
            <sz val="9"/>
            <color indexed="81"/>
            <rFont val="Tahoma"/>
            <family val="2"/>
          </rPr>
          <t xml:space="preserve">
Electronics (General)</t>
        </r>
      </text>
    </comment>
    <comment ref="H458" authorId="0" shapeId="0" xr:uid="{68AFEE86-5D31-054E-9D5E-57FD63979590}">
      <text>
        <r>
          <rPr>
            <b/>
            <sz val="9"/>
            <color indexed="81"/>
            <rFont val="Tahoma"/>
            <family val="2"/>
          </rPr>
          <t>Author:</t>
        </r>
        <r>
          <rPr>
            <sz val="9"/>
            <color indexed="81"/>
            <rFont val="Tahoma"/>
            <family val="2"/>
          </rPr>
          <t xml:space="preserve">
Electronics (General)</t>
        </r>
      </text>
    </comment>
    <comment ref="I458" authorId="0" shapeId="0" xr:uid="{D0A75AF5-4EA7-A94A-BCA2-F90F0188B0CB}">
      <text>
        <r>
          <rPr>
            <b/>
            <sz val="9"/>
            <color indexed="81"/>
            <rFont val="Tahoma"/>
            <family val="2"/>
          </rPr>
          <t>Author:</t>
        </r>
        <r>
          <rPr>
            <sz val="9"/>
            <color indexed="81"/>
            <rFont val="Tahoma"/>
            <family val="2"/>
          </rPr>
          <t xml:space="preserve">
Electronics (General)</t>
        </r>
      </text>
    </comment>
    <comment ref="B459" authorId="0" shapeId="0" xr:uid="{A2EBE00F-62A0-084B-BE0A-C3B57CBF632B}">
      <text>
        <r>
          <rPr>
            <b/>
            <sz val="9"/>
            <color indexed="81"/>
            <rFont val="Tahoma"/>
            <family val="2"/>
          </rPr>
          <t>Author:</t>
        </r>
        <r>
          <rPr>
            <sz val="9"/>
            <color indexed="81"/>
            <rFont val="Tahoma"/>
            <family val="2"/>
          </rPr>
          <t xml:space="preserve">
Retail (Special Lines)</t>
        </r>
      </text>
    </comment>
    <comment ref="C459" authorId="0" shapeId="0" xr:uid="{FC2530FB-2E1D-184C-BD4E-EA0351610856}">
      <text>
        <r>
          <rPr>
            <b/>
            <sz val="9"/>
            <color indexed="81"/>
            <rFont val="Tahoma"/>
            <family val="2"/>
          </rPr>
          <t>Author:</t>
        </r>
        <r>
          <rPr>
            <sz val="9"/>
            <color indexed="81"/>
            <rFont val="Tahoma"/>
            <family val="2"/>
          </rPr>
          <t xml:space="preserve">
Retail (Special Lines)</t>
        </r>
      </text>
    </comment>
    <comment ref="D459" authorId="0" shapeId="0" xr:uid="{FBD63ED5-02BF-C449-818C-66462CF65055}">
      <text>
        <r>
          <rPr>
            <b/>
            <sz val="9"/>
            <color indexed="81"/>
            <rFont val="Tahoma"/>
            <family val="2"/>
          </rPr>
          <t>Author:</t>
        </r>
        <r>
          <rPr>
            <sz val="9"/>
            <color indexed="81"/>
            <rFont val="Tahoma"/>
            <family val="2"/>
          </rPr>
          <t xml:space="preserve">
Retail (Special Lines)</t>
        </r>
      </text>
    </comment>
    <comment ref="E459" authorId="0" shapeId="0" xr:uid="{C977579F-54E0-734E-B887-94823B9C899F}">
      <text>
        <r>
          <rPr>
            <b/>
            <sz val="9"/>
            <color indexed="81"/>
            <rFont val="Tahoma"/>
            <family val="2"/>
          </rPr>
          <t>Author:</t>
        </r>
        <r>
          <rPr>
            <sz val="9"/>
            <color indexed="81"/>
            <rFont val="Tahoma"/>
            <family val="2"/>
          </rPr>
          <t xml:space="preserve">
Retail (Special Lines)</t>
        </r>
      </text>
    </comment>
    <comment ref="F459" authorId="0" shapeId="0" xr:uid="{E48C1B4A-8FE8-A549-94DE-801A3136F176}">
      <text>
        <r>
          <rPr>
            <b/>
            <sz val="9"/>
            <color indexed="81"/>
            <rFont val="Tahoma"/>
            <family val="2"/>
          </rPr>
          <t>Author:</t>
        </r>
        <r>
          <rPr>
            <sz val="9"/>
            <color indexed="81"/>
            <rFont val="Tahoma"/>
            <family val="2"/>
          </rPr>
          <t xml:space="preserve">
Retail (Special Lines)</t>
        </r>
      </text>
    </comment>
    <comment ref="G459" authorId="0" shapeId="0" xr:uid="{96B4A7DF-D20E-3045-B7F7-E785AB14D482}">
      <text>
        <r>
          <rPr>
            <b/>
            <sz val="9"/>
            <color indexed="81"/>
            <rFont val="Tahoma"/>
            <family val="2"/>
          </rPr>
          <t>Author:</t>
        </r>
        <r>
          <rPr>
            <sz val="9"/>
            <color indexed="81"/>
            <rFont val="Tahoma"/>
            <family val="2"/>
          </rPr>
          <t xml:space="preserve">
Retail (Special Lines)</t>
        </r>
      </text>
    </comment>
    <comment ref="H459" authorId="0" shapeId="0" xr:uid="{E79DC574-922B-2B49-9BF0-74A514C74B0B}">
      <text>
        <r>
          <rPr>
            <b/>
            <sz val="9"/>
            <color indexed="81"/>
            <rFont val="Tahoma"/>
            <family val="2"/>
          </rPr>
          <t>Author:</t>
        </r>
        <r>
          <rPr>
            <sz val="9"/>
            <color indexed="81"/>
            <rFont val="Tahoma"/>
            <family val="2"/>
          </rPr>
          <t xml:space="preserve">
Retail (Special Lines)</t>
        </r>
      </text>
    </comment>
    <comment ref="I459" authorId="0" shapeId="0" xr:uid="{CCD94CD5-5EFF-0F4A-8C34-B3CC6499BBE6}">
      <text>
        <r>
          <rPr>
            <b/>
            <sz val="9"/>
            <color indexed="81"/>
            <rFont val="Tahoma"/>
            <family val="2"/>
          </rPr>
          <t>Author:</t>
        </r>
        <r>
          <rPr>
            <sz val="9"/>
            <color indexed="81"/>
            <rFont val="Tahoma"/>
            <family val="2"/>
          </rPr>
          <t xml:space="preserve">
Retail (Special Lines)</t>
        </r>
      </text>
    </comment>
    <comment ref="B469" authorId="0" shapeId="0" xr:uid="{9485FA2D-CB6B-EB46-A5FD-564AC5C4733C}">
      <text>
        <r>
          <rPr>
            <b/>
            <sz val="9"/>
            <color indexed="81"/>
            <rFont val="Tahoma"/>
            <family val="2"/>
          </rPr>
          <t>Author:</t>
        </r>
        <r>
          <rPr>
            <sz val="9"/>
            <color indexed="81"/>
            <rFont val="Tahoma"/>
            <family val="2"/>
          </rPr>
          <t xml:space="preserve">
Computers/Peripherals</t>
        </r>
      </text>
    </comment>
    <comment ref="C469" authorId="0" shapeId="0" xr:uid="{316C49AD-77AA-A04C-A852-FAAA10B42C80}">
      <text>
        <r>
          <rPr>
            <b/>
            <sz val="9"/>
            <color indexed="81"/>
            <rFont val="Tahoma"/>
            <family val="2"/>
          </rPr>
          <t>Author:</t>
        </r>
        <r>
          <rPr>
            <sz val="9"/>
            <color indexed="81"/>
            <rFont val="Tahoma"/>
            <family val="2"/>
          </rPr>
          <t xml:space="preserve">
Computers/Peripherals</t>
        </r>
      </text>
    </comment>
    <comment ref="D469" authorId="0" shapeId="0" xr:uid="{8F3F9D07-593A-D546-9C02-922637742A56}">
      <text>
        <r>
          <rPr>
            <b/>
            <sz val="9"/>
            <color indexed="81"/>
            <rFont val="Tahoma"/>
            <family val="2"/>
          </rPr>
          <t>Author:</t>
        </r>
        <r>
          <rPr>
            <sz val="9"/>
            <color indexed="81"/>
            <rFont val="Tahoma"/>
            <family val="2"/>
          </rPr>
          <t xml:space="preserve">
Computers/Peripherals</t>
        </r>
      </text>
    </comment>
    <comment ref="E469" authorId="0" shapeId="0" xr:uid="{4D6E8BAD-177A-4547-9C9C-498F570F820D}">
      <text>
        <r>
          <rPr>
            <b/>
            <sz val="9"/>
            <color indexed="81"/>
            <rFont val="Tahoma"/>
            <family val="2"/>
          </rPr>
          <t>Author:</t>
        </r>
        <r>
          <rPr>
            <sz val="9"/>
            <color indexed="81"/>
            <rFont val="Tahoma"/>
            <family val="2"/>
          </rPr>
          <t xml:space="preserve">
Computers/Peripherals</t>
        </r>
      </text>
    </comment>
    <comment ref="F469" authorId="0" shapeId="0" xr:uid="{83C1BB73-76B8-7542-9C3A-5DD6E3339167}">
      <text>
        <r>
          <rPr>
            <b/>
            <sz val="9"/>
            <color indexed="81"/>
            <rFont val="Tahoma"/>
            <family val="2"/>
          </rPr>
          <t>Author:</t>
        </r>
        <r>
          <rPr>
            <sz val="9"/>
            <color indexed="81"/>
            <rFont val="Tahoma"/>
            <family val="2"/>
          </rPr>
          <t xml:space="preserve">
Computers/Peripherals</t>
        </r>
      </text>
    </comment>
    <comment ref="G469" authorId="0" shapeId="0" xr:uid="{404BCBF5-46D3-784B-9FA4-90E50562AA6E}">
      <text>
        <r>
          <rPr>
            <b/>
            <sz val="9"/>
            <color indexed="81"/>
            <rFont val="Tahoma"/>
            <family val="2"/>
          </rPr>
          <t>Author:</t>
        </r>
        <r>
          <rPr>
            <sz val="9"/>
            <color indexed="81"/>
            <rFont val="Tahoma"/>
            <family val="2"/>
          </rPr>
          <t xml:space="preserve">
Computers/Peripherals</t>
        </r>
      </text>
    </comment>
    <comment ref="H469" authorId="0" shapeId="0" xr:uid="{05711D75-7BDD-D44D-B609-62392A66C06A}">
      <text>
        <r>
          <rPr>
            <b/>
            <sz val="9"/>
            <color indexed="81"/>
            <rFont val="Tahoma"/>
            <family val="2"/>
          </rPr>
          <t>Author:</t>
        </r>
        <r>
          <rPr>
            <sz val="9"/>
            <color indexed="81"/>
            <rFont val="Tahoma"/>
            <family val="2"/>
          </rPr>
          <t xml:space="preserve">
Computers/Peripherals</t>
        </r>
      </text>
    </comment>
    <comment ref="I469" authorId="0" shapeId="0" xr:uid="{CEBD2704-DE4B-054D-99A7-9B6CB42F1FFC}">
      <text>
        <r>
          <rPr>
            <b/>
            <sz val="9"/>
            <color indexed="81"/>
            <rFont val="Tahoma"/>
            <family val="2"/>
          </rPr>
          <t>Author:</t>
        </r>
        <r>
          <rPr>
            <sz val="9"/>
            <color indexed="81"/>
            <rFont val="Tahoma"/>
            <family val="2"/>
          </rPr>
          <t xml:space="preserve">
Computers/Peripherals</t>
        </r>
      </text>
    </comment>
    <comment ref="B470" authorId="0" shapeId="0" xr:uid="{B4015487-1D56-AE4C-A9DB-A40AD5BADE09}">
      <text>
        <r>
          <rPr>
            <b/>
            <sz val="9"/>
            <color indexed="81"/>
            <rFont val="Tahoma"/>
            <family val="2"/>
          </rPr>
          <t>Author:</t>
        </r>
        <r>
          <rPr>
            <sz val="9"/>
            <color indexed="81"/>
            <rFont val="Tahoma"/>
            <family val="2"/>
          </rPr>
          <t xml:space="preserve">
Electronics (General)</t>
        </r>
      </text>
    </comment>
    <comment ref="C470" authorId="0" shapeId="0" xr:uid="{5B22015E-B2EB-FE46-9652-390FD1DEB36A}">
      <text>
        <r>
          <rPr>
            <b/>
            <sz val="9"/>
            <color indexed="81"/>
            <rFont val="Tahoma"/>
            <family val="2"/>
          </rPr>
          <t>Author:</t>
        </r>
        <r>
          <rPr>
            <sz val="9"/>
            <color indexed="81"/>
            <rFont val="Tahoma"/>
            <family val="2"/>
          </rPr>
          <t xml:space="preserve">
Electronics (General)</t>
        </r>
      </text>
    </comment>
    <comment ref="D470" authorId="0" shapeId="0" xr:uid="{07775EDD-145D-0D4F-9B2D-A553E5EEFDBD}">
      <text>
        <r>
          <rPr>
            <b/>
            <sz val="9"/>
            <color indexed="81"/>
            <rFont val="Tahoma"/>
            <family val="2"/>
          </rPr>
          <t>Author:</t>
        </r>
        <r>
          <rPr>
            <sz val="9"/>
            <color indexed="81"/>
            <rFont val="Tahoma"/>
            <family val="2"/>
          </rPr>
          <t xml:space="preserve">
Electronics (General)</t>
        </r>
      </text>
    </comment>
    <comment ref="E470" authorId="0" shapeId="0" xr:uid="{D08E7CA1-F863-1846-95BD-71977EDC2452}">
      <text>
        <r>
          <rPr>
            <b/>
            <sz val="9"/>
            <color indexed="81"/>
            <rFont val="Tahoma"/>
            <family val="2"/>
          </rPr>
          <t>Author:</t>
        </r>
        <r>
          <rPr>
            <sz val="9"/>
            <color indexed="81"/>
            <rFont val="Tahoma"/>
            <family val="2"/>
          </rPr>
          <t xml:space="preserve">
Electronics (General)</t>
        </r>
      </text>
    </comment>
    <comment ref="F470" authorId="0" shapeId="0" xr:uid="{6BAA1816-64BB-1C4F-B928-3D52C8BA8D38}">
      <text>
        <r>
          <rPr>
            <b/>
            <sz val="9"/>
            <color indexed="81"/>
            <rFont val="Tahoma"/>
            <family val="2"/>
          </rPr>
          <t>Author:</t>
        </r>
        <r>
          <rPr>
            <sz val="9"/>
            <color indexed="81"/>
            <rFont val="Tahoma"/>
            <family val="2"/>
          </rPr>
          <t xml:space="preserve">
Electronics (General)</t>
        </r>
      </text>
    </comment>
    <comment ref="G470" authorId="0" shapeId="0" xr:uid="{5441C924-6AEC-AE4C-8306-51B113D2A5F7}">
      <text>
        <r>
          <rPr>
            <b/>
            <sz val="9"/>
            <color indexed="81"/>
            <rFont val="Tahoma"/>
            <family val="2"/>
          </rPr>
          <t>Author:</t>
        </r>
        <r>
          <rPr>
            <sz val="9"/>
            <color indexed="81"/>
            <rFont val="Tahoma"/>
            <family val="2"/>
          </rPr>
          <t xml:space="preserve">
Electronics (General)</t>
        </r>
      </text>
    </comment>
    <comment ref="H470" authorId="0" shapeId="0" xr:uid="{0082023A-5FC2-DD42-B472-0EC35C3A3041}">
      <text>
        <r>
          <rPr>
            <b/>
            <sz val="9"/>
            <color indexed="81"/>
            <rFont val="Tahoma"/>
            <family val="2"/>
          </rPr>
          <t>Author:</t>
        </r>
        <r>
          <rPr>
            <sz val="9"/>
            <color indexed="81"/>
            <rFont val="Tahoma"/>
            <family val="2"/>
          </rPr>
          <t xml:space="preserve">
Electronics (General)</t>
        </r>
      </text>
    </comment>
    <comment ref="I470" authorId="0" shapeId="0" xr:uid="{CDBC8236-1796-3241-A55E-3C2834599B1F}">
      <text>
        <r>
          <rPr>
            <b/>
            <sz val="9"/>
            <color indexed="81"/>
            <rFont val="Tahoma"/>
            <family val="2"/>
          </rPr>
          <t>Author:</t>
        </r>
        <r>
          <rPr>
            <sz val="9"/>
            <color indexed="81"/>
            <rFont val="Tahoma"/>
            <family val="2"/>
          </rPr>
          <t xml:space="preserve">
Electronics (General)</t>
        </r>
      </text>
    </comment>
    <comment ref="B471" authorId="0" shapeId="0" xr:uid="{C8A5358B-5F21-8845-BB0C-45F42261FD8A}">
      <text>
        <r>
          <rPr>
            <b/>
            <sz val="9"/>
            <color indexed="81"/>
            <rFont val="Tahoma"/>
            <family val="2"/>
          </rPr>
          <t>Author:</t>
        </r>
        <r>
          <rPr>
            <sz val="9"/>
            <color indexed="81"/>
            <rFont val="Tahoma"/>
            <family val="2"/>
          </rPr>
          <t xml:space="preserve">
Retail (Special Lines)</t>
        </r>
      </text>
    </comment>
    <comment ref="C471" authorId="0" shapeId="0" xr:uid="{F342C43E-C57D-E649-B98C-95BEAF28D856}">
      <text>
        <r>
          <rPr>
            <b/>
            <sz val="9"/>
            <color indexed="81"/>
            <rFont val="Tahoma"/>
            <family val="2"/>
          </rPr>
          <t>Author:</t>
        </r>
        <r>
          <rPr>
            <sz val="9"/>
            <color indexed="81"/>
            <rFont val="Tahoma"/>
            <family val="2"/>
          </rPr>
          <t xml:space="preserve">
Retail (Special Lines)</t>
        </r>
      </text>
    </comment>
    <comment ref="D471" authorId="0" shapeId="0" xr:uid="{0BC27DBE-E351-6F47-BB59-6CA03A075868}">
      <text>
        <r>
          <rPr>
            <b/>
            <sz val="9"/>
            <color indexed="81"/>
            <rFont val="Tahoma"/>
            <family val="2"/>
          </rPr>
          <t>Author:</t>
        </r>
        <r>
          <rPr>
            <sz val="9"/>
            <color indexed="81"/>
            <rFont val="Tahoma"/>
            <family val="2"/>
          </rPr>
          <t xml:space="preserve">
Retail (Special Lines)</t>
        </r>
      </text>
    </comment>
    <comment ref="E471" authorId="0" shapeId="0" xr:uid="{356AB7AB-E8E5-B746-A5E2-898041E990CE}">
      <text>
        <r>
          <rPr>
            <b/>
            <sz val="9"/>
            <color indexed="81"/>
            <rFont val="Tahoma"/>
            <family val="2"/>
          </rPr>
          <t>Author:</t>
        </r>
        <r>
          <rPr>
            <sz val="9"/>
            <color indexed="81"/>
            <rFont val="Tahoma"/>
            <family val="2"/>
          </rPr>
          <t xml:space="preserve">
Retail (Special Lines)</t>
        </r>
      </text>
    </comment>
    <comment ref="F471" authorId="0" shapeId="0" xr:uid="{1208E285-ABC6-B042-A441-E78CFEC2357B}">
      <text>
        <r>
          <rPr>
            <b/>
            <sz val="9"/>
            <color indexed="81"/>
            <rFont val="Tahoma"/>
            <family val="2"/>
          </rPr>
          <t>Author:</t>
        </r>
        <r>
          <rPr>
            <sz val="9"/>
            <color indexed="81"/>
            <rFont val="Tahoma"/>
            <family val="2"/>
          </rPr>
          <t xml:space="preserve">
Retail (Special Lines)</t>
        </r>
      </text>
    </comment>
    <comment ref="G471" authorId="0" shapeId="0" xr:uid="{C235D2C7-B2E4-5E4E-B7DD-CC79DC5D1C2E}">
      <text>
        <r>
          <rPr>
            <b/>
            <sz val="9"/>
            <color indexed="81"/>
            <rFont val="Tahoma"/>
            <family val="2"/>
          </rPr>
          <t>Author:</t>
        </r>
        <r>
          <rPr>
            <sz val="9"/>
            <color indexed="81"/>
            <rFont val="Tahoma"/>
            <family val="2"/>
          </rPr>
          <t xml:space="preserve">
Retail (Special Lines)</t>
        </r>
      </text>
    </comment>
    <comment ref="H471" authorId="0" shapeId="0" xr:uid="{EB36307B-1F4C-7F41-AE74-6D3E42BB5149}">
      <text>
        <r>
          <rPr>
            <b/>
            <sz val="9"/>
            <color indexed="81"/>
            <rFont val="Tahoma"/>
            <family val="2"/>
          </rPr>
          <t>Author:</t>
        </r>
        <r>
          <rPr>
            <sz val="9"/>
            <color indexed="81"/>
            <rFont val="Tahoma"/>
            <family val="2"/>
          </rPr>
          <t xml:space="preserve">
Retail (Special Lines)</t>
        </r>
      </text>
    </comment>
    <comment ref="I471" authorId="0" shapeId="0" xr:uid="{A148A8DA-9436-0B49-BE0D-5086DAD80227}">
      <text>
        <r>
          <rPr>
            <b/>
            <sz val="9"/>
            <color indexed="81"/>
            <rFont val="Tahoma"/>
            <family val="2"/>
          </rPr>
          <t>Author:</t>
        </r>
        <r>
          <rPr>
            <sz val="9"/>
            <color indexed="81"/>
            <rFont val="Tahoma"/>
            <family val="2"/>
          </rPr>
          <t xml:space="preserve">
Retail (Special Lines)</t>
        </r>
      </text>
    </comment>
    <comment ref="B481" authorId="0" shapeId="0" xr:uid="{93AA99AB-2981-504C-891B-66FD3C1893FC}">
      <text>
        <r>
          <rPr>
            <b/>
            <sz val="9"/>
            <color indexed="81"/>
            <rFont val="Tahoma"/>
            <family val="2"/>
          </rPr>
          <t>Author:</t>
        </r>
        <r>
          <rPr>
            <sz val="9"/>
            <color indexed="81"/>
            <rFont val="Tahoma"/>
            <family val="2"/>
          </rPr>
          <t xml:space="preserve">
Computers/Peripherals</t>
        </r>
      </text>
    </comment>
    <comment ref="C481" authorId="0" shapeId="0" xr:uid="{969E7001-CCEE-0A4A-AE7A-5BDA08DC4144}">
      <text>
        <r>
          <rPr>
            <b/>
            <sz val="9"/>
            <color indexed="81"/>
            <rFont val="Tahoma"/>
            <family val="2"/>
          </rPr>
          <t>Author:</t>
        </r>
        <r>
          <rPr>
            <sz val="9"/>
            <color indexed="81"/>
            <rFont val="Tahoma"/>
            <family val="2"/>
          </rPr>
          <t xml:space="preserve">
Computers/Peripherals</t>
        </r>
      </text>
    </comment>
    <comment ref="D481" authorId="0" shapeId="0" xr:uid="{AAE60D49-F509-E24B-A358-F27E344888FD}">
      <text>
        <r>
          <rPr>
            <b/>
            <sz val="9"/>
            <color indexed="81"/>
            <rFont val="Tahoma"/>
            <family val="2"/>
          </rPr>
          <t>Author:</t>
        </r>
        <r>
          <rPr>
            <sz val="9"/>
            <color indexed="81"/>
            <rFont val="Tahoma"/>
            <family val="2"/>
          </rPr>
          <t xml:space="preserve">
Computers/Peripherals</t>
        </r>
      </text>
    </comment>
    <comment ref="E481" authorId="0" shapeId="0" xr:uid="{D4B27755-1C2D-4140-A862-6B03992A4C64}">
      <text>
        <r>
          <rPr>
            <b/>
            <sz val="9"/>
            <color indexed="81"/>
            <rFont val="Tahoma"/>
            <family val="2"/>
          </rPr>
          <t>Author:</t>
        </r>
        <r>
          <rPr>
            <sz val="9"/>
            <color indexed="81"/>
            <rFont val="Tahoma"/>
            <family val="2"/>
          </rPr>
          <t xml:space="preserve">
Computers/Peripherals</t>
        </r>
      </text>
    </comment>
    <comment ref="F481" authorId="0" shapeId="0" xr:uid="{B10DBF9A-F4C4-334A-836C-96637C4BA56F}">
      <text>
        <r>
          <rPr>
            <b/>
            <sz val="9"/>
            <color indexed="81"/>
            <rFont val="Tahoma"/>
            <family val="2"/>
          </rPr>
          <t>Author:</t>
        </r>
        <r>
          <rPr>
            <sz val="9"/>
            <color indexed="81"/>
            <rFont val="Tahoma"/>
            <family val="2"/>
          </rPr>
          <t xml:space="preserve">
Computers/Peripherals</t>
        </r>
      </text>
    </comment>
    <comment ref="G481" authorId="0" shapeId="0" xr:uid="{1BE654A6-52CD-A94F-9630-2914AC11ECE8}">
      <text>
        <r>
          <rPr>
            <b/>
            <sz val="9"/>
            <color indexed="81"/>
            <rFont val="Tahoma"/>
            <family val="2"/>
          </rPr>
          <t>Author:</t>
        </r>
        <r>
          <rPr>
            <sz val="9"/>
            <color indexed="81"/>
            <rFont val="Tahoma"/>
            <family val="2"/>
          </rPr>
          <t xml:space="preserve">
Computers/Peripherals</t>
        </r>
      </text>
    </comment>
    <comment ref="H481" authorId="0" shapeId="0" xr:uid="{832F4236-C90E-0847-8775-C25D58B8145A}">
      <text>
        <r>
          <rPr>
            <b/>
            <sz val="9"/>
            <color indexed="81"/>
            <rFont val="Tahoma"/>
            <family val="2"/>
          </rPr>
          <t>Author:</t>
        </r>
        <r>
          <rPr>
            <sz val="9"/>
            <color indexed="81"/>
            <rFont val="Tahoma"/>
            <family val="2"/>
          </rPr>
          <t xml:space="preserve">
Computers/Peripherals</t>
        </r>
      </text>
    </comment>
    <comment ref="I481" authorId="0" shapeId="0" xr:uid="{6B95502D-0BC6-4B45-A23C-D20DFAA9FF5F}">
      <text>
        <r>
          <rPr>
            <b/>
            <sz val="9"/>
            <color indexed="81"/>
            <rFont val="Tahoma"/>
            <family val="2"/>
          </rPr>
          <t>Author:</t>
        </r>
        <r>
          <rPr>
            <sz val="9"/>
            <color indexed="81"/>
            <rFont val="Tahoma"/>
            <family val="2"/>
          </rPr>
          <t xml:space="preserve">
Computers/Peripherals</t>
        </r>
      </text>
    </comment>
    <comment ref="B482" authorId="0" shapeId="0" xr:uid="{2C39EFB3-485E-4F49-8B26-0C46C1F8085A}">
      <text>
        <r>
          <rPr>
            <b/>
            <sz val="9"/>
            <color indexed="81"/>
            <rFont val="Tahoma"/>
            <family val="2"/>
          </rPr>
          <t>Author:</t>
        </r>
        <r>
          <rPr>
            <sz val="9"/>
            <color indexed="81"/>
            <rFont val="Tahoma"/>
            <family val="2"/>
          </rPr>
          <t xml:space="preserve">
Electronics (General)</t>
        </r>
      </text>
    </comment>
    <comment ref="C482" authorId="0" shapeId="0" xr:uid="{25E0A809-9C6E-284C-8EA8-8B1C0044C2C6}">
      <text>
        <r>
          <rPr>
            <b/>
            <sz val="9"/>
            <color indexed="81"/>
            <rFont val="Tahoma"/>
            <family val="2"/>
          </rPr>
          <t>Author:</t>
        </r>
        <r>
          <rPr>
            <sz val="9"/>
            <color indexed="81"/>
            <rFont val="Tahoma"/>
            <family val="2"/>
          </rPr>
          <t xml:space="preserve">
Electronics (General)</t>
        </r>
      </text>
    </comment>
    <comment ref="D482" authorId="0" shapeId="0" xr:uid="{D53443F0-7702-F94A-AE44-F3D121FFCD3E}">
      <text>
        <r>
          <rPr>
            <b/>
            <sz val="9"/>
            <color indexed="81"/>
            <rFont val="Tahoma"/>
            <family val="2"/>
          </rPr>
          <t>Author:</t>
        </r>
        <r>
          <rPr>
            <sz val="9"/>
            <color indexed="81"/>
            <rFont val="Tahoma"/>
            <family val="2"/>
          </rPr>
          <t xml:space="preserve">
Electronics (General)</t>
        </r>
      </text>
    </comment>
    <comment ref="E482" authorId="0" shapeId="0" xr:uid="{6CF969C4-A3F0-7A40-80FD-70CA9E5140D7}">
      <text>
        <r>
          <rPr>
            <b/>
            <sz val="9"/>
            <color indexed="81"/>
            <rFont val="Tahoma"/>
            <family val="2"/>
          </rPr>
          <t>Author:</t>
        </r>
        <r>
          <rPr>
            <sz val="9"/>
            <color indexed="81"/>
            <rFont val="Tahoma"/>
            <family val="2"/>
          </rPr>
          <t xml:space="preserve">
Electronics (General)</t>
        </r>
      </text>
    </comment>
    <comment ref="F482" authorId="0" shapeId="0" xr:uid="{770ABF7E-4029-9844-A944-B413A6CB77CD}">
      <text>
        <r>
          <rPr>
            <b/>
            <sz val="9"/>
            <color indexed="81"/>
            <rFont val="Tahoma"/>
            <family val="2"/>
          </rPr>
          <t>Author:</t>
        </r>
        <r>
          <rPr>
            <sz val="9"/>
            <color indexed="81"/>
            <rFont val="Tahoma"/>
            <family val="2"/>
          </rPr>
          <t xml:space="preserve">
Electronics (General)</t>
        </r>
      </text>
    </comment>
    <comment ref="G482" authorId="0" shapeId="0" xr:uid="{8751A949-7752-5644-8253-99EF770FD145}">
      <text>
        <r>
          <rPr>
            <b/>
            <sz val="9"/>
            <color indexed="81"/>
            <rFont val="Tahoma"/>
            <family val="2"/>
          </rPr>
          <t>Author:</t>
        </r>
        <r>
          <rPr>
            <sz val="9"/>
            <color indexed="81"/>
            <rFont val="Tahoma"/>
            <family val="2"/>
          </rPr>
          <t xml:space="preserve">
Electronics (General)</t>
        </r>
      </text>
    </comment>
    <comment ref="H482" authorId="0" shapeId="0" xr:uid="{DF79E92A-B6BE-3E40-8F18-D6FC43A687E5}">
      <text>
        <r>
          <rPr>
            <b/>
            <sz val="9"/>
            <color indexed="81"/>
            <rFont val="Tahoma"/>
            <family val="2"/>
          </rPr>
          <t>Author:</t>
        </r>
        <r>
          <rPr>
            <sz val="9"/>
            <color indexed="81"/>
            <rFont val="Tahoma"/>
            <family val="2"/>
          </rPr>
          <t xml:space="preserve">
Electronics (General)</t>
        </r>
      </text>
    </comment>
    <comment ref="I482" authorId="0" shapeId="0" xr:uid="{48F4D00F-F21C-F143-A17E-2121870ABB6A}">
      <text>
        <r>
          <rPr>
            <b/>
            <sz val="9"/>
            <color indexed="81"/>
            <rFont val="Tahoma"/>
            <family val="2"/>
          </rPr>
          <t>Author:</t>
        </r>
        <r>
          <rPr>
            <sz val="9"/>
            <color indexed="81"/>
            <rFont val="Tahoma"/>
            <family val="2"/>
          </rPr>
          <t xml:space="preserve">
Electronics (General)</t>
        </r>
      </text>
    </comment>
    <comment ref="B483" authorId="0" shapeId="0" xr:uid="{30E0532F-BDB1-0646-A9DE-DE572A7A17FF}">
      <text>
        <r>
          <rPr>
            <b/>
            <sz val="9"/>
            <color indexed="81"/>
            <rFont val="Tahoma"/>
            <family val="2"/>
          </rPr>
          <t>Author:</t>
        </r>
        <r>
          <rPr>
            <sz val="9"/>
            <color indexed="81"/>
            <rFont val="Tahoma"/>
            <family val="2"/>
          </rPr>
          <t xml:space="preserve">
Retail (Special Lines)</t>
        </r>
      </text>
    </comment>
    <comment ref="C483" authorId="0" shapeId="0" xr:uid="{E4AF4A16-8E4F-5648-B322-7D916A76491D}">
      <text>
        <r>
          <rPr>
            <b/>
            <sz val="9"/>
            <color indexed="81"/>
            <rFont val="Tahoma"/>
            <family val="2"/>
          </rPr>
          <t>Author:</t>
        </r>
        <r>
          <rPr>
            <sz val="9"/>
            <color indexed="81"/>
            <rFont val="Tahoma"/>
            <family val="2"/>
          </rPr>
          <t xml:space="preserve">
Retail (Special Lines)</t>
        </r>
      </text>
    </comment>
    <comment ref="D483" authorId="0" shapeId="0" xr:uid="{26D7B15F-CECB-6844-959C-EBDFD441AB8F}">
      <text>
        <r>
          <rPr>
            <b/>
            <sz val="9"/>
            <color indexed="81"/>
            <rFont val="Tahoma"/>
            <family val="2"/>
          </rPr>
          <t>Author:</t>
        </r>
        <r>
          <rPr>
            <sz val="9"/>
            <color indexed="81"/>
            <rFont val="Tahoma"/>
            <family val="2"/>
          </rPr>
          <t xml:space="preserve">
Retail (Special Lines)</t>
        </r>
      </text>
    </comment>
    <comment ref="E483" authorId="0" shapeId="0" xr:uid="{D28D1040-7F8A-5140-8BA9-8601E756EDF8}">
      <text>
        <r>
          <rPr>
            <b/>
            <sz val="9"/>
            <color indexed="81"/>
            <rFont val="Tahoma"/>
            <family val="2"/>
          </rPr>
          <t>Author:</t>
        </r>
        <r>
          <rPr>
            <sz val="9"/>
            <color indexed="81"/>
            <rFont val="Tahoma"/>
            <family val="2"/>
          </rPr>
          <t xml:space="preserve">
Retail (Special Lines)</t>
        </r>
      </text>
    </comment>
    <comment ref="F483" authorId="0" shapeId="0" xr:uid="{9EEBA394-40C5-894D-9951-9B1A091DEF26}">
      <text>
        <r>
          <rPr>
            <b/>
            <sz val="9"/>
            <color indexed="81"/>
            <rFont val="Tahoma"/>
            <family val="2"/>
          </rPr>
          <t>Author:</t>
        </r>
        <r>
          <rPr>
            <sz val="9"/>
            <color indexed="81"/>
            <rFont val="Tahoma"/>
            <family val="2"/>
          </rPr>
          <t xml:space="preserve">
Retail (Special Lines)</t>
        </r>
      </text>
    </comment>
    <comment ref="G483" authorId="0" shapeId="0" xr:uid="{60CF550E-32F6-9F4F-8F44-B1F85D274D5B}">
      <text>
        <r>
          <rPr>
            <b/>
            <sz val="9"/>
            <color indexed="81"/>
            <rFont val="Tahoma"/>
            <family val="2"/>
          </rPr>
          <t>Author:</t>
        </r>
        <r>
          <rPr>
            <sz val="9"/>
            <color indexed="81"/>
            <rFont val="Tahoma"/>
            <family val="2"/>
          </rPr>
          <t xml:space="preserve">
Retail (Special Lines)</t>
        </r>
      </text>
    </comment>
    <comment ref="H483" authorId="0" shapeId="0" xr:uid="{C7C2D258-7AC1-AD43-B565-70C75F8BE9F5}">
      <text>
        <r>
          <rPr>
            <b/>
            <sz val="9"/>
            <color indexed="81"/>
            <rFont val="Tahoma"/>
            <family val="2"/>
          </rPr>
          <t>Author:</t>
        </r>
        <r>
          <rPr>
            <sz val="9"/>
            <color indexed="81"/>
            <rFont val="Tahoma"/>
            <family val="2"/>
          </rPr>
          <t xml:space="preserve">
Retail (Special Lines)</t>
        </r>
      </text>
    </comment>
    <comment ref="I483" authorId="0" shapeId="0" xr:uid="{E0E60163-BE81-634D-9705-C3B4190731D3}">
      <text>
        <r>
          <rPr>
            <b/>
            <sz val="9"/>
            <color indexed="81"/>
            <rFont val="Tahoma"/>
            <family val="2"/>
          </rPr>
          <t>Author:</t>
        </r>
        <r>
          <rPr>
            <sz val="9"/>
            <color indexed="81"/>
            <rFont val="Tahoma"/>
            <family val="2"/>
          </rPr>
          <t xml:space="preserve">
Retail (Special Lines)</t>
        </r>
      </text>
    </comment>
    <comment ref="B495" authorId="0" shapeId="0" xr:uid="{A8D29A69-F73F-8640-82E0-54E80F1D55B3}">
      <text>
        <r>
          <rPr>
            <b/>
            <sz val="9"/>
            <color indexed="81"/>
            <rFont val="Tahoma"/>
            <family val="2"/>
          </rPr>
          <t>Author:</t>
        </r>
        <r>
          <rPr>
            <sz val="9"/>
            <color indexed="81"/>
            <rFont val="Tahoma"/>
            <family val="2"/>
          </rPr>
          <t xml:space="preserve">
Africa</t>
        </r>
      </text>
    </comment>
    <comment ref="B496" authorId="0" shapeId="0" xr:uid="{D7F62435-ABF1-544E-9C26-1F3ECC087160}">
      <text>
        <r>
          <rPr>
            <b/>
            <sz val="9"/>
            <color indexed="81"/>
            <rFont val="Tahoma"/>
            <family val="2"/>
          </rPr>
          <t>Author:</t>
        </r>
        <r>
          <rPr>
            <sz val="9"/>
            <color indexed="81"/>
            <rFont val="Tahoma"/>
            <family val="2"/>
          </rPr>
          <t xml:space="preserve">
Asia</t>
        </r>
      </text>
    </comment>
    <comment ref="B497" authorId="0" shapeId="0" xr:uid="{B92B12EF-0CD0-CF48-A5CC-5D415D5AE25A}">
      <text>
        <r>
          <rPr>
            <b/>
            <sz val="9"/>
            <color indexed="81"/>
            <rFont val="Tahoma"/>
            <family val="2"/>
          </rPr>
          <t>Author:</t>
        </r>
        <r>
          <rPr>
            <sz val="9"/>
            <color indexed="81"/>
            <rFont val="Tahoma"/>
            <family val="2"/>
          </rPr>
          <t xml:space="preserve">
Australia &amp; New Zealand</t>
        </r>
      </text>
    </comment>
    <comment ref="B498" authorId="0" shapeId="0" xr:uid="{DD2E92FA-C233-C940-A247-74639CFF3193}">
      <text>
        <r>
          <rPr>
            <b/>
            <sz val="9"/>
            <color indexed="81"/>
            <rFont val="Tahoma"/>
            <family val="2"/>
          </rPr>
          <t>Author:</t>
        </r>
        <r>
          <rPr>
            <sz val="9"/>
            <color indexed="81"/>
            <rFont val="Tahoma"/>
            <family val="2"/>
          </rPr>
          <t xml:space="preserve">
Caribbean</t>
        </r>
      </text>
    </comment>
    <comment ref="B499" authorId="0" shapeId="0" xr:uid="{DA349744-C657-7344-874A-66ACED5BA858}">
      <text>
        <r>
          <rPr>
            <b/>
            <sz val="9"/>
            <color indexed="81"/>
            <rFont val="Tahoma"/>
            <family val="2"/>
          </rPr>
          <t>Author:</t>
        </r>
        <r>
          <rPr>
            <sz val="9"/>
            <color indexed="81"/>
            <rFont val="Tahoma"/>
            <family val="2"/>
          </rPr>
          <t xml:space="preserve">
Central and South America</t>
        </r>
      </text>
    </comment>
    <comment ref="B500" authorId="0" shapeId="0" xr:uid="{2AE374A8-F1E4-B84F-999D-57627713EAAF}">
      <text>
        <r>
          <rPr>
            <b/>
            <sz val="9"/>
            <color indexed="81"/>
            <rFont val="Tahoma"/>
            <family val="2"/>
          </rPr>
          <t>Author:</t>
        </r>
        <r>
          <rPr>
            <sz val="9"/>
            <color indexed="81"/>
            <rFont val="Tahoma"/>
            <family val="2"/>
          </rPr>
          <t xml:space="preserve">
Eastern Europe &amp; Russia</t>
        </r>
      </text>
    </comment>
    <comment ref="B501" authorId="0" shapeId="0" xr:uid="{97001F4C-0F2F-944D-96AF-5A4E4E939AC1}">
      <text>
        <r>
          <rPr>
            <b/>
            <sz val="9"/>
            <color indexed="81"/>
            <rFont val="Tahoma"/>
            <family val="2"/>
          </rPr>
          <t>Author:</t>
        </r>
        <r>
          <rPr>
            <sz val="9"/>
            <color indexed="81"/>
            <rFont val="Tahoma"/>
            <family val="2"/>
          </rPr>
          <t xml:space="preserve">
Middle East</t>
        </r>
      </text>
    </comment>
    <comment ref="B502" authorId="0" shapeId="0" xr:uid="{C6C97474-94BD-454B-BF84-80E20A1D0E63}">
      <text>
        <r>
          <rPr>
            <b/>
            <sz val="9"/>
            <color indexed="81"/>
            <rFont val="Tahoma"/>
            <family val="2"/>
          </rPr>
          <t>Author:</t>
        </r>
        <r>
          <rPr>
            <sz val="9"/>
            <color indexed="81"/>
            <rFont val="Tahoma"/>
            <family val="2"/>
          </rPr>
          <t xml:space="preserve">
North America</t>
        </r>
      </text>
    </comment>
    <comment ref="B503" authorId="0" shapeId="0" xr:uid="{F48F5D4B-1177-5D48-9A87-3F0D0284F33E}">
      <text>
        <r>
          <rPr>
            <b/>
            <sz val="9"/>
            <color indexed="81"/>
            <rFont val="Tahoma"/>
            <family val="2"/>
          </rPr>
          <t>Author:</t>
        </r>
        <r>
          <rPr>
            <sz val="9"/>
            <color indexed="81"/>
            <rFont val="Tahoma"/>
            <family val="2"/>
          </rPr>
          <t xml:space="preserve">
Western Europe</t>
        </r>
      </text>
    </comment>
    <comment ref="B507" authorId="0" shapeId="0" xr:uid="{900EE801-B004-3849-848B-044D156138FE}">
      <text>
        <r>
          <rPr>
            <b/>
            <sz val="9"/>
            <color indexed="81"/>
            <rFont val="Tahoma"/>
            <family val="2"/>
          </rPr>
          <t>Author:</t>
        </r>
        <r>
          <rPr>
            <sz val="9"/>
            <color indexed="81"/>
            <rFont val="Tahoma"/>
            <family val="2"/>
          </rPr>
          <t xml:space="preserve">
Africa</t>
        </r>
      </text>
    </comment>
    <comment ref="B508" authorId="0" shapeId="0" xr:uid="{EBDE2D6A-FAF2-A341-BC34-598EE2F444FD}">
      <text>
        <r>
          <rPr>
            <b/>
            <sz val="9"/>
            <color indexed="81"/>
            <rFont val="Tahoma"/>
            <family val="2"/>
          </rPr>
          <t>Author:</t>
        </r>
        <r>
          <rPr>
            <sz val="9"/>
            <color indexed="81"/>
            <rFont val="Tahoma"/>
            <family val="2"/>
          </rPr>
          <t xml:space="preserve">
Asia</t>
        </r>
      </text>
    </comment>
    <comment ref="B509" authorId="0" shapeId="0" xr:uid="{6C369DFE-B7EB-DA42-A4E9-0102CA4C3C20}">
      <text>
        <r>
          <rPr>
            <b/>
            <sz val="9"/>
            <color indexed="81"/>
            <rFont val="Tahoma"/>
            <family val="2"/>
          </rPr>
          <t>Author:</t>
        </r>
        <r>
          <rPr>
            <sz val="9"/>
            <color indexed="81"/>
            <rFont val="Tahoma"/>
            <family val="2"/>
          </rPr>
          <t xml:space="preserve">
Australia &amp; New Zealand</t>
        </r>
      </text>
    </comment>
    <comment ref="B510" authorId="0" shapeId="0" xr:uid="{FCBDD7F0-789B-7E41-997D-60C08535C41C}">
      <text>
        <r>
          <rPr>
            <b/>
            <sz val="9"/>
            <color indexed="81"/>
            <rFont val="Tahoma"/>
            <family val="2"/>
          </rPr>
          <t>Author:</t>
        </r>
        <r>
          <rPr>
            <sz val="9"/>
            <color indexed="81"/>
            <rFont val="Tahoma"/>
            <family val="2"/>
          </rPr>
          <t xml:space="preserve">
Caribbean</t>
        </r>
      </text>
    </comment>
    <comment ref="B511" authorId="0" shapeId="0" xr:uid="{E2DB56D7-3E4D-E843-8DED-409A466361FF}">
      <text>
        <r>
          <rPr>
            <b/>
            <sz val="9"/>
            <color indexed="81"/>
            <rFont val="Tahoma"/>
            <family val="2"/>
          </rPr>
          <t>Author:</t>
        </r>
        <r>
          <rPr>
            <sz val="9"/>
            <color indexed="81"/>
            <rFont val="Tahoma"/>
            <family val="2"/>
          </rPr>
          <t xml:space="preserve">
Central and South America</t>
        </r>
      </text>
    </comment>
    <comment ref="B512" authorId="0" shapeId="0" xr:uid="{BC90452D-3991-304F-8A34-F1675D621090}">
      <text>
        <r>
          <rPr>
            <b/>
            <sz val="9"/>
            <color indexed="81"/>
            <rFont val="Tahoma"/>
            <family val="2"/>
          </rPr>
          <t>Author:</t>
        </r>
        <r>
          <rPr>
            <sz val="9"/>
            <color indexed="81"/>
            <rFont val="Tahoma"/>
            <family val="2"/>
          </rPr>
          <t xml:space="preserve">
Eastern Europe &amp; Russia</t>
        </r>
      </text>
    </comment>
    <comment ref="B513" authorId="0" shapeId="0" xr:uid="{1ACDC51E-52B8-734D-9F9D-BD78C71548AE}">
      <text>
        <r>
          <rPr>
            <b/>
            <sz val="9"/>
            <color indexed="81"/>
            <rFont val="Tahoma"/>
            <family val="2"/>
          </rPr>
          <t>Author:</t>
        </r>
        <r>
          <rPr>
            <sz val="9"/>
            <color indexed="81"/>
            <rFont val="Tahoma"/>
            <family val="2"/>
          </rPr>
          <t xml:space="preserve">
Middle East</t>
        </r>
      </text>
    </comment>
    <comment ref="B514" authorId="0" shapeId="0" xr:uid="{306F8A7F-9C9E-FC49-B6AF-4E90801D2140}">
      <text>
        <r>
          <rPr>
            <b/>
            <sz val="9"/>
            <color indexed="81"/>
            <rFont val="Tahoma"/>
            <family val="2"/>
          </rPr>
          <t>Author:</t>
        </r>
        <r>
          <rPr>
            <sz val="9"/>
            <color indexed="81"/>
            <rFont val="Tahoma"/>
            <family val="2"/>
          </rPr>
          <t xml:space="preserve">
North America</t>
        </r>
      </text>
    </comment>
    <comment ref="B515" authorId="0" shapeId="0" xr:uid="{E6FFF6AF-97CF-0F49-92F8-70F6953F7D55}">
      <text>
        <r>
          <rPr>
            <b/>
            <sz val="9"/>
            <color indexed="81"/>
            <rFont val="Tahoma"/>
            <family val="2"/>
          </rPr>
          <t>Author:</t>
        </r>
        <r>
          <rPr>
            <sz val="9"/>
            <color indexed="81"/>
            <rFont val="Tahoma"/>
            <family val="2"/>
          </rPr>
          <t xml:space="preserve">
Western Europe</t>
        </r>
      </text>
    </comment>
    <comment ref="B519" authorId="0" shapeId="0" xr:uid="{389E0019-3F1A-3A49-B3F8-701D5630B336}">
      <text>
        <r>
          <rPr>
            <b/>
            <sz val="9"/>
            <color indexed="81"/>
            <rFont val="Tahoma"/>
            <family val="2"/>
          </rPr>
          <t>Author:</t>
        </r>
        <r>
          <rPr>
            <sz val="9"/>
            <color indexed="81"/>
            <rFont val="Tahoma"/>
            <family val="2"/>
          </rPr>
          <t xml:space="preserve">
Africa</t>
        </r>
      </text>
    </comment>
    <comment ref="B520" authorId="0" shapeId="0" xr:uid="{C6AF9A70-A3EB-1A4E-B087-422DF76D6568}">
      <text>
        <r>
          <rPr>
            <b/>
            <sz val="9"/>
            <color indexed="81"/>
            <rFont val="Tahoma"/>
            <family val="2"/>
          </rPr>
          <t>Author:</t>
        </r>
        <r>
          <rPr>
            <sz val="9"/>
            <color indexed="81"/>
            <rFont val="Tahoma"/>
            <family val="2"/>
          </rPr>
          <t xml:space="preserve">
Asia</t>
        </r>
      </text>
    </comment>
    <comment ref="B521" authorId="0" shapeId="0" xr:uid="{DF8D696A-DE2C-D243-BA07-17EF179CEC5E}">
      <text>
        <r>
          <rPr>
            <b/>
            <sz val="9"/>
            <color indexed="81"/>
            <rFont val="Tahoma"/>
            <family val="2"/>
          </rPr>
          <t>Author:</t>
        </r>
        <r>
          <rPr>
            <sz val="9"/>
            <color indexed="81"/>
            <rFont val="Tahoma"/>
            <family val="2"/>
          </rPr>
          <t xml:space="preserve">
Australia &amp; New Zealand</t>
        </r>
      </text>
    </comment>
    <comment ref="B522" authorId="0" shapeId="0" xr:uid="{B6C96CE6-1DBB-C04B-972D-8301EC24B4D3}">
      <text>
        <r>
          <rPr>
            <b/>
            <sz val="9"/>
            <color indexed="81"/>
            <rFont val="Tahoma"/>
            <family val="2"/>
          </rPr>
          <t>Author:</t>
        </r>
        <r>
          <rPr>
            <sz val="9"/>
            <color indexed="81"/>
            <rFont val="Tahoma"/>
            <family val="2"/>
          </rPr>
          <t xml:space="preserve">
Caribbean</t>
        </r>
      </text>
    </comment>
    <comment ref="B523" authorId="0" shapeId="0" xr:uid="{2D5A0EFA-F7F0-4247-8F2E-6A3D77D6C195}">
      <text>
        <r>
          <rPr>
            <b/>
            <sz val="9"/>
            <color indexed="81"/>
            <rFont val="Tahoma"/>
            <family val="2"/>
          </rPr>
          <t>Author:</t>
        </r>
        <r>
          <rPr>
            <sz val="9"/>
            <color indexed="81"/>
            <rFont val="Tahoma"/>
            <family val="2"/>
          </rPr>
          <t xml:space="preserve">
Central and South America</t>
        </r>
      </text>
    </comment>
    <comment ref="B524" authorId="0" shapeId="0" xr:uid="{ADDF7F38-3906-E74D-9CBA-0B82D48A40E5}">
      <text>
        <r>
          <rPr>
            <b/>
            <sz val="9"/>
            <color indexed="81"/>
            <rFont val="Tahoma"/>
            <family val="2"/>
          </rPr>
          <t>Author:</t>
        </r>
        <r>
          <rPr>
            <sz val="9"/>
            <color indexed="81"/>
            <rFont val="Tahoma"/>
            <family val="2"/>
          </rPr>
          <t xml:space="preserve">
Eastern Europe &amp; Russia</t>
        </r>
      </text>
    </comment>
    <comment ref="B525" authorId="0" shapeId="0" xr:uid="{605208D9-B0FC-3A4A-9FC7-1838533B1286}">
      <text>
        <r>
          <rPr>
            <b/>
            <sz val="9"/>
            <color indexed="81"/>
            <rFont val="Tahoma"/>
            <family val="2"/>
          </rPr>
          <t>Author:</t>
        </r>
        <r>
          <rPr>
            <sz val="9"/>
            <color indexed="81"/>
            <rFont val="Tahoma"/>
            <family val="2"/>
          </rPr>
          <t xml:space="preserve">
Middle East</t>
        </r>
      </text>
    </comment>
    <comment ref="B526" authorId="0" shapeId="0" xr:uid="{66AA33C9-BEF9-1A46-BFBD-5B0A243A1B44}">
      <text>
        <r>
          <rPr>
            <b/>
            <sz val="9"/>
            <color indexed="81"/>
            <rFont val="Tahoma"/>
            <family val="2"/>
          </rPr>
          <t>Author:</t>
        </r>
        <r>
          <rPr>
            <sz val="9"/>
            <color indexed="81"/>
            <rFont val="Tahoma"/>
            <family val="2"/>
          </rPr>
          <t xml:space="preserve">
North America</t>
        </r>
      </text>
    </comment>
    <comment ref="B527" authorId="0" shapeId="0" xr:uid="{A101DDB3-5F58-AF47-A648-72315CEB9D26}">
      <text>
        <r>
          <rPr>
            <b/>
            <sz val="9"/>
            <color indexed="81"/>
            <rFont val="Tahoma"/>
            <family val="2"/>
          </rPr>
          <t>Author:</t>
        </r>
        <r>
          <rPr>
            <sz val="9"/>
            <color indexed="81"/>
            <rFont val="Tahoma"/>
            <family val="2"/>
          </rPr>
          <t xml:space="preserve">
Western Europe</t>
        </r>
      </text>
    </comment>
    <comment ref="B531" authorId="0" shapeId="0" xr:uid="{36287E07-1852-9940-9C5A-58B99B4C83D0}">
      <text>
        <r>
          <rPr>
            <b/>
            <sz val="9"/>
            <color indexed="81"/>
            <rFont val="Tahoma"/>
            <family val="2"/>
          </rPr>
          <t>Author:</t>
        </r>
        <r>
          <rPr>
            <sz val="9"/>
            <color indexed="81"/>
            <rFont val="Tahoma"/>
            <family val="2"/>
          </rPr>
          <t xml:space="preserve">
Africa</t>
        </r>
      </text>
    </comment>
    <comment ref="B532" authorId="0" shapeId="0" xr:uid="{5582F66B-E5C3-E649-A23A-69DB3C7C0283}">
      <text>
        <r>
          <rPr>
            <b/>
            <sz val="9"/>
            <color indexed="81"/>
            <rFont val="Tahoma"/>
            <family val="2"/>
          </rPr>
          <t>Author:</t>
        </r>
        <r>
          <rPr>
            <sz val="9"/>
            <color indexed="81"/>
            <rFont val="Tahoma"/>
            <family val="2"/>
          </rPr>
          <t xml:space="preserve">
Asia</t>
        </r>
      </text>
    </comment>
    <comment ref="C532" authorId="0" shapeId="0" xr:uid="{61A1D47B-4D5B-034D-B242-59F36314D727}">
      <text>
        <r>
          <rPr>
            <b/>
            <sz val="9"/>
            <color indexed="81"/>
            <rFont val="Tahoma"/>
            <family val="2"/>
          </rPr>
          <t>Author:</t>
        </r>
        <r>
          <rPr>
            <sz val="9"/>
            <color indexed="81"/>
            <rFont val="Tahoma"/>
            <family val="2"/>
          </rPr>
          <t xml:space="preserve">
Asia</t>
        </r>
      </text>
    </comment>
    <comment ref="D532" authorId="0" shapeId="0" xr:uid="{118FF53E-4247-ED49-B20C-82CDCFB5613C}">
      <text>
        <r>
          <rPr>
            <b/>
            <sz val="9"/>
            <color indexed="81"/>
            <rFont val="Tahoma"/>
            <family val="2"/>
          </rPr>
          <t>Author:</t>
        </r>
        <r>
          <rPr>
            <sz val="9"/>
            <color indexed="81"/>
            <rFont val="Tahoma"/>
            <family val="2"/>
          </rPr>
          <t xml:space="preserve">
Asia</t>
        </r>
      </text>
    </comment>
    <comment ref="E532" authorId="0" shapeId="0" xr:uid="{708F6F39-D3C5-3A4E-8E63-90CEBDAACA4D}">
      <text>
        <r>
          <rPr>
            <b/>
            <sz val="9"/>
            <color indexed="81"/>
            <rFont val="Tahoma"/>
            <family val="2"/>
          </rPr>
          <t>Author:</t>
        </r>
        <r>
          <rPr>
            <sz val="9"/>
            <color indexed="81"/>
            <rFont val="Tahoma"/>
            <family val="2"/>
          </rPr>
          <t xml:space="preserve">
Asia</t>
        </r>
      </text>
    </comment>
    <comment ref="F532" authorId="0" shapeId="0" xr:uid="{07E5E191-FA06-194D-A1F6-04865DD9751C}">
      <text>
        <r>
          <rPr>
            <b/>
            <sz val="9"/>
            <color indexed="81"/>
            <rFont val="Tahoma"/>
            <family val="2"/>
          </rPr>
          <t>Author:</t>
        </r>
        <r>
          <rPr>
            <sz val="9"/>
            <color indexed="81"/>
            <rFont val="Tahoma"/>
            <family val="2"/>
          </rPr>
          <t xml:space="preserve">
Asia</t>
        </r>
      </text>
    </comment>
    <comment ref="G532" authorId="0" shapeId="0" xr:uid="{F10061BC-F30D-7B49-87B0-EF041DE9002E}">
      <text>
        <r>
          <rPr>
            <b/>
            <sz val="9"/>
            <color indexed="81"/>
            <rFont val="Tahoma"/>
            <family val="2"/>
          </rPr>
          <t>Author:</t>
        </r>
        <r>
          <rPr>
            <sz val="9"/>
            <color indexed="81"/>
            <rFont val="Tahoma"/>
            <family val="2"/>
          </rPr>
          <t xml:space="preserve">
Asia</t>
        </r>
      </text>
    </comment>
    <comment ref="H532" authorId="0" shapeId="0" xr:uid="{A33758CE-C535-E343-BCFF-D605937DE140}">
      <text>
        <r>
          <rPr>
            <b/>
            <sz val="9"/>
            <color indexed="81"/>
            <rFont val="Tahoma"/>
            <family val="2"/>
          </rPr>
          <t>Author:</t>
        </r>
        <r>
          <rPr>
            <sz val="9"/>
            <color indexed="81"/>
            <rFont val="Tahoma"/>
            <family val="2"/>
          </rPr>
          <t xml:space="preserve">
Asia</t>
        </r>
      </text>
    </comment>
    <comment ref="I532" authorId="0" shapeId="0" xr:uid="{D469C143-D3FB-F443-9CB3-4AB330ADBCB1}">
      <text>
        <r>
          <rPr>
            <b/>
            <sz val="9"/>
            <color indexed="81"/>
            <rFont val="Tahoma"/>
            <family val="2"/>
          </rPr>
          <t>Author:</t>
        </r>
        <r>
          <rPr>
            <sz val="9"/>
            <color indexed="81"/>
            <rFont val="Tahoma"/>
            <family val="2"/>
          </rPr>
          <t xml:space="preserve">
Asia</t>
        </r>
      </text>
    </comment>
    <comment ref="B533" authorId="0" shapeId="0" xr:uid="{FD31FFCA-4224-3943-91BD-83C2D89A4310}">
      <text>
        <r>
          <rPr>
            <b/>
            <sz val="9"/>
            <color indexed="81"/>
            <rFont val="Tahoma"/>
            <family val="2"/>
          </rPr>
          <t>Author:</t>
        </r>
        <r>
          <rPr>
            <sz val="9"/>
            <color indexed="81"/>
            <rFont val="Tahoma"/>
            <family val="2"/>
          </rPr>
          <t xml:space="preserve">
Australia &amp; New Zealand</t>
        </r>
      </text>
    </comment>
    <comment ref="B534" authorId="0" shapeId="0" xr:uid="{CAB0DF7C-8F3B-EA44-A3A4-31220A12D424}">
      <text>
        <r>
          <rPr>
            <b/>
            <sz val="9"/>
            <color indexed="81"/>
            <rFont val="Tahoma"/>
            <family val="2"/>
          </rPr>
          <t>Author:</t>
        </r>
        <r>
          <rPr>
            <sz val="9"/>
            <color indexed="81"/>
            <rFont val="Tahoma"/>
            <family val="2"/>
          </rPr>
          <t xml:space="preserve">
Caribbean</t>
        </r>
      </text>
    </comment>
    <comment ref="B535" authorId="0" shapeId="0" xr:uid="{55116498-5F25-0A4D-A4FB-6B4D9FD46001}">
      <text>
        <r>
          <rPr>
            <b/>
            <sz val="9"/>
            <color indexed="81"/>
            <rFont val="Tahoma"/>
            <family val="2"/>
          </rPr>
          <t>Author:</t>
        </r>
        <r>
          <rPr>
            <sz val="9"/>
            <color indexed="81"/>
            <rFont val="Tahoma"/>
            <family val="2"/>
          </rPr>
          <t xml:space="preserve">
Central and South America</t>
        </r>
      </text>
    </comment>
    <comment ref="B536" authorId="0" shapeId="0" xr:uid="{0B7AA24F-A5C3-F749-B962-59FDB8E968C4}">
      <text>
        <r>
          <rPr>
            <b/>
            <sz val="9"/>
            <color indexed="81"/>
            <rFont val="Tahoma"/>
            <family val="2"/>
          </rPr>
          <t>Author:</t>
        </r>
        <r>
          <rPr>
            <sz val="9"/>
            <color indexed="81"/>
            <rFont val="Tahoma"/>
            <family val="2"/>
          </rPr>
          <t xml:space="preserve">
Eastern Europe &amp; Russia</t>
        </r>
      </text>
    </comment>
    <comment ref="B537" authorId="0" shapeId="0" xr:uid="{DE89C761-1313-1A43-8BC5-0F19443A2DCF}">
      <text>
        <r>
          <rPr>
            <b/>
            <sz val="9"/>
            <color indexed="81"/>
            <rFont val="Tahoma"/>
            <family val="2"/>
          </rPr>
          <t>Author:</t>
        </r>
        <r>
          <rPr>
            <sz val="9"/>
            <color indexed="81"/>
            <rFont val="Tahoma"/>
            <family val="2"/>
          </rPr>
          <t xml:space="preserve">
Middle East</t>
        </r>
      </text>
    </comment>
    <comment ref="B538" authorId="0" shapeId="0" xr:uid="{A754AF09-E064-7949-AD35-3D0C8D3CB5F9}">
      <text>
        <r>
          <rPr>
            <b/>
            <sz val="9"/>
            <color indexed="81"/>
            <rFont val="Tahoma"/>
            <family val="2"/>
          </rPr>
          <t>Author:</t>
        </r>
        <r>
          <rPr>
            <sz val="9"/>
            <color indexed="81"/>
            <rFont val="Tahoma"/>
            <family val="2"/>
          </rPr>
          <t xml:space="preserve">
North America</t>
        </r>
      </text>
    </comment>
    <comment ref="C538" authorId="0" shapeId="0" xr:uid="{3DDF99E0-3366-0B4E-8EF3-431D0741B3CE}">
      <text>
        <r>
          <rPr>
            <b/>
            <sz val="9"/>
            <color indexed="81"/>
            <rFont val="Tahoma"/>
            <family val="2"/>
          </rPr>
          <t>Author:</t>
        </r>
        <r>
          <rPr>
            <sz val="9"/>
            <color indexed="81"/>
            <rFont val="Tahoma"/>
            <family val="2"/>
          </rPr>
          <t xml:space="preserve">
North America</t>
        </r>
      </text>
    </comment>
    <comment ref="D538" authorId="0" shapeId="0" xr:uid="{3E271A68-C3FF-AA42-B8E2-765508F38048}">
      <text>
        <r>
          <rPr>
            <b/>
            <sz val="9"/>
            <color indexed="81"/>
            <rFont val="Tahoma"/>
            <family val="2"/>
          </rPr>
          <t>Author:</t>
        </r>
        <r>
          <rPr>
            <sz val="9"/>
            <color indexed="81"/>
            <rFont val="Tahoma"/>
            <family val="2"/>
          </rPr>
          <t xml:space="preserve">
North America</t>
        </r>
      </text>
    </comment>
    <comment ref="E538" authorId="0" shapeId="0" xr:uid="{3780B4D3-0C4C-1B47-B2C7-71F3D8C6220E}">
      <text>
        <r>
          <rPr>
            <b/>
            <sz val="9"/>
            <color indexed="81"/>
            <rFont val="Tahoma"/>
            <family val="2"/>
          </rPr>
          <t>Author:</t>
        </r>
        <r>
          <rPr>
            <sz val="9"/>
            <color indexed="81"/>
            <rFont val="Tahoma"/>
            <family val="2"/>
          </rPr>
          <t xml:space="preserve">
North America</t>
        </r>
      </text>
    </comment>
    <comment ref="F538" authorId="0" shapeId="0" xr:uid="{0BFA8363-1553-814C-85AA-2ECB96520620}">
      <text>
        <r>
          <rPr>
            <b/>
            <sz val="9"/>
            <color indexed="81"/>
            <rFont val="Tahoma"/>
            <family val="2"/>
          </rPr>
          <t>Author:</t>
        </r>
        <r>
          <rPr>
            <sz val="9"/>
            <color indexed="81"/>
            <rFont val="Tahoma"/>
            <family val="2"/>
          </rPr>
          <t xml:space="preserve">
North America</t>
        </r>
      </text>
    </comment>
    <comment ref="G538" authorId="0" shapeId="0" xr:uid="{67686902-6B62-0142-9CBD-04762A1CE95E}">
      <text>
        <r>
          <rPr>
            <b/>
            <sz val="9"/>
            <color indexed="81"/>
            <rFont val="Tahoma"/>
            <family val="2"/>
          </rPr>
          <t>Author:</t>
        </r>
        <r>
          <rPr>
            <sz val="9"/>
            <color indexed="81"/>
            <rFont val="Tahoma"/>
            <family val="2"/>
          </rPr>
          <t xml:space="preserve">
North America</t>
        </r>
      </text>
    </comment>
    <comment ref="H538" authorId="0" shapeId="0" xr:uid="{DCAFD248-6B57-D344-9CBB-1A8ECA517102}">
      <text>
        <r>
          <rPr>
            <b/>
            <sz val="9"/>
            <color indexed="81"/>
            <rFont val="Tahoma"/>
            <family val="2"/>
          </rPr>
          <t>Author:</t>
        </r>
        <r>
          <rPr>
            <sz val="9"/>
            <color indexed="81"/>
            <rFont val="Tahoma"/>
            <family val="2"/>
          </rPr>
          <t xml:space="preserve">
North America</t>
        </r>
      </text>
    </comment>
    <comment ref="I538" authorId="0" shapeId="0" xr:uid="{95619510-3EC3-CA47-B63C-FB55AEC4F9AB}">
      <text>
        <r>
          <rPr>
            <b/>
            <sz val="9"/>
            <color indexed="81"/>
            <rFont val="Tahoma"/>
            <family val="2"/>
          </rPr>
          <t>Author:</t>
        </r>
        <r>
          <rPr>
            <sz val="9"/>
            <color indexed="81"/>
            <rFont val="Tahoma"/>
            <family val="2"/>
          </rPr>
          <t xml:space="preserve">
North America</t>
        </r>
      </text>
    </comment>
    <comment ref="B539" authorId="0" shapeId="0" xr:uid="{0C60CA14-E9D5-EF41-8077-BA86D467F2D4}">
      <text>
        <r>
          <rPr>
            <b/>
            <sz val="9"/>
            <color indexed="81"/>
            <rFont val="Tahoma"/>
            <family val="2"/>
          </rPr>
          <t>Author:</t>
        </r>
        <r>
          <rPr>
            <sz val="9"/>
            <color indexed="81"/>
            <rFont val="Tahoma"/>
            <family val="2"/>
          </rPr>
          <t xml:space="preserve">
Western Europe</t>
        </r>
      </text>
    </comment>
    <comment ref="C539" authorId="0" shapeId="0" xr:uid="{178DC8BA-9D2E-B248-8354-93891001963A}">
      <text>
        <r>
          <rPr>
            <b/>
            <sz val="9"/>
            <color indexed="81"/>
            <rFont val="Tahoma"/>
            <family val="2"/>
          </rPr>
          <t>Author:</t>
        </r>
        <r>
          <rPr>
            <sz val="9"/>
            <color indexed="81"/>
            <rFont val="Tahoma"/>
            <family val="2"/>
          </rPr>
          <t xml:space="preserve">
Western Europe</t>
        </r>
      </text>
    </comment>
    <comment ref="D539" authorId="0" shapeId="0" xr:uid="{8E58C05A-F7E1-C64F-AE65-2E927EC16A7B}">
      <text>
        <r>
          <rPr>
            <b/>
            <sz val="9"/>
            <color indexed="81"/>
            <rFont val="Tahoma"/>
            <family val="2"/>
          </rPr>
          <t>Author:</t>
        </r>
        <r>
          <rPr>
            <sz val="9"/>
            <color indexed="81"/>
            <rFont val="Tahoma"/>
            <family val="2"/>
          </rPr>
          <t xml:space="preserve">
Western Europe</t>
        </r>
      </text>
    </comment>
    <comment ref="E539" authorId="0" shapeId="0" xr:uid="{A213B93E-A64C-1E4B-A790-D22AA995A4BD}">
      <text>
        <r>
          <rPr>
            <b/>
            <sz val="9"/>
            <color indexed="81"/>
            <rFont val="Tahoma"/>
            <family val="2"/>
          </rPr>
          <t>Author:</t>
        </r>
        <r>
          <rPr>
            <sz val="9"/>
            <color indexed="81"/>
            <rFont val="Tahoma"/>
            <family val="2"/>
          </rPr>
          <t xml:space="preserve">
Western Europe</t>
        </r>
      </text>
    </comment>
    <comment ref="F539" authorId="0" shapeId="0" xr:uid="{956A4EBC-56C2-E143-8E5B-F7D3056EB0C9}">
      <text>
        <r>
          <rPr>
            <b/>
            <sz val="9"/>
            <color indexed="81"/>
            <rFont val="Tahoma"/>
            <family val="2"/>
          </rPr>
          <t>Author:</t>
        </r>
        <r>
          <rPr>
            <sz val="9"/>
            <color indexed="81"/>
            <rFont val="Tahoma"/>
            <family val="2"/>
          </rPr>
          <t xml:space="preserve">
Western Europe</t>
        </r>
      </text>
    </comment>
    <comment ref="G539" authorId="0" shapeId="0" xr:uid="{2986E50B-F8CC-6443-8CB5-AC96DB0CD5BE}">
      <text>
        <r>
          <rPr>
            <b/>
            <sz val="9"/>
            <color indexed="81"/>
            <rFont val="Tahoma"/>
            <family val="2"/>
          </rPr>
          <t>Author:</t>
        </r>
        <r>
          <rPr>
            <sz val="9"/>
            <color indexed="81"/>
            <rFont val="Tahoma"/>
            <family val="2"/>
          </rPr>
          <t xml:space="preserve">
Western Europe</t>
        </r>
      </text>
    </comment>
    <comment ref="H539" authorId="0" shapeId="0" xr:uid="{8862068F-1241-4448-B935-CD443A6416C5}">
      <text>
        <r>
          <rPr>
            <b/>
            <sz val="9"/>
            <color indexed="81"/>
            <rFont val="Tahoma"/>
            <family val="2"/>
          </rPr>
          <t>Author:</t>
        </r>
        <r>
          <rPr>
            <sz val="9"/>
            <color indexed="81"/>
            <rFont val="Tahoma"/>
            <family val="2"/>
          </rPr>
          <t xml:space="preserve">
Western Europe</t>
        </r>
      </text>
    </comment>
    <comment ref="I539" authorId="0" shapeId="0" xr:uid="{C2663FBA-70AB-9244-9F5D-529224607A1E}">
      <text>
        <r>
          <rPr>
            <b/>
            <sz val="9"/>
            <color indexed="81"/>
            <rFont val="Tahoma"/>
            <family val="2"/>
          </rPr>
          <t>Author:</t>
        </r>
        <r>
          <rPr>
            <sz val="9"/>
            <color indexed="81"/>
            <rFont val="Tahoma"/>
            <family val="2"/>
          </rPr>
          <t xml:space="preserve">
Western Europe</t>
        </r>
      </text>
    </comment>
    <comment ref="A548" authorId="0" shapeId="0" xr:uid="{B55630E2-7946-0646-A597-BA2E9007E87C}">
      <text>
        <r>
          <rPr>
            <b/>
            <sz val="9"/>
            <color indexed="81"/>
            <rFont val="Tahoma"/>
            <family val="2"/>
          </rPr>
          <t>Author:</t>
        </r>
        <r>
          <rPr>
            <sz val="9"/>
            <color indexed="81"/>
            <rFont val="Tahoma"/>
            <family val="2"/>
          </rPr>
          <t xml:space="preserve">
Current, long term cost of borrowing money. If you have a rating use it, if not use a synthetic rating.</t>
        </r>
      </text>
    </comment>
    <comment ref="A554" authorId="0" shapeId="0" xr:uid="{2DA4E600-0DB1-8940-B965-5664304936E2}">
      <text>
        <r>
          <rPr>
            <b/>
            <sz val="9"/>
            <color indexed="81"/>
            <rFont val="Tahoma"/>
            <family val="2"/>
          </rPr>
          <t>Author:</t>
        </r>
        <r>
          <rPr>
            <sz val="9"/>
            <color indexed="81"/>
            <rFont val="Tahoma"/>
            <family val="2"/>
          </rPr>
          <t xml:space="preserve">
Enter the interest expense from the most recent income statement.</t>
        </r>
      </text>
    </comment>
    <comment ref="A555" authorId="0" shapeId="0" xr:uid="{EA18890B-2B94-9345-8487-F61ED4EE796F}">
      <text>
        <r>
          <rPr>
            <b/>
            <sz val="9"/>
            <color indexed="81"/>
            <rFont val="Geneva"/>
          </rPr>
          <t>Author:</t>
        </r>
        <r>
          <rPr>
            <sz val="9"/>
            <color indexed="81"/>
            <rFont val="Geneva"/>
          </rPr>
          <t xml:space="preserve">
If your most recent year's operating income is unusually low or high, you can use the average operating income from the last few years. 
Add back only long term interest expense for financial firms</t>
        </r>
      </text>
    </comment>
    <comment ref="A564" authorId="0" shapeId="0" xr:uid="{AA325BF3-EE1E-9447-97EB-39ED3681B656}">
      <text>
        <r>
          <rPr>
            <b/>
            <sz val="9"/>
            <color indexed="81"/>
            <rFont val="Geneva"/>
          </rPr>
          <t>Author:</t>
        </r>
        <r>
          <rPr>
            <sz val="9"/>
            <color indexed="81"/>
            <rFont val="Geneva"/>
          </rPr>
          <t xml:space="preserve">
This should be today's long term riskfree rate (today's ten -year government bond rate). If you are working with a currency where the government has default risk, clean up the government bond rate to make it riskfree (by subtracting the default spread for the government)</t>
        </r>
      </text>
    </comment>
    <comment ref="A582" authorId="0" shapeId="0" xr:uid="{5AE967FC-79DA-1F47-8F54-42E0072955B0}">
      <text>
        <r>
          <rPr>
            <b/>
            <sz val="9"/>
            <color indexed="81"/>
            <rFont val="Tahoma"/>
            <family val="2"/>
          </rPr>
          <t>Author:</t>
        </r>
        <r>
          <rPr>
            <sz val="9"/>
            <color indexed="81"/>
            <rFont val="Tahoma"/>
            <family val="2"/>
          </rPr>
          <t xml:space="preserve">
exclude: Pension Liabilities</t>
        </r>
      </text>
    </comment>
    <comment ref="A603" authorId="0" shapeId="0" xr:uid="{4760B83B-01C9-2647-8A43-F6CF4DC1CD76}">
      <text>
        <r>
          <rPr>
            <b/>
            <sz val="9"/>
            <color indexed="81"/>
            <rFont val="Geneva"/>
          </rPr>
          <t>Author:</t>
        </r>
        <r>
          <rPr>
            <sz val="9"/>
            <color indexed="81"/>
            <rFont val="Geneva"/>
          </rPr>
          <t xml:space="preserve">
Enter the most recent update you have on the number of shares. If you have different classes of shares, aggregate them all and enter one number. Count restricted stock units (RSUs) as shares but don't count shares underlying employee options.</t>
        </r>
      </text>
    </comment>
    <comment ref="A604" authorId="0" shapeId="0" xr:uid="{178BD846-3FED-8B4F-AA5B-BAD082AAAE78}">
      <text>
        <r>
          <rPr>
            <b/>
            <sz val="9"/>
            <color indexed="81"/>
            <rFont val="Geneva"/>
          </rPr>
          <t>Author:</t>
        </r>
        <r>
          <rPr>
            <sz val="9"/>
            <color indexed="81"/>
            <rFont val="Geneva"/>
          </rPr>
          <t xml:space="preserve">
Enter the most recent stock price (how about today's?) in here. If you are assessing the value of the stock, enter your estimate of the expected IPO price</t>
        </r>
      </text>
    </comment>
    <comment ref="A606" authorId="0" shapeId="0" xr:uid="{7712ACB3-EB43-814D-BDC9-067B1585D80A}">
      <text>
        <r>
          <rPr>
            <b/>
            <sz val="9"/>
            <color indexed="81"/>
            <rFont val="Geneva"/>
          </rPr>
          <t>Author:</t>
        </r>
        <r>
          <rPr>
            <sz val="9"/>
            <color indexed="81"/>
            <rFont val="Geneva"/>
          </rPr>
          <t xml:space="preserve">
If you have a standard deviation for your stock, enter the annualized number. You can use either a historical estimate or an implied standard deviation. If not, use the industry average standard deviation from the table.</t>
        </r>
      </text>
    </comment>
    <comment ref="A607" authorId="0" shapeId="0" xr:uid="{3AEA0A18-CA01-1743-A415-D84032D99EDE}">
      <text>
        <r>
          <rPr>
            <b/>
            <sz val="9"/>
            <color indexed="81"/>
            <rFont val="Geneva"/>
          </rPr>
          <t>Author:</t>
        </r>
        <r>
          <rPr>
            <sz val="9"/>
            <color indexed="81"/>
            <rFont val="Geneva"/>
          </rPr>
          <t xml:space="preserve">
Divide the dollar dividends (annual) by the stock price.</t>
        </r>
      </text>
    </comment>
    <comment ref="A609" authorId="0" shapeId="0" xr:uid="{4B80A5A2-93B7-9641-A673-770E54AD3583}">
      <text>
        <r>
          <rPr>
            <b/>
            <sz val="9"/>
            <color indexed="81"/>
            <rFont val="Geneva"/>
          </rPr>
          <t>Author:</t>
        </r>
        <r>
          <rPr>
            <sz val="9"/>
            <color indexed="81"/>
            <rFont val="Geneva"/>
          </rPr>
          <t xml:space="preserve">
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A621" authorId="0" shapeId="0" xr:uid="{D53145D5-4DF8-004C-8147-E3583BEDCDF6}">
      <text>
        <r>
          <rPr>
            <b/>
            <sz val="9"/>
            <color indexed="81"/>
            <rFont val="Geneva"/>
          </rPr>
          <t>Author:</t>
        </r>
        <r>
          <rPr>
            <sz val="9"/>
            <color indexed="81"/>
            <rFont val="Geneva"/>
          </rPr>
          <t xml:space="preserve">
Enter the weighted average strike price of your options. (Should be in your 10K or annual report.)</t>
        </r>
      </text>
    </comment>
    <comment ref="A622" authorId="0" shapeId="0" xr:uid="{4D8011D1-AFB3-6945-9838-7C5EE5530AD1}">
      <text>
        <r>
          <rPr>
            <b/>
            <sz val="9"/>
            <color indexed="81"/>
            <rFont val="Geneva"/>
          </rPr>
          <t>Author:</t>
        </r>
        <r>
          <rPr>
            <sz val="9"/>
            <color indexed="81"/>
            <rFont val="Geneva"/>
          </rPr>
          <t xml:space="preserve">
The weighted average maturity of your options should be reported in your financial statements.
Do you want to adjust the stated maturity for the fact that employee options are illiquid and get exercised early? If yes, enter the maturity you would like to use in the option pricing model</t>
        </r>
      </text>
    </comment>
    <comment ref="A623" authorId="0" shapeId="0" xr:uid="{B2849ED8-C486-3546-A248-9CD0AD90AE97}">
      <text>
        <r>
          <rPr>
            <b/>
            <sz val="9"/>
            <color indexed="81"/>
            <rFont val="Geneva"/>
          </rPr>
          <t>Author:</t>
        </r>
        <r>
          <rPr>
            <sz val="9"/>
            <color indexed="81"/>
            <rFont val="Geneva"/>
          </rPr>
          <t xml:space="preserve">
Check your company's annual report or 10K. If it does have options outstanding, enter the total number here (vested and non vested, in the money and out…)</t>
        </r>
      </text>
    </comment>
    <comment ref="A624" authorId="0" shapeId="0" xr:uid="{E697C46B-D08B-5245-8EC1-AF80E14956BD}">
      <text>
        <r>
          <rPr>
            <b/>
            <sz val="9"/>
            <color indexed="81"/>
            <rFont val="Geneva"/>
          </rPr>
          <t>Author:</t>
        </r>
        <r>
          <rPr>
            <sz val="9"/>
            <color indexed="81"/>
            <rFont val="Geneva"/>
          </rPr>
          <t xml:space="preserve">
The option value below is not adjusted for non-vesting. Do you want to adjust for vesting?</t>
        </r>
      </text>
    </comment>
    <comment ref="A625" authorId="0" shapeId="0" xr:uid="{9D6ADDEA-E1E5-3040-9827-3C2035C09536}">
      <text>
        <r>
          <rPr>
            <b/>
            <sz val="9"/>
            <color indexed="81"/>
            <rFont val="Geneva"/>
          </rPr>
          <t>Author:</t>
        </r>
        <r>
          <rPr>
            <sz val="9"/>
            <color indexed="81"/>
            <rFont val="Geneva"/>
          </rPr>
          <t xml:space="preserve">
Enter the most recent update you have on the number of shares. If you have different classes of shares, aggregate them all and enter one number. Count restricted stock units (RSUs) as shares but don't count shares underlying employee options.</t>
        </r>
      </text>
    </comment>
    <comment ref="A627" authorId="0" shapeId="0" xr:uid="{80FE7012-5C42-C94F-8B79-FCA38BFB6FA2}">
      <text>
        <r>
          <rPr>
            <b/>
            <sz val="9"/>
            <color indexed="81"/>
            <rFont val="Geneva"/>
          </rPr>
          <t>Author:</t>
        </r>
        <r>
          <rPr>
            <sz val="9"/>
            <color indexed="81"/>
            <rFont val="Geneva"/>
          </rPr>
          <t xml:space="preserve">
Enter the most recent stock price (how about today's?) in here. If you are assessing the value of the stock, enter your estimate of the expected IPO price</t>
        </r>
      </text>
    </comment>
    <comment ref="A628" authorId="0" shapeId="0" xr:uid="{132F7CFE-11C4-0647-B23A-57D2ADB4A66B}">
      <text>
        <r>
          <rPr>
            <b/>
            <sz val="9"/>
            <color indexed="81"/>
            <rFont val="Geneva"/>
          </rPr>
          <t>Author:</t>
        </r>
        <r>
          <rPr>
            <sz val="9"/>
            <color indexed="81"/>
            <rFont val="Geneva"/>
          </rPr>
          <t xml:space="preserve">
If you have a standard deviation for your stock, enter the annualized number. You can use either a historical estimate or an implied standard deviation. If not, use the industry average standard deviation from the table.</t>
        </r>
      </text>
    </comment>
    <comment ref="A629" authorId="0" shapeId="0" xr:uid="{C14811E7-53F0-6E4F-87EB-F5DF63A89362}">
      <text>
        <r>
          <rPr>
            <b/>
            <sz val="9"/>
            <color indexed="81"/>
            <rFont val="Geneva"/>
          </rPr>
          <t>Author:</t>
        </r>
        <r>
          <rPr>
            <sz val="9"/>
            <color indexed="81"/>
            <rFont val="Geneva"/>
          </rPr>
          <t xml:space="preserve">
Divide the dollar dividends (annual) by the stock price.</t>
        </r>
      </text>
    </comment>
    <comment ref="A631" authorId="0" shapeId="0" xr:uid="{E10AF3D8-B130-154F-B861-DB888F773B5A}">
      <text>
        <r>
          <rPr>
            <b/>
            <sz val="9"/>
            <color indexed="81"/>
            <rFont val="Geneva"/>
          </rPr>
          <t>Author:</t>
        </r>
        <r>
          <rPr>
            <sz val="9"/>
            <color indexed="81"/>
            <rFont val="Geneva"/>
          </rPr>
          <t xml:space="preserve">
Enter the rate on a government bond with maturity closest to option expiration.</t>
        </r>
      </text>
    </comment>
    <comment ref="A642" authorId="0" shapeId="0" xr:uid="{1E39A7DA-1916-3A41-A45E-41F822DBA060}">
      <text>
        <r>
          <rPr>
            <b/>
            <sz val="9"/>
            <color indexed="81"/>
            <rFont val="Tahoma"/>
            <family val="2"/>
          </rPr>
          <t>Author:</t>
        </r>
        <r>
          <rPr>
            <sz val="9"/>
            <color indexed="81"/>
            <rFont val="Tahoma"/>
            <family val="2"/>
          </rPr>
          <t xml:space="preserve">
If you have operating leases, please enter your lease commitments in the lease section below and I will convert to debt (with operating leases reclassifed as debt)</t>
        </r>
      </text>
    </comment>
    <comment ref="A644" authorId="0" shapeId="0" xr:uid="{BEF653B0-C0A7-D541-9AD9-A81A57702936}">
      <text>
        <r>
          <rPr>
            <b/>
            <sz val="9"/>
            <color indexed="81"/>
            <rFont val="Tahoma"/>
            <family val="2"/>
          </rPr>
          <t>Author:</t>
        </r>
        <r>
          <rPr>
            <sz val="9"/>
            <color indexed="81"/>
            <rFont val="Tahoma"/>
            <family val="2"/>
          </rPr>
          <t xml:space="preserve">
Add this amount to pre-tax operating income</t>
        </r>
      </text>
    </comment>
    <comment ref="A645" authorId="0" shapeId="0" xr:uid="{29B1081D-DC44-D643-A6F7-2F06BAB0EB41}">
      <text>
        <r>
          <rPr>
            <b/>
            <sz val="9"/>
            <color indexed="81"/>
            <rFont val="Tahoma"/>
            <family val="2"/>
          </rPr>
          <t>Author:</t>
        </r>
        <r>
          <rPr>
            <sz val="9"/>
            <color indexed="81"/>
            <rFont val="Tahoma"/>
            <family val="2"/>
          </rPr>
          <t xml:space="preserve">
Depreciation on leased asset. use straight line depreciation</t>
        </r>
      </text>
    </comment>
    <comment ref="A646" authorId="0" shapeId="0" xr:uid="{8B77CBD9-44D5-A74D-BFD8-5EEF60D5EA11}">
      <text>
        <r>
          <rPr>
            <b/>
            <sz val="9"/>
            <color indexed="81"/>
            <rFont val="Tahoma"/>
            <family val="2"/>
          </rPr>
          <t>Author:</t>
        </r>
        <r>
          <rPr>
            <sz val="9"/>
            <color indexed="81"/>
            <rFont val="Tahoma"/>
            <family val="2"/>
          </rPr>
          <t xml:space="preserve">
Debt Value of leases. Add this amount to debt</t>
        </r>
      </text>
    </comment>
    <comment ref="A648" authorId="0" shapeId="0" xr:uid="{1AB800C3-9DD7-764C-89DE-59732DF57F3E}">
      <text>
        <r>
          <rPr>
            <b/>
            <sz val="9"/>
            <color indexed="81"/>
            <rFont val="Tahoma"/>
            <family val="2"/>
          </rPr>
          <t>Author:</t>
        </r>
        <r>
          <rPr>
            <sz val="9"/>
            <color indexed="81"/>
            <rFont val="Tahoma"/>
            <family val="2"/>
          </rPr>
          <t xml:space="preserve">
Current, long term cost of borrowing money. If you have a rating use it, if not use a synthetic rating.</t>
        </r>
      </text>
    </comment>
    <comment ref="A649" authorId="0" shapeId="0" xr:uid="{851E928E-9E01-0B40-94FD-861F69C174BE}">
      <text>
        <r>
          <rPr>
            <b/>
            <sz val="9"/>
            <color indexed="81"/>
            <rFont val="Geneva"/>
          </rPr>
          <t>Author:</t>
        </r>
        <r>
          <rPr>
            <sz val="9"/>
            <color indexed="81"/>
            <rFont val="Geneva"/>
          </rPr>
          <t xml:space="preserve">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t>
        </r>
      </text>
    </comment>
    <comment ref="A654" authorId="0" shapeId="0" xr:uid="{1FBFFDD2-DDF4-FA44-8C17-D6B71C904DC4}">
      <text>
        <r>
          <rPr>
            <b/>
            <sz val="9"/>
            <color indexed="81"/>
            <rFont val="Tahoma"/>
            <family val="2"/>
          </rPr>
          <t>Author:</t>
        </r>
        <r>
          <rPr>
            <sz val="9"/>
            <color indexed="81"/>
            <rFont val="Tahoma"/>
            <family val="2"/>
          </rPr>
          <t xml:space="preserve">
This is the interest-bearing debt reported on the balance sheet</t>
        </r>
      </text>
    </comment>
    <comment ref="A665" authorId="0" shapeId="0" xr:uid="{203B5892-663A-7243-B6B9-0578EA98709B}">
      <text>
        <r>
          <rPr>
            <b/>
            <sz val="9"/>
            <color indexed="81"/>
            <rFont val="Tahoma"/>
            <family val="2"/>
          </rPr>
          <t>Author:</t>
        </r>
        <r>
          <rPr>
            <sz val="9"/>
            <color indexed="81"/>
            <rFont val="Tahoma"/>
            <family val="2"/>
          </rPr>
          <t xml:space="preserve">
Current, long term cost of borrowing money. If you have a rating use it, if not use a synthetic rating.</t>
        </r>
      </text>
    </comment>
    <comment ref="A666" authorId="0" shapeId="0" xr:uid="{7894B770-CE4E-AD47-8F0A-7D90EE049C2D}">
      <text>
        <r>
          <rPr>
            <b/>
            <sz val="9"/>
            <color indexed="81"/>
            <rFont val="Tahoma"/>
            <family val="2"/>
          </rPr>
          <t>Author:</t>
        </r>
        <r>
          <rPr>
            <sz val="9"/>
            <color indexed="81"/>
            <rFont val="Tahoma"/>
            <family val="2"/>
          </rPr>
          <t xml:space="preserve">
Generally found in footnotes to financial statements.</t>
        </r>
      </text>
    </comment>
    <comment ref="A669" authorId="0" shapeId="0" xr:uid="{9328E591-846A-3A47-B2EE-218C4327B6E8}">
      <text>
        <r>
          <rPr>
            <b/>
            <sz val="9"/>
            <color indexed="81"/>
            <rFont val="Verdana"/>
            <family val="2"/>
          </rPr>
          <t>Author:</t>
        </r>
        <r>
          <rPr>
            <sz val="9"/>
            <color indexed="81"/>
            <rFont val="Verdana"/>
            <family val="2"/>
          </rPr>
          <t xml:space="preserve">
Enter the book value of interest bearing debt (short and long term) at your company from the most recent balance sheet. (Do not include accounts payable, supplier credit or other non-interest bearing liabilities.) </t>
        </r>
      </text>
    </comment>
    <comment ref="A675" authorId="0" shapeId="0" xr:uid="{4F8B1B5F-843A-7846-9FFB-9F4253065385}">
      <text>
        <r>
          <rPr>
            <b/>
            <sz val="9"/>
            <color indexed="81"/>
            <rFont val="Tahoma"/>
            <family val="2"/>
          </rPr>
          <t>Author:</t>
        </r>
        <r>
          <rPr>
            <sz val="9"/>
            <color indexed="81"/>
            <rFont val="Tahoma"/>
            <family val="2"/>
          </rPr>
          <t xml:space="preserve">
Estimated Value of straight bond portion</t>
        </r>
      </text>
    </comment>
    <comment ref="A676" authorId="0" shapeId="0" xr:uid="{B7B2B66C-C325-AE44-9318-87A6CAC95E3C}">
      <text>
        <r>
          <rPr>
            <b/>
            <sz val="9"/>
            <color indexed="81"/>
            <rFont val="Tahoma"/>
            <family val="2"/>
          </rPr>
          <t>Author:</t>
        </r>
        <r>
          <rPr>
            <sz val="9"/>
            <color indexed="81"/>
            <rFont val="Tahoma"/>
            <family val="2"/>
          </rPr>
          <t xml:space="preserve">
coupon rate on bond</t>
        </r>
      </text>
    </comment>
    <comment ref="A680" authorId="0" shapeId="0" xr:uid="{CFC8FCE4-3910-9A44-A9C0-3084EC97675D}">
      <text>
        <r>
          <rPr>
            <b/>
            <sz val="9"/>
            <color indexed="81"/>
            <rFont val="Geneva"/>
          </rPr>
          <t>Author:</t>
        </r>
        <r>
          <rPr>
            <sz val="9"/>
            <color indexed="81"/>
            <rFont val="Geneva"/>
          </rPr>
          <t xml:space="preserve">
Value of Conversion options</t>
        </r>
      </text>
    </comment>
    <comment ref="A687" authorId="0" shapeId="0" xr:uid="{DF303021-B768-E54C-B60A-E68039B11A3D}">
      <text>
        <r>
          <rPr>
            <b/>
            <sz val="9"/>
            <color indexed="81"/>
            <rFont val="Geneva"/>
          </rPr>
          <t>Author:</t>
        </r>
        <r>
          <rPr>
            <sz val="9"/>
            <color indexed="81"/>
            <rFont val="Geneva"/>
          </rPr>
          <t xml:space="preserve">
The weighted average maturity of your options should be reported in your financial statements.
Do you want to adjust the stated maturity for the fact that employee options are illiquid and get exercised early? If yes, enter the maturity you would like to use in the option pricing model</t>
        </r>
      </text>
    </comment>
    <comment ref="A688" authorId="0" shapeId="0" xr:uid="{09334449-C42D-EB48-999A-BA54F1DA31E4}">
      <text>
        <r>
          <rPr>
            <b/>
            <sz val="9"/>
            <color indexed="81"/>
            <rFont val="Geneva"/>
          </rPr>
          <t>Author:</t>
        </r>
        <r>
          <rPr>
            <sz val="9"/>
            <color indexed="81"/>
            <rFont val="Geneva"/>
          </rPr>
          <t xml:space="preserve">
Enter the weighted average strike price of your options. (Should be in your 10K or annual report.)</t>
        </r>
      </text>
    </comment>
    <comment ref="A691" authorId="0" shapeId="0" xr:uid="{62EB3E50-B71C-B24D-8FFB-8BA4EF27DC91}">
      <text>
        <r>
          <rPr>
            <b/>
            <sz val="9"/>
            <color indexed="81"/>
            <rFont val="Geneva"/>
          </rPr>
          <t>Author:</t>
        </r>
        <r>
          <rPr>
            <sz val="9"/>
            <color indexed="81"/>
            <rFont val="Geneva"/>
          </rPr>
          <t xml:space="preserve">
If you have a standard deviation for your stock, enter the annualized number. You can use either a historical estimate or an implied standard deviation. If not, use the industry average standard deviation from the table.</t>
        </r>
      </text>
    </comment>
    <comment ref="A692" authorId="0" shapeId="0" xr:uid="{C5FBD4E6-F451-C040-BA90-E43E114CB92A}">
      <text>
        <r>
          <rPr>
            <b/>
            <sz val="9"/>
            <color indexed="81"/>
            <rFont val="Geneva"/>
          </rPr>
          <t>Author:</t>
        </r>
        <r>
          <rPr>
            <sz val="9"/>
            <color indexed="81"/>
            <rFont val="Geneva"/>
          </rPr>
          <t xml:space="preserve">
Divide the dollar dividends (annual) by the stock price.</t>
        </r>
      </text>
    </comment>
    <comment ref="A693" authorId="0" shapeId="0" xr:uid="{C9C26BB5-7106-6945-814C-253C89574919}">
      <text>
        <r>
          <rPr>
            <b/>
            <sz val="9"/>
            <color indexed="81"/>
            <rFont val="Geneva"/>
          </rPr>
          <t>Author:</t>
        </r>
        <r>
          <rPr>
            <sz val="9"/>
            <color indexed="81"/>
            <rFont val="Geneva"/>
          </rPr>
          <t xml:space="preserve">
Enter the rate on a government bond with maturity closest to option expiration.</t>
        </r>
      </text>
    </comment>
    <comment ref="A695" authorId="0" shapeId="0" xr:uid="{242FC02F-046A-B049-918C-2BC529A3282C}">
      <text>
        <r>
          <rPr>
            <b/>
            <sz val="9"/>
            <color indexed="81"/>
            <rFont val="Verdana"/>
            <family val="2"/>
          </rPr>
          <t>Author:</t>
        </r>
        <r>
          <rPr>
            <sz val="9"/>
            <color indexed="81"/>
            <rFont val="Verdana"/>
            <family val="2"/>
          </rPr>
          <t xml:space="preserve">
Enter the book value of interest bearing debt (short and long term) at your company from the most recent balance sheet. (Do not include accounts payable, supplier credit or other non-interest bearing liabilities.) </t>
        </r>
      </text>
    </comment>
    <comment ref="A698" authorId="0" shapeId="0" xr:uid="{ACFE8AA7-63FE-D24C-9C8A-1214E15D666A}">
      <text>
        <r>
          <rPr>
            <b/>
            <sz val="9"/>
            <color indexed="81"/>
            <rFont val="Geneva"/>
          </rPr>
          <t>Author:</t>
        </r>
        <r>
          <rPr>
            <sz val="9"/>
            <color indexed="81"/>
            <rFont val="Geneva"/>
          </rPr>
          <t xml:space="preserve">
Enter the value of those non-cash assets whose earnings are (and will never) show up as part of operating income. 
The most common non-operating assets are minority holdings in other companies (which are not consoldiated). You can find the book value of these holdings on the balance sheet, but see if you can convert to market value. (I apply a price to book ratio, based on the sector that the company is in to the book value).</t>
        </r>
      </text>
    </comment>
    <comment ref="A705" authorId="0" shapeId="0" xr:uid="{AE10246D-7324-034A-9FF4-B999788268F4}">
      <text>
        <r>
          <rPr>
            <b/>
            <sz val="9"/>
            <color indexed="81"/>
            <rFont val="Tahoma"/>
            <family val="2"/>
          </rPr>
          <t>Author:</t>
        </r>
        <r>
          <rPr>
            <sz val="9"/>
            <color indexed="81"/>
            <rFont val="Tahoma"/>
            <family val="2"/>
          </rPr>
          <t xml:space="preserve">
 If you want to capitalize R&amp;D, you have to input the numbers into the R&amp;D worksheet. </t>
        </r>
      </text>
    </comment>
    <comment ref="A707" authorId="0" shapeId="0" xr:uid="{ECBFCE99-7FC0-F548-B161-EB3E88573C1D}">
      <text>
        <r>
          <rPr>
            <b/>
            <sz val="9"/>
            <color indexed="81"/>
            <rFont val="Tahoma"/>
            <family val="2"/>
          </rPr>
          <t>Author:</t>
        </r>
        <r>
          <rPr>
            <sz val="9"/>
            <color indexed="81"/>
            <rFont val="Tahoma"/>
            <family val="2"/>
          </rPr>
          <t xml:space="preserve">
By expensing R&amp;D rather than capitalizing it, the firm gets a tax benefit. This is the dollar value of that tax benefit.</t>
        </r>
      </text>
    </comment>
    <comment ref="A709" authorId="0" shapeId="0" xr:uid="{760F4C1C-3F67-AE47-A4B9-EB2D48E14EA8}">
      <text>
        <r>
          <rPr>
            <b/>
            <sz val="9"/>
            <color indexed="81"/>
            <rFont val="Tahoma"/>
            <family val="2"/>
          </rPr>
          <t>Author:</t>
        </r>
        <r>
          <rPr>
            <sz val="9"/>
            <color indexed="81"/>
            <rFont val="Tahoma"/>
            <family val="2"/>
          </rPr>
          <t xml:space="preserve">
A positive number indicates an increase in operating income (add to reported EBIT)</t>
        </r>
      </text>
    </comment>
    <comment ref="A714" authorId="0" shapeId="0" xr:uid="{464AC026-0023-D34B-BA3F-2F47C8911D32}">
      <text>
        <r>
          <rPr>
            <b/>
            <sz val="9"/>
            <color indexed="81"/>
            <rFont val="Geneva"/>
          </rPr>
          <t>Author:</t>
        </r>
        <r>
          <rPr>
            <sz val="9"/>
            <color indexed="81"/>
            <rFont val="Geneva"/>
          </rPr>
          <t xml:space="preserve">
Over how many years do you want to amortize R&amp;D expenses</t>
        </r>
      </text>
    </comment>
    <comment ref="A716" authorId="0" shapeId="0" xr:uid="{9C6C51EE-63CC-4642-8209-624D1D7A36B8}">
      <text>
        <r>
          <rPr>
            <b/>
            <sz val="9"/>
            <color indexed="81"/>
            <rFont val="Geneva"/>
          </rPr>
          <t>Author:</t>
        </r>
        <r>
          <rPr>
            <sz val="9"/>
            <color indexed="81"/>
            <rFont val="Geneva"/>
          </rPr>
          <t xml:space="preserve">
This section converts R&amp;D expenses from operating to capital expenses. It makes the appropriate adjustments to operating income, net income, the book value of assets and the book value of equity.</t>
        </r>
      </text>
    </comment>
    <comment ref="A729" authorId="0" shapeId="0" xr:uid="{6686E0F0-E86D-4F4C-9C1A-34D72BCFA193}">
      <text>
        <r>
          <rPr>
            <b/>
            <sz val="9"/>
            <color indexed="81"/>
            <rFont val="Geneva"/>
          </rPr>
          <t>Author:</t>
        </r>
        <r>
          <rPr>
            <sz val="9"/>
            <color indexed="81"/>
            <rFont val="Geneva"/>
          </rPr>
          <t xml:space="preserve">
Enter the value of those non-cash assets whose earnings are (and will never) show up as part of operating income. 
The most common non-operating assets are minority holdings in other companies (which are not consoldiated). You can find the book value of these holdings on the balance sheet, but see if you can convert to market value. (I apply a price to book ratio, based on the sector that the company is in to the book value).</t>
        </r>
      </text>
    </comment>
    <comment ref="A735" authorId="0" shapeId="0" xr:uid="{A3FBD9D8-837A-E248-8604-166A01AA4988}">
      <text>
        <r>
          <rPr>
            <b/>
            <sz val="9"/>
            <color indexed="81"/>
            <rFont val="Tahoma"/>
            <family val="2"/>
          </rPr>
          <t>Author:</t>
        </r>
        <r>
          <rPr>
            <sz val="9"/>
            <color indexed="81"/>
            <rFont val="Tahoma"/>
            <family val="2"/>
          </rPr>
          <t xml:space="preserve">
Enter the "market" value of minority interests.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r>
      </text>
    </comment>
    <comment ref="A771" authorId="0" shapeId="0" xr:uid="{048D90AE-1A8F-094A-8BCA-DA8AA7F48972}">
      <text>
        <r>
          <rPr>
            <b/>
            <sz val="9"/>
            <color indexed="81"/>
            <rFont val="Tahoma"/>
            <family val="2"/>
          </rPr>
          <t>Author:</t>
        </r>
        <r>
          <rPr>
            <sz val="9"/>
            <color indexed="81"/>
            <rFont val="Tahoma"/>
            <family val="2"/>
          </rPr>
          <t xml:space="preserve">
One time Effect</t>
        </r>
      </text>
    </comment>
    <comment ref="A774" authorId="0" shapeId="0" xr:uid="{5E65D96A-48FE-A24F-94A8-8DFFC2945330}">
      <text>
        <r>
          <rPr>
            <b/>
            <sz val="9"/>
            <color indexed="81"/>
            <rFont val="Tahoma"/>
            <family val="2"/>
          </rPr>
          <t>Author:</t>
        </r>
        <r>
          <rPr>
            <sz val="9"/>
            <color indexed="81"/>
            <rFont val="Tahoma"/>
            <family val="2"/>
          </rPr>
          <t xml:space="preserve">
Legal Jeopardy</t>
        </r>
      </text>
    </comment>
    <comment ref="A777" authorId="0" shapeId="0" xr:uid="{AD1F002B-0A47-0B4A-94E5-3A3015560763}">
      <text>
        <r>
          <rPr>
            <b/>
            <sz val="9"/>
            <color indexed="81"/>
            <rFont val="Tahoma"/>
            <family val="2"/>
          </rPr>
          <t>Author:</t>
        </r>
        <r>
          <rPr>
            <sz val="9"/>
            <color indexed="81"/>
            <rFont val="Tahoma"/>
            <family val="2"/>
          </rPr>
          <t xml:space="preserve">
Revenue Effect</t>
        </r>
      </text>
    </comment>
    <comment ref="A778" authorId="0" shapeId="0" xr:uid="{D52B6D97-C7D1-9044-8E7D-26CE2A75C7D2}">
      <text>
        <r>
          <rPr>
            <b/>
            <sz val="9"/>
            <color indexed="81"/>
            <rFont val="Tahoma"/>
            <family val="2"/>
          </rPr>
          <t>NICO:</t>
        </r>
        <r>
          <rPr>
            <sz val="9"/>
            <color indexed="81"/>
            <rFont val="Tahoma"/>
            <family val="2"/>
          </rPr>
          <t xml:space="preserve">
Lost Operating Income</t>
        </r>
      </text>
    </comment>
    <comment ref="A781" authorId="0" shapeId="0" xr:uid="{B1FB62A6-E3E4-5A40-A07D-1C7C835D0D35}">
      <text>
        <r>
          <rPr>
            <b/>
            <sz val="9"/>
            <color indexed="81"/>
            <rFont val="Tahoma"/>
            <family val="2"/>
          </rPr>
          <t>Author:</t>
        </r>
        <r>
          <rPr>
            <sz val="9"/>
            <color indexed="81"/>
            <rFont val="Tahoma"/>
            <family val="2"/>
          </rPr>
          <t xml:space="preserve">
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
Many young, growth companies fail, especially if they have trouble raising cash. Many distressed companies fail, because they have trouble making debt payments.</t>
        </r>
      </text>
    </comment>
    <comment ref="A782" authorId="0" shapeId="0" xr:uid="{5A5022CB-D985-FD43-A8F8-CD8A4CFD0211}">
      <text>
        <r>
          <rPr>
            <b/>
            <sz val="9"/>
            <color indexed="81"/>
            <rFont val="Tahoma"/>
            <family val="2"/>
          </rPr>
          <t>Author:</t>
        </r>
        <r>
          <rPr>
            <sz val="9"/>
            <color indexed="81"/>
            <rFont val="Tahoma"/>
            <family val="2"/>
          </rPr>
          <t xml:space="preserve">
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
Many young, growth companies fail, especially if they have trouble raising cash. Many distressed companies fail, because they have trouble making debt payments.</t>
        </r>
      </text>
    </comment>
    <comment ref="A783" authorId="0" shapeId="0" xr:uid="{D8FAE1C6-01CF-0C4E-8F6A-94934A1FB656}">
      <text>
        <r>
          <rPr>
            <sz val="9"/>
            <color indexed="81"/>
            <rFont val="Tahoma"/>
            <family val="2"/>
          </rPr>
          <t xml:space="preserve">
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
If you want to look at ways of estimating this probability, try these papers I have on the topic:
For young growth companies: http://papers.ssrn.com/sol3/papers.cfm?abstract_id=1418687  
For declining, distressed companies: http://papers.ssrn.com/sol3/papers.cfm?abstract_id=1428022 </t>
        </r>
      </text>
    </comment>
    <comment ref="A784" authorId="0" shapeId="0" xr:uid="{F107846F-ACFA-FA41-A7F6-1E8857387510}">
      <text>
        <r>
          <rPr>
            <sz val="9"/>
            <color indexed="81"/>
            <rFont val="Tahoma"/>
            <family val="2"/>
          </rPr>
          <t>You will generally not get 100% of fair value. How much less than 100% you get will depend on whether there are lots of potential buyers for your assets and how much of a hurry you are in to liquidate. It may well be zero for a young growth company with no tangible assets.
This can be zero, if the assets will be worth nothing if the firm fails.</t>
        </r>
      </text>
    </comment>
    <comment ref="A785" authorId="0" shapeId="0" xr:uid="{001F608D-C9CF-CD4D-B569-CDBBF9955795}">
      <text>
        <r>
          <rPr>
            <sz val="9"/>
            <color indexed="81"/>
            <rFont val="Tahoma"/>
            <family val="2"/>
          </rPr>
          <t>What do you want to tie your proceeds in failure to?
If the firm fail and has to liquidate its assets, you need to specify what the liquidation proceeds will be tied to. For young growth companies, it would tie it to value and with distressed firms (especially ones with significant assets in place), we would use book value.
Proceeds if firm fails:
* Book value of capital
1: Book Value of Capital
2: Invested Capital
3: Enterprise Value
4: Fair value of Operating Assets</t>
        </r>
      </text>
    </comment>
    <comment ref="A791" authorId="0" shapeId="0" xr:uid="{4E69E0E0-835A-4B41-83E5-31A2B34E1EC7}">
      <text>
        <r>
          <rPr>
            <sz val="9"/>
            <color indexed="81"/>
            <rFont val="Tahoma"/>
            <family val="2"/>
          </rPr>
          <t>Percentage of the proceeds that be withdrawn by owners. Assume that the proceeds of the IPO will be retained by the company (for use in future investments).</t>
        </r>
      </text>
    </comment>
    <comment ref="A792" authorId="0" shapeId="0" xr:uid="{D17C7853-2E1A-A244-9905-073FD52F58A1}">
      <text>
        <r>
          <rPr>
            <b/>
            <sz val="9"/>
            <color indexed="81"/>
            <rFont val="Geneva"/>
          </rPr>
          <t>Author:</t>
        </r>
        <r>
          <rPr>
            <sz val="9"/>
            <color indexed="81"/>
            <rFont val="Geneva"/>
          </rPr>
          <t xml:space="preserve">
Number of shares that will be sold on offering date. Most likely, not decided by company &amp; bankers yet. Update when offering details set. News reports could provide hints on what the company would like to raise (e.g., $1 billion) from offering.
</t>
        </r>
      </text>
    </comment>
    <comment ref="A797" authorId="0" shapeId="0" xr:uid="{2E82FB56-5C50-FC40-8636-41617A494644}">
      <text>
        <r>
          <rPr>
            <b/>
            <sz val="9"/>
            <color indexed="81"/>
            <rFont val="Tahoma"/>
            <family val="2"/>
          </rPr>
          <t>Author:</t>
        </r>
        <r>
          <rPr>
            <sz val="9"/>
            <color indexed="81"/>
            <rFont val="Tahoma"/>
            <family val="2"/>
          </rPr>
          <t xml:space="preserve">
Mature companies find it difficult to generate returns that exceed the cost of capital. The default assumption is that competitive advantages will fade to zero over time. While this is a good assumption for many firms (about 7 in 10), there are some firms with sustainable competitive advantages (brand name, for instance), where the excess returns may continue beyond year 10. If your firm is one of those, you can enter a return on capital higher than your cost of capital in the cell below. Just don't get carried away. At the maximum, the excess return should not exceed 5% for a mature firm.</t>
        </r>
      </text>
    </comment>
    <comment ref="A798" authorId="0" shapeId="0" xr:uid="{B0F42B7A-0785-114B-B436-CE4659118CD5}">
      <text>
        <r>
          <rPr>
            <b/>
            <sz val="9"/>
            <color indexed="81"/>
            <rFont val="Tahoma"/>
            <family val="2"/>
          </rPr>
          <t>Author:</t>
        </r>
        <r>
          <rPr>
            <sz val="9"/>
            <color indexed="81"/>
            <rFont val="Tahoma"/>
            <family val="2"/>
          </rPr>
          <t xml:space="preserve">
But there are significant exceptions among companies with long-lasting competitive advantages. Even if you believe your firm has significant competitive advantages, don't set this number to more than 5% more than your cost of capital. </t>
        </r>
      </text>
    </comment>
    <comment ref="A799" authorId="0" shapeId="0" xr:uid="{8F006393-CFA0-CD43-A55F-83264F1EB148}">
      <text>
        <r>
          <rPr>
            <b/>
            <sz val="9"/>
            <color indexed="81"/>
            <rFont val="Tahoma"/>
            <family val="2"/>
          </rPr>
          <t>Author:</t>
        </r>
        <r>
          <rPr>
            <sz val="9"/>
            <color indexed="81"/>
            <rFont val="Tahoma"/>
            <family val="2"/>
          </rPr>
          <t xml:space="preserve">
Mature companies tend to have costs of capital closer to the market average. While the riskfree rate + 4.5% is a close approximation of the average, you can use a slightly higher number (riskfree rate + 6%) for mature companies in riskier businesses and a slightly lower number (risfree rate + 4%) for safer companies.</t>
        </r>
      </text>
    </comment>
    <comment ref="A800" authorId="0" shapeId="0" xr:uid="{890BB176-578A-C041-A66D-50C189AB2C01}">
      <text>
        <r>
          <rPr>
            <b/>
            <sz val="9"/>
            <color indexed="81"/>
            <rFont val="Tahoma"/>
            <family val="2"/>
          </rPr>
          <t>Author:</t>
        </r>
        <r>
          <rPr>
            <sz val="9"/>
            <color indexed="81"/>
            <rFont val="Tahoma"/>
            <family val="2"/>
          </rPr>
          <t xml:space="preserve">
A default assumption in DCF valuation is that the company grows at the risk free rate, has a cost of capital Riskfree rate +4.5%, pays the marginal tax rate on earnings, and earns a ROC Cost of capital). I am not suggesting that you need to adopt all of these defaults, but if you do, your terminal value will look as follows.
Mature companies tend to have costs of capital closer to the market average. While the riskfree rate + 4.5% is a close approximation of the average, you can use a slightly higher number (riskfree rate + 6%) for mature companies in riskier businesses and a slightly lower number (risfree rate + 4%) for safer companies.</t>
        </r>
      </text>
    </comment>
    <comment ref="A801" authorId="0" shapeId="0" xr:uid="{F2195354-898F-8040-807F-3BC6AB4F2FBC}">
      <text>
        <r>
          <rPr>
            <b/>
            <sz val="9"/>
            <color indexed="81"/>
            <rFont val="Tahoma"/>
            <family val="2"/>
          </rPr>
          <t>Author:</t>
        </r>
        <r>
          <rPr>
            <sz val="9"/>
            <color indexed="81"/>
            <rFont val="Tahoma"/>
            <family val="2"/>
          </rPr>
          <t xml:space="preserve">
Though some sectors, even in stable growth, may have higher risk.</t>
        </r>
      </text>
    </comment>
    <comment ref="A803" authorId="0" shapeId="0" xr:uid="{64821FAA-341D-5B42-ABB8-1308AAE62FDC}">
      <text>
        <r>
          <rPr>
            <b/>
            <sz val="9"/>
            <color indexed="81"/>
            <rFont val="Tahoma"/>
            <family val="2"/>
          </rPr>
          <t>Author:</t>
        </r>
        <r>
          <rPr>
            <sz val="9"/>
            <color indexed="81"/>
            <rFont val="Tahoma"/>
            <family val="2"/>
          </rPr>
          <t xml:space="preserve">
If you override this assumption, I will leave the tax rate at your effective tax rate. 
Companies generally pay less than the marginal tax rate on their income. Some of that is due to tax deferral and others to quirks in the tax law. Over time, the conservative assumption is to require the tax rate to move towards the marginal tax rate. However, if you believe that your firm's tax benefits are permanent, you can override this assumption.
</t>
        </r>
      </text>
    </comment>
    <comment ref="A807" authorId="0" shapeId="0" xr:uid="{DBCC6DBB-6E8B-0248-AE98-329D35004931}">
      <text>
        <r>
          <rPr>
            <b/>
            <sz val="9"/>
            <color indexed="81"/>
            <rFont val="Tahoma"/>
            <family val="2"/>
          </rPr>
          <t>Author:</t>
        </r>
        <r>
          <rPr>
            <sz val="9"/>
            <color indexed="81"/>
            <rFont val="Tahoma"/>
            <family val="2"/>
          </rPr>
          <t xml:space="preserve">
Length of the period that you will be able to maintain high growth before becoming stable growth firm.</t>
        </r>
      </text>
    </comment>
    <comment ref="A808" authorId="0" shapeId="0" xr:uid="{8C9F9080-CE8B-B242-88E7-DB32ABFA1097}">
      <text>
        <r>
          <rPr>
            <b/>
            <sz val="9"/>
            <color indexed="81"/>
            <rFont val="Tahoma"/>
            <family val="2"/>
          </rPr>
          <t>Author:</t>
        </r>
        <r>
          <rPr>
            <sz val="9"/>
            <color indexed="81"/>
            <rFont val="Tahoma"/>
            <family val="2"/>
          </rPr>
          <t xml:space="preserve">
Enter the current cost of capital for your firm. If you don't know what it is, you can use the weighted avg. cost of capital section.</t>
        </r>
      </text>
    </comment>
    <comment ref="A809" authorId="0" shapeId="0" xr:uid="{3CF75A38-C049-0746-98AE-93A458E6C008}">
      <text>
        <r>
          <rPr>
            <b/>
            <sz val="9"/>
            <color indexed="81"/>
            <rFont val="Tahoma"/>
            <family val="2"/>
          </rPr>
          <t>Author:</t>
        </r>
        <r>
          <rPr>
            <sz val="9"/>
            <color indexed="81"/>
            <rFont val="Tahoma"/>
            <family val="2"/>
          </rPr>
          <t xml:space="preserve">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Look at the industry averages as well.</t>
        </r>
      </text>
    </comment>
    <comment ref="A810" authorId="0" shapeId="0" xr:uid="{6773CCE6-9009-E348-87EC-D2D58A4E52FE}">
      <text>
        <r>
          <rPr>
            <b/>
            <sz val="9"/>
            <color indexed="81"/>
            <rFont val="Tahoma"/>
            <family val="2"/>
          </rPr>
          <t>Author:</t>
        </r>
        <r>
          <rPr>
            <sz val="9"/>
            <color indexed="81"/>
            <rFont val="Tahoma"/>
            <family val="2"/>
          </rPr>
          <t xml:space="preserve">
You should start by looking at your company's current pre-tax operating margin  but also look at the average for your industry. (You can check estimates of industry averages)</t>
        </r>
      </text>
    </comment>
    <comment ref="A811" authorId="0" shapeId="0" xr:uid="{46F0356B-3DC3-1C44-A1B4-33F2F29EB446}">
      <text>
        <r>
          <rPr>
            <b/>
            <sz val="9"/>
            <color indexed="81"/>
            <rFont val="Tahoma"/>
            <family val="2"/>
          </rPr>
          <t>Author:</t>
        </r>
        <r>
          <rPr>
            <sz val="9"/>
            <color indexed="81"/>
            <rFont val="Tahoma"/>
            <family val="2"/>
          </rPr>
          <t xml:space="preserve">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r>
      </text>
    </comment>
    <comment ref="A814" authorId="0" shapeId="0" xr:uid="{441E2B4B-BB47-3043-8445-A48A1A6AB187}">
      <text>
        <r>
          <rPr>
            <b/>
            <sz val="9"/>
            <color indexed="81"/>
            <rFont val="Tahoma"/>
            <family val="2"/>
          </rPr>
          <t>Author:</t>
        </r>
        <r>
          <rPr>
            <sz val="9"/>
            <color indexed="81"/>
            <rFont val="Tahoma"/>
            <family val="2"/>
          </rPr>
          <t xml:space="preserve">
If you are using trailing 12-month data, it is best if the last year is the 12-month period just prior to the one that you are using. Thus, if you are looking at June 2011-June 2012, your trailing 12 month for the income statement numbers will be June 2010-June 2011 and your balance sheet numbers should be as of June 2011.</t>
        </r>
      </text>
    </comment>
    <comment ref="B815" authorId="0" shapeId="0" xr:uid="{4C9F017D-7196-6245-802F-C8D0B6079324}">
      <text>
        <r>
          <rPr>
            <b/>
            <sz val="9"/>
            <color indexed="81"/>
            <rFont val="Tahoma"/>
            <family val="2"/>
          </rPr>
          <t>Author:</t>
        </r>
        <r>
          <rPr>
            <sz val="9"/>
            <color indexed="81"/>
            <rFont val="Tahoma"/>
            <family val="2"/>
          </rPr>
          <t xml:space="preserve">
assume reinvestment rate t1</t>
        </r>
      </text>
    </comment>
    <comment ref="C815" authorId="0" shapeId="0" xr:uid="{9C92217E-6128-1042-816B-599DD0B23B82}">
      <text>
        <r>
          <rPr>
            <b/>
            <sz val="9"/>
            <color indexed="81"/>
            <rFont val="Tahoma"/>
            <family val="2"/>
          </rPr>
          <t>Author:</t>
        </r>
        <r>
          <rPr>
            <sz val="9"/>
            <color indexed="81"/>
            <rFont val="Tahoma"/>
            <family val="2"/>
          </rPr>
          <t xml:space="preserve">
assume reinvestment rate t1</t>
        </r>
      </text>
    </comment>
    <comment ref="D815" authorId="0" shapeId="0" xr:uid="{95BA9C68-11EF-2F4E-9802-103A5D3BDDCA}">
      <text>
        <r>
          <rPr>
            <b/>
            <sz val="9"/>
            <color indexed="81"/>
            <rFont val="Tahoma"/>
            <family val="2"/>
          </rPr>
          <t>Author:</t>
        </r>
        <r>
          <rPr>
            <sz val="9"/>
            <color indexed="81"/>
            <rFont val="Tahoma"/>
            <family val="2"/>
          </rPr>
          <t xml:space="preserve">
assume reinvestment rate t1</t>
        </r>
      </text>
    </comment>
    <comment ref="E815" authorId="0" shapeId="0" xr:uid="{7FC6628C-B4E1-C546-9F61-5CA0B8433F34}">
      <text>
        <r>
          <rPr>
            <b/>
            <sz val="9"/>
            <color indexed="81"/>
            <rFont val="Tahoma"/>
            <family val="2"/>
          </rPr>
          <t>Author:</t>
        </r>
        <r>
          <rPr>
            <sz val="9"/>
            <color indexed="81"/>
            <rFont val="Tahoma"/>
            <family val="2"/>
          </rPr>
          <t xml:space="preserve">
assume reinvestment rate t1</t>
        </r>
      </text>
    </comment>
    <comment ref="F815" authorId="0" shapeId="0" xr:uid="{1CA668C1-0E84-5D44-9905-638AAA25E692}">
      <text>
        <r>
          <rPr>
            <b/>
            <sz val="9"/>
            <color indexed="81"/>
            <rFont val="Tahoma"/>
            <family val="2"/>
          </rPr>
          <t>Author:</t>
        </r>
        <r>
          <rPr>
            <sz val="9"/>
            <color indexed="81"/>
            <rFont val="Tahoma"/>
            <family val="2"/>
          </rPr>
          <t xml:space="preserve">
assume reinvestment rate t1</t>
        </r>
      </text>
    </comment>
    <comment ref="G815" authorId="0" shapeId="0" xr:uid="{1B1EB9DE-31FE-B048-8547-066D118D3382}">
      <text>
        <r>
          <rPr>
            <b/>
            <sz val="9"/>
            <color indexed="81"/>
            <rFont val="Tahoma"/>
            <family val="2"/>
          </rPr>
          <t>Author:</t>
        </r>
        <r>
          <rPr>
            <sz val="9"/>
            <color indexed="81"/>
            <rFont val="Tahoma"/>
            <family val="2"/>
          </rPr>
          <t xml:space="preserve">
assume reinvestment rate t1</t>
        </r>
      </text>
    </comment>
    <comment ref="H815" authorId="0" shapeId="0" xr:uid="{0DCC2369-F4E8-8C42-8E9F-7F3292424E79}">
      <text>
        <r>
          <rPr>
            <b/>
            <sz val="9"/>
            <color indexed="81"/>
            <rFont val="Tahoma"/>
            <family val="2"/>
          </rPr>
          <t>Author:</t>
        </r>
        <r>
          <rPr>
            <sz val="9"/>
            <color indexed="81"/>
            <rFont val="Tahoma"/>
            <family val="2"/>
          </rPr>
          <t xml:space="preserve">
assume reinvestment rate t1</t>
        </r>
      </text>
    </comment>
    <comment ref="I815" authorId="0" shapeId="0" xr:uid="{2A28E233-A536-D843-BED8-7FB9B223B3AD}">
      <text>
        <r>
          <rPr>
            <b/>
            <sz val="9"/>
            <color indexed="81"/>
            <rFont val="Tahoma"/>
            <family val="2"/>
          </rPr>
          <t>Author:</t>
        </r>
        <r>
          <rPr>
            <sz val="9"/>
            <color indexed="81"/>
            <rFont val="Tahoma"/>
            <family val="2"/>
          </rPr>
          <t xml:space="preserve">
assume reinvestment rate t1</t>
        </r>
      </text>
    </comment>
    <comment ref="A816" authorId="0" shapeId="0" xr:uid="{FFEE8124-5C5D-1D4E-B010-CD01ED3416A0}">
      <text>
        <r>
          <rPr>
            <b/>
            <sz val="9"/>
            <color indexed="81"/>
            <rFont val="Tahoma"/>
            <family val="2"/>
          </rPr>
          <t>Author:</t>
        </r>
        <r>
          <rPr>
            <sz val="9"/>
            <color indexed="81"/>
            <rFont val="Tahoma"/>
            <family val="2"/>
          </rPr>
          <t xml:space="preserve">
This is the NOL from prior years carried forward into year 1.
If your company has been losing money for a while, there will be accumulated losses from prior periods. Check your financial statements.
An NOL will shield your income from taxes, even after you start making money. 
If equals to zero then I will assume that you have no losses carried forward from prior years ( NOL) coming into the valuation. If you have a money losing company, you may want to override tis.</t>
        </r>
      </text>
    </comment>
    <comment ref="A817" authorId="0" shapeId="0" xr:uid="{2914C991-D038-6B4F-87E7-A3F9438D21C5}">
      <text>
        <r>
          <rPr>
            <b/>
            <sz val="9"/>
            <color indexed="81"/>
            <rFont val="Tahoma"/>
            <family val="2"/>
          </rPr>
          <t>Author:</t>
        </r>
        <r>
          <rPr>
            <sz val="9"/>
            <color indexed="81"/>
            <rFont val="Tahoma"/>
            <family val="2"/>
          </rPr>
          <t xml:space="preserve">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t>
        </r>
      </text>
    </comment>
    <comment ref="A818" authorId="0" shapeId="0" xr:uid="{60A9AEDC-8994-DB45-9AC1-1E3BB8192C74}">
      <text>
        <r>
          <rPr>
            <b/>
            <sz val="9"/>
            <color indexed="81"/>
            <rFont val="Tahoma"/>
            <family val="2"/>
          </rPr>
          <t>Author:</t>
        </r>
        <r>
          <rPr>
            <sz val="9"/>
            <color indexed="81"/>
            <rFont val="Tahoma"/>
            <family val="2"/>
          </rPr>
          <t xml:space="preserve">
This is a statutory tax rate. I use the tax rate of the country the company is domiciled in. </t>
        </r>
      </text>
    </comment>
    <comment ref="A819" authorId="0" shapeId="0" xr:uid="{C0585CE8-495C-3E4D-8E74-317F250CBAE1}">
      <text>
        <r>
          <rPr>
            <b/>
            <sz val="9"/>
            <color indexed="81"/>
            <rFont val="Tahoma"/>
            <family val="2"/>
          </rPr>
          <t>Author:</t>
        </r>
        <r>
          <rPr>
            <sz val="9"/>
            <color indexed="81"/>
            <rFont val="Tahoma"/>
            <family val="2"/>
          </rPr>
          <t xml:space="preserve">
Enter the operating income or EBIT from the most recent time period, even if that number is negative. If you have operating leases, enter the adjusted operating income (see the operating lease worksheet for the amount you have to adjust operating income by).
Don't adjust operating income for leases or R&amp;D, if you plan to use the option to do so. (see below)</t>
        </r>
      </text>
    </comment>
    <comment ref="A820" authorId="0" shapeId="0" xr:uid="{EA65DF4A-391B-B04B-A229-F5800CD31266}">
      <text>
        <r>
          <rPr>
            <b/>
            <sz val="9"/>
            <color indexed="81"/>
            <rFont val="Tahoma"/>
            <family val="2"/>
          </rPr>
          <t>Author:</t>
        </r>
        <r>
          <rPr>
            <sz val="9"/>
            <color indexed="81"/>
            <rFont val="Tahoma"/>
            <family val="2"/>
          </rPr>
          <t xml:space="preserve">
Enter the revenues from the most recent period (you can either use annual or the trailing 12 months). If your company had no revenues, enter a very small positive number. (You need a base for your growth rate)</t>
        </r>
      </text>
    </comment>
    <comment ref="A823" authorId="0" shapeId="0" xr:uid="{769220FA-8918-CB48-9632-8CE6CA31315E}">
      <text>
        <r>
          <rPr>
            <b/>
            <sz val="9"/>
            <color indexed="81"/>
            <rFont val="Tahoma"/>
            <family val="2"/>
          </rPr>
          <t>Author:</t>
        </r>
        <r>
          <rPr>
            <sz val="9"/>
            <color indexed="81"/>
            <rFont val="Tahoma"/>
            <family val="2"/>
          </rPr>
          <t xml:space="preserve">
If equal to zero then I assume that none of the cash is trapped (in foreign countries) and that there is no additional tax liability coming due</t>
        </r>
      </text>
    </comment>
    <comment ref="A824" authorId="0" shapeId="0" xr:uid="{48784107-821E-A64B-BFC0-AA3837517456}">
      <text>
        <r>
          <rPr>
            <b/>
            <sz val="9"/>
            <color indexed="81"/>
            <rFont val="Tahoma"/>
            <family val="2"/>
          </rPr>
          <t>Author:</t>
        </r>
        <r>
          <rPr>
            <sz val="9"/>
            <color indexed="81"/>
            <rFont val="Tahoma"/>
            <family val="2"/>
          </rPr>
          <t xml:space="preserve">
where the cash is trapped</t>
        </r>
      </text>
    </comment>
    <comment ref="A828" authorId="0" shapeId="0" xr:uid="{9C5E4A56-5A4C-954E-8711-5A49689B7FAC}">
      <text>
        <r>
          <rPr>
            <b/>
            <sz val="9"/>
            <color indexed="81"/>
            <rFont val="Geneva"/>
          </rPr>
          <t>Author:</t>
        </r>
        <r>
          <rPr>
            <sz val="9"/>
            <color indexed="81"/>
            <rFont val="Geneva"/>
          </rPr>
          <t xml:space="preserve">
Use a sector average unlevered beta (adjusted for cash) if need be. If you are in multiple businesses, you can construct your own weighted averages using the industry average table from this spreadsheet and your company's business breakdown.</t>
        </r>
      </text>
    </comment>
    <comment ref="A829" authorId="0" shapeId="0" xr:uid="{8C666407-B055-2749-8C63-709772358817}">
      <text>
        <r>
          <rPr>
            <b/>
            <sz val="9"/>
            <color indexed="81"/>
            <rFont val="Geneva"/>
          </rPr>
          <t>Author:</t>
        </r>
        <r>
          <rPr>
            <sz val="9"/>
            <color indexed="81"/>
            <rFont val="Geneva"/>
          </rPr>
          <t xml:space="preserve">
You can use either the historical premium or the implied premium  or an augmented premium for country risk.
If the company has risk exposure in emergiing markets, incorporate that risk premiums here</t>
        </r>
      </text>
    </comment>
    <comment ref="B832" authorId="0" shapeId="0" xr:uid="{AE6262F4-52C6-4E49-8A27-75799CEF2F78}">
      <text>
        <r>
          <rPr>
            <b/>
            <sz val="9"/>
            <color indexed="81"/>
            <rFont val="Tahoma"/>
            <family val="2"/>
          </rPr>
          <t>Author:</t>
        </r>
        <r>
          <rPr>
            <sz val="9"/>
            <color indexed="81"/>
            <rFont val="Tahoma"/>
            <family val="2"/>
          </rPr>
          <t xml:space="preserve">
Computers/Peripherals</t>
        </r>
      </text>
    </comment>
    <comment ref="C832" authorId="0" shapeId="0" xr:uid="{FF5B7AAB-23AB-1146-B857-27EFDF5DE588}">
      <text>
        <r>
          <rPr>
            <b/>
            <sz val="9"/>
            <color indexed="81"/>
            <rFont val="Tahoma"/>
            <family val="2"/>
          </rPr>
          <t>Author:</t>
        </r>
        <r>
          <rPr>
            <sz val="9"/>
            <color indexed="81"/>
            <rFont val="Tahoma"/>
            <family val="2"/>
          </rPr>
          <t xml:space="preserve">
Computers/Peripherals</t>
        </r>
      </text>
    </comment>
    <comment ref="D832" authorId="0" shapeId="0" xr:uid="{5A63A833-B7FD-7141-BC05-BF7AADD07DEB}">
      <text>
        <r>
          <rPr>
            <b/>
            <sz val="9"/>
            <color indexed="81"/>
            <rFont val="Tahoma"/>
            <family val="2"/>
          </rPr>
          <t>Author:</t>
        </r>
        <r>
          <rPr>
            <sz val="9"/>
            <color indexed="81"/>
            <rFont val="Tahoma"/>
            <family val="2"/>
          </rPr>
          <t xml:space="preserve">
Computers/Peripherals</t>
        </r>
      </text>
    </comment>
    <comment ref="E832" authorId="0" shapeId="0" xr:uid="{1763E3E6-E0C8-4147-B99B-BEA740D4C739}">
      <text>
        <r>
          <rPr>
            <b/>
            <sz val="9"/>
            <color indexed="81"/>
            <rFont val="Tahoma"/>
            <family val="2"/>
          </rPr>
          <t>Author:</t>
        </r>
        <r>
          <rPr>
            <sz val="9"/>
            <color indexed="81"/>
            <rFont val="Tahoma"/>
            <family val="2"/>
          </rPr>
          <t xml:space="preserve">
Computers/Peripherals</t>
        </r>
      </text>
    </comment>
    <comment ref="F832" authorId="0" shapeId="0" xr:uid="{D17DD584-FBD5-1548-9FEF-91D5BC875827}">
      <text>
        <r>
          <rPr>
            <b/>
            <sz val="9"/>
            <color indexed="81"/>
            <rFont val="Tahoma"/>
            <family val="2"/>
          </rPr>
          <t>Author:</t>
        </r>
        <r>
          <rPr>
            <sz val="9"/>
            <color indexed="81"/>
            <rFont val="Tahoma"/>
            <family val="2"/>
          </rPr>
          <t xml:space="preserve">
Computers/Peripherals</t>
        </r>
      </text>
    </comment>
    <comment ref="G832" authorId="0" shapeId="0" xr:uid="{94609648-77FA-F341-ADB7-527687CD537F}">
      <text>
        <r>
          <rPr>
            <b/>
            <sz val="9"/>
            <color indexed="81"/>
            <rFont val="Tahoma"/>
            <family val="2"/>
          </rPr>
          <t>Author:</t>
        </r>
        <r>
          <rPr>
            <sz val="9"/>
            <color indexed="81"/>
            <rFont val="Tahoma"/>
            <family val="2"/>
          </rPr>
          <t xml:space="preserve">
Computers/Peripherals</t>
        </r>
      </text>
    </comment>
    <comment ref="H832" authorId="0" shapeId="0" xr:uid="{D0197CEE-25E1-584B-91D6-85E4F4F6CA57}">
      <text>
        <r>
          <rPr>
            <b/>
            <sz val="9"/>
            <color indexed="81"/>
            <rFont val="Tahoma"/>
            <family val="2"/>
          </rPr>
          <t>Author:</t>
        </r>
        <r>
          <rPr>
            <sz val="9"/>
            <color indexed="81"/>
            <rFont val="Tahoma"/>
            <family val="2"/>
          </rPr>
          <t xml:space="preserve">
Computers/Peripherals</t>
        </r>
      </text>
    </comment>
    <comment ref="I832" authorId="0" shapeId="0" xr:uid="{9A233490-C27C-F04E-A0ED-BDFAD0593DB7}">
      <text>
        <r>
          <rPr>
            <b/>
            <sz val="9"/>
            <color indexed="81"/>
            <rFont val="Tahoma"/>
            <family val="2"/>
          </rPr>
          <t>Author:</t>
        </r>
        <r>
          <rPr>
            <sz val="9"/>
            <color indexed="81"/>
            <rFont val="Tahoma"/>
            <family val="2"/>
          </rPr>
          <t xml:space="preserve">
Computers/Peripherals</t>
        </r>
      </text>
    </comment>
    <comment ref="B833" authorId="0" shapeId="0" xr:uid="{E4FF5516-D05D-3B4C-8A3E-A74399C76034}">
      <text>
        <r>
          <rPr>
            <b/>
            <sz val="9"/>
            <color indexed="81"/>
            <rFont val="Tahoma"/>
            <family val="2"/>
          </rPr>
          <t>Author:</t>
        </r>
        <r>
          <rPr>
            <sz val="9"/>
            <color indexed="81"/>
            <rFont val="Tahoma"/>
            <family val="2"/>
          </rPr>
          <t xml:space="preserve">
Electronics (General)</t>
        </r>
      </text>
    </comment>
    <comment ref="C833" authorId="0" shapeId="0" xr:uid="{2F398DEE-A409-0A46-AC95-1202180FDF76}">
      <text>
        <r>
          <rPr>
            <b/>
            <sz val="9"/>
            <color indexed="81"/>
            <rFont val="Tahoma"/>
            <family val="2"/>
          </rPr>
          <t>Author:</t>
        </r>
        <r>
          <rPr>
            <sz val="9"/>
            <color indexed="81"/>
            <rFont val="Tahoma"/>
            <family val="2"/>
          </rPr>
          <t xml:space="preserve">
Electronics (General)</t>
        </r>
      </text>
    </comment>
    <comment ref="D833" authorId="0" shapeId="0" xr:uid="{11CE7ED3-148A-8241-9294-110AE10E957A}">
      <text>
        <r>
          <rPr>
            <b/>
            <sz val="9"/>
            <color indexed="81"/>
            <rFont val="Tahoma"/>
            <family val="2"/>
          </rPr>
          <t>Author:</t>
        </r>
        <r>
          <rPr>
            <sz val="9"/>
            <color indexed="81"/>
            <rFont val="Tahoma"/>
            <family val="2"/>
          </rPr>
          <t xml:space="preserve">
Electronics (General)</t>
        </r>
      </text>
    </comment>
    <comment ref="E833" authorId="0" shapeId="0" xr:uid="{5BD6847A-1F94-6841-A78C-303EE4042E2B}">
      <text>
        <r>
          <rPr>
            <b/>
            <sz val="9"/>
            <color indexed="81"/>
            <rFont val="Tahoma"/>
            <family val="2"/>
          </rPr>
          <t>Author:</t>
        </r>
        <r>
          <rPr>
            <sz val="9"/>
            <color indexed="81"/>
            <rFont val="Tahoma"/>
            <family val="2"/>
          </rPr>
          <t xml:space="preserve">
Electronics (General)</t>
        </r>
      </text>
    </comment>
    <comment ref="F833" authorId="0" shapeId="0" xr:uid="{1EE20489-D9F8-0345-9514-7C5AE4985FF4}">
      <text>
        <r>
          <rPr>
            <b/>
            <sz val="9"/>
            <color indexed="81"/>
            <rFont val="Tahoma"/>
            <family val="2"/>
          </rPr>
          <t>Author:</t>
        </r>
        <r>
          <rPr>
            <sz val="9"/>
            <color indexed="81"/>
            <rFont val="Tahoma"/>
            <family val="2"/>
          </rPr>
          <t xml:space="preserve">
Electronics (General)</t>
        </r>
      </text>
    </comment>
    <comment ref="G833" authorId="0" shapeId="0" xr:uid="{38A67C84-2AE1-6D46-9D70-7520CE053ACE}">
      <text>
        <r>
          <rPr>
            <b/>
            <sz val="9"/>
            <color indexed="81"/>
            <rFont val="Tahoma"/>
            <family val="2"/>
          </rPr>
          <t>Author:</t>
        </r>
        <r>
          <rPr>
            <sz val="9"/>
            <color indexed="81"/>
            <rFont val="Tahoma"/>
            <family val="2"/>
          </rPr>
          <t xml:space="preserve">
Electronics (General)</t>
        </r>
      </text>
    </comment>
    <comment ref="H833" authorId="0" shapeId="0" xr:uid="{077D58D7-7B1A-E040-9BB8-B7AA2724C9BD}">
      <text>
        <r>
          <rPr>
            <b/>
            <sz val="9"/>
            <color indexed="81"/>
            <rFont val="Tahoma"/>
            <family val="2"/>
          </rPr>
          <t>Author:</t>
        </r>
        <r>
          <rPr>
            <sz val="9"/>
            <color indexed="81"/>
            <rFont val="Tahoma"/>
            <family val="2"/>
          </rPr>
          <t xml:space="preserve">
Electronics (General)</t>
        </r>
      </text>
    </comment>
    <comment ref="I833" authorId="0" shapeId="0" xr:uid="{B8271A0E-F85F-224B-B266-4E6B51B03D7B}">
      <text>
        <r>
          <rPr>
            <b/>
            <sz val="9"/>
            <color indexed="81"/>
            <rFont val="Tahoma"/>
            <family val="2"/>
          </rPr>
          <t>Author:</t>
        </r>
        <r>
          <rPr>
            <sz val="9"/>
            <color indexed="81"/>
            <rFont val="Tahoma"/>
            <family val="2"/>
          </rPr>
          <t xml:space="preserve">
Electronics (General)</t>
        </r>
      </text>
    </comment>
    <comment ref="B834" authorId="0" shapeId="0" xr:uid="{E8B7AEC4-B903-2F4C-9F4B-058BDE617DAA}">
      <text>
        <r>
          <rPr>
            <b/>
            <sz val="9"/>
            <color indexed="81"/>
            <rFont val="Tahoma"/>
            <family val="2"/>
          </rPr>
          <t>Author:</t>
        </r>
        <r>
          <rPr>
            <sz val="9"/>
            <color indexed="81"/>
            <rFont val="Tahoma"/>
            <family val="2"/>
          </rPr>
          <t xml:space="preserve">
Retail (Special Lines)</t>
        </r>
      </text>
    </comment>
    <comment ref="C834" authorId="0" shapeId="0" xr:uid="{DD5C8BA3-8CED-574E-A84F-4060985AA6B8}">
      <text>
        <r>
          <rPr>
            <b/>
            <sz val="9"/>
            <color indexed="81"/>
            <rFont val="Tahoma"/>
            <family val="2"/>
          </rPr>
          <t>Author:</t>
        </r>
        <r>
          <rPr>
            <sz val="9"/>
            <color indexed="81"/>
            <rFont val="Tahoma"/>
            <family val="2"/>
          </rPr>
          <t xml:space="preserve">
Retail (Special Lines)</t>
        </r>
      </text>
    </comment>
    <comment ref="D834" authorId="0" shapeId="0" xr:uid="{C9A1D252-14E5-D84F-96FC-5F728E4F70BF}">
      <text>
        <r>
          <rPr>
            <b/>
            <sz val="9"/>
            <color indexed="81"/>
            <rFont val="Tahoma"/>
            <family val="2"/>
          </rPr>
          <t>Author:</t>
        </r>
        <r>
          <rPr>
            <sz val="9"/>
            <color indexed="81"/>
            <rFont val="Tahoma"/>
            <family val="2"/>
          </rPr>
          <t xml:space="preserve">
Retail (Special Lines)</t>
        </r>
      </text>
    </comment>
    <comment ref="E834" authorId="0" shapeId="0" xr:uid="{30B80D4B-F233-7A49-8C96-95AD3C27981D}">
      <text>
        <r>
          <rPr>
            <b/>
            <sz val="9"/>
            <color indexed="81"/>
            <rFont val="Tahoma"/>
            <family val="2"/>
          </rPr>
          <t>Author:</t>
        </r>
        <r>
          <rPr>
            <sz val="9"/>
            <color indexed="81"/>
            <rFont val="Tahoma"/>
            <family val="2"/>
          </rPr>
          <t xml:space="preserve">
Retail (Special Lines)</t>
        </r>
      </text>
    </comment>
    <comment ref="F834" authorId="0" shapeId="0" xr:uid="{49C1EE6C-01F7-0C45-88EB-DCC594105B0A}">
      <text>
        <r>
          <rPr>
            <b/>
            <sz val="9"/>
            <color indexed="81"/>
            <rFont val="Tahoma"/>
            <family val="2"/>
          </rPr>
          <t>Author:</t>
        </r>
        <r>
          <rPr>
            <sz val="9"/>
            <color indexed="81"/>
            <rFont val="Tahoma"/>
            <family val="2"/>
          </rPr>
          <t xml:space="preserve">
Retail (Special Lines)</t>
        </r>
      </text>
    </comment>
    <comment ref="G834" authorId="0" shapeId="0" xr:uid="{0BB49AD9-F5B1-7F41-B33A-8B4E5CBFF784}">
      <text>
        <r>
          <rPr>
            <b/>
            <sz val="9"/>
            <color indexed="81"/>
            <rFont val="Tahoma"/>
            <family val="2"/>
          </rPr>
          <t>Author:</t>
        </r>
        <r>
          <rPr>
            <sz val="9"/>
            <color indexed="81"/>
            <rFont val="Tahoma"/>
            <family val="2"/>
          </rPr>
          <t xml:space="preserve">
Retail (Special Lines)</t>
        </r>
      </text>
    </comment>
    <comment ref="H834" authorId="0" shapeId="0" xr:uid="{07B07826-D1B4-5442-8DE6-9B29C0B4C1DC}">
      <text>
        <r>
          <rPr>
            <b/>
            <sz val="9"/>
            <color indexed="81"/>
            <rFont val="Tahoma"/>
            <family val="2"/>
          </rPr>
          <t>Author:</t>
        </r>
        <r>
          <rPr>
            <sz val="9"/>
            <color indexed="81"/>
            <rFont val="Tahoma"/>
            <family val="2"/>
          </rPr>
          <t xml:space="preserve">
Retail (Special Lines)</t>
        </r>
      </text>
    </comment>
    <comment ref="I834" authorId="0" shapeId="0" xr:uid="{77DA3050-5CA5-1248-B872-38E17EED2959}">
      <text>
        <r>
          <rPr>
            <b/>
            <sz val="9"/>
            <color indexed="81"/>
            <rFont val="Tahoma"/>
            <family val="2"/>
          </rPr>
          <t>Author:</t>
        </r>
        <r>
          <rPr>
            <sz val="9"/>
            <color indexed="81"/>
            <rFont val="Tahoma"/>
            <family val="2"/>
          </rPr>
          <t xml:space="preserve">
Retail (Special Lines)</t>
        </r>
      </text>
    </comment>
    <comment ref="B844" authorId="0" shapeId="0" xr:uid="{A9B5992F-191D-3049-BB14-9BB91C326EB7}">
      <text>
        <r>
          <rPr>
            <b/>
            <sz val="9"/>
            <color indexed="81"/>
            <rFont val="Tahoma"/>
            <family val="2"/>
          </rPr>
          <t>Author:</t>
        </r>
        <r>
          <rPr>
            <sz val="9"/>
            <color indexed="81"/>
            <rFont val="Tahoma"/>
            <family val="2"/>
          </rPr>
          <t xml:space="preserve">
Advertising
</t>
        </r>
      </text>
    </comment>
    <comment ref="C844" authorId="0" shapeId="0" xr:uid="{C982A215-2892-6748-85F8-3B521B2AAD8A}">
      <text>
        <r>
          <rPr>
            <b/>
            <sz val="9"/>
            <color indexed="81"/>
            <rFont val="Tahoma"/>
            <family val="2"/>
          </rPr>
          <t>Author:</t>
        </r>
        <r>
          <rPr>
            <sz val="9"/>
            <color indexed="81"/>
            <rFont val="Tahoma"/>
            <family val="2"/>
          </rPr>
          <t xml:space="preserve">
Computers/Peripherals</t>
        </r>
      </text>
    </comment>
    <comment ref="D844" authorId="0" shapeId="0" xr:uid="{B6E366FB-9415-D740-A790-56EDBE8A7AA9}">
      <text>
        <r>
          <rPr>
            <b/>
            <sz val="9"/>
            <color indexed="81"/>
            <rFont val="Tahoma"/>
            <family val="2"/>
          </rPr>
          <t>Author:</t>
        </r>
        <r>
          <rPr>
            <sz val="9"/>
            <color indexed="81"/>
            <rFont val="Tahoma"/>
            <family val="2"/>
          </rPr>
          <t xml:space="preserve">
Retail
</t>
        </r>
      </text>
    </comment>
    <comment ref="E844" authorId="0" shapeId="0" xr:uid="{43C25399-C671-DF48-9A9D-42754BD30A4A}">
      <text>
        <r>
          <rPr>
            <b/>
            <sz val="9"/>
            <color indexed="81"/>
            <rFont val="Tahoma"/>
            <family val="2"/>
          </rPr>
          <t>Author:</t>
        </r>
        <r>
          <rPr>
            <sz val="9"/>
            <color indexed="81"/>
            <rFont val="Tahoma"/>
            <family val="2"/>
          </rPr>
          <t xml:space="preserve">
Computers/Peripherals</t>
        </r>
      </text>
    </comment>
    <comment ref="F844" authorId="0" shapeId="0" xr:uid="{B17589DF-B89E-EC4C-9D0B-D6D5A2402C71}">
      <text>
        <r>
          <rPr>
            <b/>
            <sz val="9"/>
            <color indexed="81"/>
            <rFont val="Tahoma"/>
            <family val="2"/>
          </rPr>
          <t>Author:</t>
        </r>
        <r>
          <rPr>
            <sz val="9"/>
            <color indexed="81"/>
            <rFont val="Tahoma"/>
            <family val="2"/>
          </rPr>
          <t xml:space="preserve">
Computers/Peripherals</t>
        </r>
      </text>
    </comment>
    <comment ref="G844" authorId="0" shapeId="0" xr:uid="{DB7E3491-0156-824C-8818-486EDEC8195A}">
      <text>
        <r>
          <rPr>
            <b/>
            <sz val="9"/>
            <color indexed="81"/>
            <rFont val="Tahoma"/>
            <family val="2"/>
          </rPr>
          <t>Author:</t>
        </r>
        <r>
          <rPr>
            <sz val="9"/>
            <color indexed="81"/>
            <rFont val="Tahoma"/>
            <family val="2"/>
          </rPr>
          <t xml:space="preserve">
Computers/Peripherals</t>
        </r>
      </text>
    </comment>
    <comment ref="H844" authorId="0" shapeId="0" xr:uid="{E4E7F9B6-FAA6-BD43-8E6C-7BC01753F17A}">
      <text>
        <r>
          <rPr>
            <b/>
            <sz val="9"/>
            <color indexed="81"/>
            <rFont val="Tahoma"/>
            <family val="2"/>
          </rPr>
          <t>Author:</t>
        </r>
        <r>
          <rPr>
            <sz val="9"/>
            <color indexed="81"/>
            <rFont val="Tahoma"/>
            <family val="2"/>
          </rPr>
          <t xml:space="preserve">
Computers/Peripherals</t>
        </r>
      </text>
    </comment>
    <comment ref="I844" authorId="0" shapeId="0" xr:uid="{F6BE21D2-CF41-264B-BC9C-6667B23EF71F}">
      <text>
        <r>
          <rPr>
            <b/>
            <sz val="9"/>
            <color indexed="81"/>
            <rFont val="Tahoma"/>
            <family val="2"/>
          </rPr>
          <t>Author:</t>
        </r>
        <r>
          <rPr>
            <sz val="9"/>
            <color indexed="81"/>
            <rFont val="Tahoma"/>
            <family val="2"/>
          </rPr>
          <t xml:space="preserve">
Computers/Peripherals</t>
        </r>
      </text>
    </comment>
    <comment ref="B845" authorId="0" shapeId="0" xr:uid="{59EBE380-894F-6C47-A655-F1ACD76D8EAC}">
      <text>
        <r>
          <rPr>
            <b/>
            <sz val="9"/>
            <color indexed="81"/>
            <rFont val="Tahoma"/>
            <family val="2"/>
          </rPr>
          <t>Author:</t>
        </r>
        <r>
          <rPr>
            <sz val="9"/>
            <color indexed="81"/>
            <rFont val="Tahoma"/>
            <family val="2"/>
          </rPr>
          <t xml:space="preserve">
Internet
</t>
        </r>
      </text>
    </comment>
    <comment ref="C845" authorId="0" shapeId="0" xr:uid="{B0B80B3E-C026-5941-920E-FF94299E611E}">
      <text>
        <r>
          <rPr>
            <b/>
            <sz val="9"/>
            <color indexed="81"/>
            <rFont val="Tahoma"/>
            <family val="2"/>
          </rPr>
          <t>Author:</t>
        </r>
        <r>
          <rPr>
            <sz val="9"/>
            <color indexed="81"/>
            <rFont val="Tahoma"/>
            <family val="2"/>
          </rPr>
          <t xml:space="preserve">
Electronics (General)</t>
        </r>
      </text>
    </comment>
    <comment ref="D845" authorId="0" shapeId="0" xr:uid="{037739B9-87D6-404C-991D-B4135146D9F3}">
      <text>
        <r>
          <rPr>
            <b/>
            <sz val="9"/>
            <color indexed="81"/>
            <rFont val="Tahoma"/>
            <family val="2"/>
          </rPr>
          <t>Author:</t>
        </r>
        <r>
          <rPr>
            <sz val="9"/>
            <color indexed="81"/>
            <rFont val="Tahoma"/>
            <family val="2"/>
          </rPr>
          <t xml:space="preserve">
Entertainment
</t>
        </r>
      </text>
    </comment>
    <comment ref="E845" authorId="0" shapeId="0" xr:uid="{9FA08E10-0A68-6643-AD03-77A0CF9BCC8E}">
      <text>
        <r>
          <rPr>
            <b/>
            <sz val="9"/>
            <color indexed="81"/>
            <rFont val="Tahoma"/>
            <family val="2"/>
          </rPr>
          <t>Author:</t>
        </r>
        <r>
          <rPr>
            <sz val="9"/>
            <color indexed="81"/>
            <rFont val="Tahoma"/>
            <family val="2"/>
          </rPr>
          <t xml:space="preserve">
Electronics (General)</t>
        </r>
      </text>
    </comment>
    <comment ref="F845" authorId="0" shapeId="0" xr:uid="{1636BD2D-8FA9-9F48-8619-0B0A4CB87096}">
      <text>
        <r>
          <rPr>
            <b/>
            <sz val="9"/>
            <color indexed="81"/>
            <rFont val="Tahoma"/>
            <family val="2"/>
          </rPr>
          <t>Author:</t>
        </r>
        <r>
          <rPr>
            <sz val="9"/>
            <color indexed="81"/>
            <rFont val="Tahoma"/>
            <family val="2"/>
          </rPr>
          <t xml:space="preserve">
Electronics (General)</t>
        </r>
      </text>
    </comment>
    <comment ref="G845" authorId="0" shapeId="0" xr:uid="{BD76F5D1-02E3-AF41-B78E-2F35D69D7BE6}">
      <text>
        <r>
          <rPr>
            <b/>
            <sz val="9"/>
            <color indexed="81"/>
            <rFont val="Tahoma"/>
            <family val="2"/>
          </rPr>
          <t>Author:</t>
        </r>
        <r>
          <rPr>
            <sz val="9"/>
            <color indexed="81"/>
            <rFont val="Tahoma"/>
            <family val="2"/>
          </rPr>
          <t xml:space="preserve">
Electronics (General)</t>
        </r>
      </text>
    </comment>
    <comment ref="H845" authorId="0" shapeId="0" xr:uid="{34F066B4-8E2A-9446-B8B5-86F49991365A}">
      <text>
        <r>
          <rPr>
            <b/>
            <sz val="9"/>
            <color indexed="81"/>
            <rFont val="Tahoma"/>
            <family val="2"/>
          </rPr>
          <t>Author:</t>
        </r>
        <r>
          <rPr>
            <sz val="9"/>
            <color indexed="81"/>
            <rFont val="Tahoma"/>
            <family val="2"/>
          </rPr>
          <t xml:space="preserve">
Electronics (General)</t>
        </r>
      </text>
    </comment>
    <comment ref="I845" authorId="0" shapeId="0" xr:uid="{6E23167C-A4DB-0044-8BC8-976E9B5D2323}">
      <text>
        <r>
          <rPr>
            <b/>
            <sz val="9"/>
            <color indexed="81"/>
            <rFont val="Tahoma"/>
            <family val="2"/>
          </rPr>
          <t>Author:</t>
        </r>
        <r>
          <rPr>
            <sz val="9"/>
            <color indexed="81"/>
            <rFont val="Tahoma"/>
            <family val="2"/>
          </rPr>
          <t xml:space="preserve">
Electronics (General)</t>
        </r>
      </text>
    </comment>
    <comment ref="C846" authorId="0" shapeId="0" xr:uid="{8FFFB8CF-621D-7649-8F22-276B73AB4668}">
      <text>
        <r>
          <rPr>
            <b/>
            <sz val="9"/>
            <color indexed="81"/>
            <rFont val="Tahoma"/>
            <family val="2"/>
          </rPr>
          <t>Author:</t>
        </r>
        <r>
          <rPr>
            <sz val="9"/>
            <color indexed="81"/>
            <rFont val="Tahoma"/>
            <family val="2"/>
          </rPr>
          <t xml:space="preserve">
Retail (Special Lines)</t>
        </r>
      </text>
    </comment>
    <comment ref="D846" authorId="0" shapeId="0" xr:uid="{E7129605-9FD5-CC42-8327-5850117588DD}">
      <text>
        <r>
          <rPr>
            <b/>
            <sz val="9"/>
            <color indexed="81"/>
            <rFont val="Tahoma"/>
            <family val="2"/>
          </rPr>
          <t>Author:</t>
        </r>
        <r>
          <rPr>
            <sz val="9"/>
            <color indexed="81"/>
            <rFont val="Tahoma"/>
            <family val="2"/>
          </rPr>
          <t xml:space="preserve">
Business and Consumer Serives
</t>
        </r>
      </text>
    </comment>
    <comment ref="E846" authorId="0" shapeId="0" xr:uid="{F7CDECE4-E2E7-DB4B-9C8C-AE6C28CB3082}">
      <text>
        <r>
          <rPr>
            <b/>
            <sz val="9"/>
            <color indexed="81"/>
            <rFont val="Tahoma"/>
            <family val="2"/>
          </rPr>
          <t>Author:</t>
        </r>
        <r>
          <rPr>
            <sz val="9"/>
            <color indexed="81"/>
            <rFont val="Tahoma"/>
            <family val="2"/>
          </rPr>
          <t xml:space="preserve">
Retail (Special Lines)</t>
        </r>
      </text>
    </comment>
    <comment ref="F846" authorId="0" shapeId="0" xr:uid="{FD15999F-04D3-0B4B-8225-ECBB85FC3D03}">
      <text>
        <r>
          <rPr>
            <b/>
            <sz val="9"/>
            <color indexed="81"/>
            <rFont val="Tahoma"/>
            <family val="2"/>
          </rPr>
          <t>Author:</t>
        </r>
        <r>
          <rPr>
            <sz val="9"/>
            <color indexed="81"/>
            <rFont val="Tahoma"/>
            <family val="2"/>
          </rPr>
          <t xml:space="preserve">
Retail (Special Lines)</t>
        </r>
      </text>
    </comment>
    <comment ref="G846" authorId="0" shapeId="0" xr:uid="{027E4AD7-63EF-D44F-AF3A-B22FE53698E9}">
      <text>
        <r>
          <rPr>
            <b/>
            <sz val="9"/>
            <color indexed="81"/>
            <rFont val="Tahoma"/>
            <family val="2"/>
          </rPr>
          <t>Author:</t>
        </r>
        <r>
          <rPr>
            <sz val="9"/>
            <color indexed="81"/>
            <rFont val="Tahoma"/>
            <family val="2"/>
          </rPr>
          <t xml:space="preserve">
Retail (Special Lines)</t>
        </r>
      </text>
    </comment>
    <comment ref="H846" authorId="0" shapeId="0" xr:uid="{C9289573-057D-8D4C-8D5A-F512C9691C63}">
      <text>
        <r>
          <rPr>
            <b/>
            <sz val="9"/>
            <color indexed="81"/>
            <rFont val="Tahoma"/>
            <family val="2"/>
          </rPr>
          <t>Author:</t>
        </r>
        <r>
          <rPr>
            <sz val="9"/>
            <color indexed="81"/>
            <rFont val="Tahoma"/>
            <family val="2"/>
          </rPr>
          <t xml:space="preserve">
Retail (Special Lines)</t>
        </r>
      </text>
    </comment>
    <comment ref="I846" authorId="0" shapeId="0" xr:uid="{3D511C50-5757-9A40-BB7F-1357B942E305}">
      <text>
        <r>
          <rPr>
            <b/>
            <sz val="9"/>
            <color indexed="81"/>
            <rFont val="Tahoma"/>
            <family val="2"/>
          </rPr>
          <t>Author:</t>
        </r>
        <r>
          <rPr>
            <sz val="9"/>
            <color indexed="81"/>
            <rFont val="Tahoma"/>
            <family val="2"/>
          </rPr>
          <t xml:space="preserve">
Retail (Special Lines)</t>
        </r>
      </text>
    </comment>
    <comment ref="B868" authorId="0" shapeId="0" xr:uid="{D223077C-D77F-FA4A-A352-180FD729C786}">
      <text>
        <r>
          <rPr>
            <b/>
            <sz val="9"/>
            <color indexed="81"/>
            <rFont val="Tahoma"/>
            <family val="2"/>
          </rPr>
          <t>Author:</t>
        </r>
        <r>
          <rPr>
            <sz val="9"/>
            <color indexed="81"/>
            <rFont val="Tahoma"/>
            <family val="2"/>
          </rPr>
          <t xml:space="preserve">
Africa</t>
        </r>
      </text>
    </comment>
    <comment ref="B869" authorId="0" shapeId="0" xr:uid="{82D3C536-9F8C-2545-AB7E-48FE8909E942}">
      <text>
        <r>
          <rPr>
            <b/>
            <sz val="9"/>
            <color indexed="81"/>
            <rFont val="Tahoma"/>
            <family val="2"/>
          </rPr>
          <t>Author:</t>
        </r>
        <r>
          <rPr>
            <sz val="9"/>
            <color indexed="81"/>
            <rFont val="Tahoma"/>
            <family val="2"/>
          </rPr>
          <t xml:space="preserve">
Asia</t>
        </r>
      </text>
    </comment>
    <comment ref="B870" authorId="0" shapeId="0" xr:uid="{FB77B97A-B523-DC43-B2C4-42ED5D870C18}">
      <text>
        <r>
          <rPr>
            <b/>
            <sz val="9"/>
            <color indexed="81"/>
            <rFont val="Tahoma"/>
            <family val="2"/>
          </rPr>
          <t>Author:</t>
        </r>
        <r>
          <rPr>
            <sz val="9"/>
            <color indexed="81"/>
            <rFont val="Tahoma"/>
            <family val="2"/>
          </rPr>
          <t xml:space="preserve">
Australia &amp; New Zealand</t>
        </r>
      </text>
    </comment>
    <comment ref="B871" authorId="0" shapeId="0" xr:uid="{CE1636E6-8F38-C94A-A653-F3BE67D61FE0}">
      <text>
        <r>
          <rPr>
            <b/>
            <sz val="9"/>
            <color indexed="81"/>
            <rFont val="Tahoma"/>
            <family val="2"/>
          </rPr>
          <t>Author:</t>
        </r>
        <r>
          <rPr>
            <sz val="9"/>
            <color indexed="81"/>
            <rFont val="Tahoma"/>
            <family val="2"/>
          </rPr>
          <t xml:space="preserve">
Caribbean</t>
        </r>
      </text>
    </comment>
    <comment ref="B872" authorId="0" shapeId="0" xr:uid="{DC9B2DF8-C0B8-574E-9B00-1DE8CBFD00F1}">
      <text>
        <r>
          <rPr>
            <b/>
            <sz val="9"/>
            <color indexed="81"/>
            <rFont val="Tahoma"/>
            <family val="2"/>
          </rPr>
          <t>Author:</t>
        </r>
        <r>
          <rPr>
            <sz val="9"/>
            <color indexed="81"/>
            <rFont val="Tahoma"/>
            <family val="2"/>
          </rPr>
          <t xml:space="preserve">
Central and South America</t>
        </r>
      </text>
    </comment>
    <comment ref="B873" authorId="0" shapeId="0" xr:uid="{A7CA50BD-52A5-0940-B726-8F3D452A787A}">
      <text>
        <r>
          <rPr>
            <b/>
            <sz val="9"/>
            <color indexed="81"/>
            <rFont val="Tahoma"/>
            <family val="2"/>
          </rPr>
          <t>Author:</t>
        </r>
        <r>
          <rPr>
            <sz val="9"/>
            <color indexed="81"/>
            <rFont val="Tahoma"/>
            <family val="2"/>
          </rPr>
          <t xml:space="preserve">
Eastern Europe &amp; Russia</t>
        </r>
      </text>
    </comment>
    <comment ref="B874" authorId="0" shapeId="0" xr:uid="{F815BB6C-2105-6544-B77D-087336B7C625}">
      <text>
        <r>
          <rPr>
            <b/>
            <sz val="9"/>
            <color indexed="81"/>
            <rFont val="Tahoma"/>
            <family val="2"/>
          </rPr>
          <t>Author:</t>
        </r>
        <r>
          <rPr>
            <sz val="9"/>
            <color indexed="81"/>
            <rFont val="Tahoma"/>
            <family val="2"/>
          </rPr>
          <t xml:space="preserve">
Middle East</t>
        </r>
      </text>
    </comment>
    <comment ref="B875" authorId="0" shapeId="0" xr:uid="{EC7F25BF-1ECB-BD45-BE28-31EFDA8FF202}">
      <text>
        <r>
          <rPr>
            <b/>
            <sz val="9"/>
            <color indexed="81"/>
            <rFont val="Tahoma"/>
            <family val="2"/>
          </rPr>
          <t>Author:</t>
        </r>
        <r>
          <rPr>
            <sz val="9"/>
            <color indexed="81"/>
            <rFont val="Tahoma"/>
            <family val="2"/>
          </rPr>
          <t xml:space="preserve">
North America</t>
        </r>
      </text>
    </comment>
    <comment ref="B876" authorId="0" shapeId="0" xr:uid="{4E498FD9-D960-ED41-BD4C-E2B467CE5150}">
      <text>
        <r>
          <rPr>
            <b/>
            <sz val="9"/>
            <color indexed="81"/>
            <rFont val="Tahoma"/>
            <family val="2"/>
          </rPr>
          <t>Author:</t>
        </r>
        <r>
          <rPr>
            <sz val="9"/>
            <color indexed="81"/>
            <rFont val="Tahoma"/>
            <family val="2"/>
          </rPr>
          <t xml:space="preserve">
Western Europe</t>
        </r>
      </text>
    </comment>
    <comment ref="B880" authorId="0" shapeId="0" xr:uid="{ABBAC524-37B1-E64C-8B51-454F4DBA97FA}">
      <text>
        <r>
          <rPr>
            <b/>
            <sz val="9"/>
            <color indexed="81"/>
            <rFont val="Tahoma"/>
            <family val="2"/>
          </rPr>
          <t>Author:</t>
        </r>
        <r>
          <rPr>
            <sz val="9"/>
            <color indexed="81"/>
            <rFont val="Tahoma"/>
            <family val="2"/>
          </rPr>
          <t xml:space="preserve">
Africa</t>
        </r>
      </text>
    </comment>
    <comment ref="B881" authorId="0" shapeId="0" xr:uid="{5A3889CF-D14A-964C-83DA-AEBF229D3F80}">
      <text>
        <r>
          <rPr>
            <b/>
            <sz val="9"/>
            <color indexed="81"/>
            <rFont val="Tahoma"/>
            <family val="2"/>
          </rPr>
          <t>Author:</t>
        </r>
        <r>
          <rPr>
            <sz val="9"/>
            <color indexed="81"/>
            <rFont val="Tahoma"/>
            <family val="2"/>
          </rPr>
          <t xml:space="preserve">
Asia</t>
        </r>
      </text>
    </comment>
    <comment ref="C881" authorId="0" shapeId="0" xr:uid="{E750854A-6B67-F84C-BEBA-2C21FDA16B99}">
      <text>
        <r>
          <rPr>
            <b/>
            <sz val="9"/>
            <color indexed="81"/>
            <rFont val="Tahoma"/>
            <family val="2"/>
          </rPr>
          <t>Author:</t>
        </r>
        <r>
          <rPr>
            <sz val="9"/>
            <color indexed="81"/>
            <rFont val="Tahoma"/>
            <family val="2"/>
          </rPr>
          <t xml:space="preserve">
asia</t>
        </r>
      </text>
    </comment>
    <comment ref="D881" authorId="0" shapeId="0" xr:uid="{125FA7D2-746C-7A41-9BD7-B54A1E036370}">
      <text>
        <r>
          <rPr>
            <b/>
            <sz val="9"/>
            <color indexed="81"/>
            <rFont val="Tahoma"/>
            <family val="2"/>
          </rPr>
          <t>Author:</t>
        </r>
        <r>
          <rPr>
            <sz val="9"/>
            <color indexed="81"/>
            <rFont val="Tahoma"/>
            <family val="2"/>
          </rPr>
          <t xml:space="preserve">
asia</t>
        </r>
      </text>
    </comment>
    <comment ref="E881" authorId="0" shapeId="0" xr:uid="{0FA09342-5B11-C54A-8CD4-368E1A02C3D4}">
      <text>
        <r>
          <rPr>
            <b/>
            <sz val="9"/>
            <color indexed="81"/>
            <rFont val="Tahoma"/>
            <family val="2"/>
          </rPr>
          <t>Author:</t>
        </r>
        <r>
          <rPr>
            <sz val="9"/>
            <color indexed="81"/>
            <rFont val="Tahoma"/>
            <family val="2"/>
          </rPr>
          <t xml:space="preserve">
asia</t>
        </r>
      </text>
    </comment>
    <comment ref="F881" authorId="0" shapeId="0" xr:uid="{866EBAB9-66B5-9A4F-A3C4-5A7DAFFA65DA}">
      <text>
        <r>
          <rPr>
            <b/>
            <sz val="9"/>
            <color indexed="81"/>
            <rFont val="Tahoma"/>
            <family val="2"/>
          </rPr>
          <t>Author:</t>
        </r>
        <r>
          <rPr>
            <sz val="9"/>
            <color indexed="81"/>
            <rFont val="Tahoma"/>
            <family val="2"/>
          </rPr>
          <t xml:space="preserve">
asia</t>
        </r>
      </text>
    </comment>
    <comment ref="G881" authorId="0" shapeId="0" xr:uid="{245A8D79-40FF-9F43-89BC-966F220459C0}">
      <text>
        <r>
          <rPr>
            <b/>
            <sz val="9"/>
            <color indexed="81"/>
            <rFont val="Tahoma"/>
            <family val="2"/>
          </rPr>
          <t>Author:</t>
        </r>
        <r>
          <rPr>
            <sz val="9"/>
            <color indexed="81"/>
            <rFont val="Tahoma"/>
            <family val="2"/>
          </rPr>
          <t xml:space="preserve">
asia</t>
        </r>
      </text>
    </comment>
    <comment ref="H881" authorId="0" shapeId="0" xr:uid="{CC54AC54-66FD-0A4E-85E3-4D7C2E1CEEAD}">
      <text>
        <r>
          <rPr>
            <b/>
            <sz val="9"/>
            <color indexed="81"/>
            <rFont val="Tahoma"/>
            <family val="2"/>
          </rPr>
          <t>Author:</t>
        </r>
        <r>
          <rPr>
            <sz val="9"/>
            <color indexed="81"/>
            <rFont val="Tahoma"/>
            <family val="2"/>
          </rPr>
          <t xml:space="preserve">
asia</t>
        </r>
      </text>
    </comment>
    <comment ref="I881" authorId="0" shapeId="0" xr:uid="{7CE20906-8122-0045-9A55-C42C0DE30E3D}">
      <text>
        <r>
          <rPr>
            <b/>
            <sz val="9"/>
            <color indexed="81"/>
            <rFont val="Tahoma"/>
            <family val="2"/>
          </rPr>
          <t>Author:</t>
        </r>
        <r>
          <rPr>
            <sz val="9"/>
            <color indexed="81"/>
            <rFont val="Tahoma"/>
            <family val="2"/>
          </rPr>
          <t xml:space="preserve">
asia</t>
        </r>
      </text>
    </comment>
    <comment ref="B882" authorId="0" shapeId="0" xr:uid="{E3815FD9-2650-9945-8DD0-87DEAA03B1CE}">
      <text>
        <r>
          <rPr>
            <b/>
            <sz val="9"/>
            <color indexed="81"/>
            <rFont val="Tahoma"/>
            <family val="2"/>
          </rPr>
          <t>Author:</t>
        </r>
        <r>
          <rPr>
            <sz val="9"/>
            <color indexed="81"/>
            <rFont val="Tahoma"/>
            <family val="2"/>
          </rPr>
          <t xml:space="preserve">
Australia &amp; New Zealand</t>
        </r>
      </text>
    </comment>
    <comment ref="B883" authorId="0" shapeId="0" xr:uid="{ABA806D6-5CC3-D642-A495-9A72FE5984F9}">
      <text>
        <r>
          <rPr>
            <b/>
            <sz val="9"/>
            <color indexed="81"/>
            <rFont val="Tahoma"/>
            <family val="2"/>
          </rPr>
          <t>Author:</t>
        </r>
        <r>
          <rPr>
            <sz val="9"/>
            <color indexed="81"/>
            <rFont val="Tahoma"/>
            <family val="2"/>
          </rPr>
          <t xml:space="preserve">
Caribbean</t>
        </r>
      </text>
    </comment>
    <comment ref="B884" authorId="0" shapeId="0" xr:uid="{01A27222-C612-814E-935D-40CE1F5C0FC6}">
      <text>
        <r>
          <rPr>
            <b/>
            <sz val="9"/>
            <color indexed="81"/>
            <rFont val="Tahoma"/>
            <family val="2"/>
          </rPr>
          <t>Author:</t>
        </r>
        <r>
          <rPr>
            <sz val="9"/>
            <color indexed="81"/>
            <rFont val="Tahoma"/>
            <family val="2"/>
          </rPr>
          <t xml:space="preserve">
Central and South America</t>
        </r>
      </text>
    </comment>
    <comment ref="B885" authorId="0" shapeId="0" xr:uid="{F815C4FC-3A24-754C-820A-244DB3B8F38B}">
      <text>
        <r>
          <rPr>
            <b/>
            <sz val="9"/>
            <color indexed="81"/>
            <rFont val="Tahoma"/>
            <family val="2"/>
          </rPr>
          <t>Author:</t>
        </r>
        <r>
          <rPr>
            <sz val="9"/>
            <color indexed="81"/>
            <rFont val="Tahoma"/>
            <family val="2"/>
          </rPr>
          <t xml:space="preserve">
Eastern Europe &amp; Russia</t>
        </r>
      </text>
    </comment>
    <comment ref="B886" authorId="0" shapeId="0" xr:uid="{9403FD5E-7337-274E-8EF3-8E2281B6C52B}">
      <text>
        <r>
          <rPr>
            <b/>
            <sz val="9"/>
            <color indexed="81"/>
            <rFont val="Tahoma"/>
            <family val="2"/>
          </rPr>
          <t>Author:</t>
        </r>
        <r>
          <rPr>
            <sz val="9"/>
            <color indexed="81"/>
            <rFont val="Tahoma"/>
            <family val="2"/>
          </rPr>
          <t xml:space="preserve">
Middle East</t>
        </r>
      </text>
    </comment>
    <comment ref="C887" authorId="0" shapeId="0" xr:uid="{3FB27C46-3CAC-BA4D-B4C4-B5C1246C2658}">
      <text>
        <r>
          <rPr>
            <b/>
            <sz val="9"/>
            <color indexed="81"/>
            <rFont val="Tahoma"/>
            <family val="2"/>
          </rPr>
          <t>Author:</t>
        </r>
        <r>
          <rPr>
            <sz val="9"/>
            <color indexed="81"/>
            <rFont val="Tahoma"/>
            <family val="2"/>
          </rPr>
          <t xml:space="preserve">
north america</t>
        </r>
      </text>
    </comment>
    <comment ref="D887" authorId="0" shapeId="0" xr:uid="{03DDD418-D428-8C45-AA2B-142712858D55}">
      <text>
        <r>
          <rPr>
            <b/>
            <sz val="9"/>
            <color indexed="81"/>
            <rFont val="Tahoma"/>
            <family val="2"/>
          </rPr>
          <t>Author:</t>
        </r>
        <r>
          <rPr>
            <sz val="9"/>
            <color indexed="81"/>
            <rFont val="Tahoma"/>
            <family val="2"/>
          </rPr>
          <t xml:space="preserve">
north america</t>
        </r>
      </text>
    </comment>
    <comment ref="E887" authorId="0" shapeId="0" xr:uid="{10C1F00A-75FD-BD4A-BCED-7477D498C05A}">
      <text>
        <r>
          <rPr>
            <b/>
            <sz val="9"/>
            <color indexed="81"/>
            <rFont val="Tahoma"/>
            <family val="2"/>
          </rPr>
          <t>Author:</t>
        </r>
        <r>
          <rPr>
            <sz val="9"/>
            <color indexed="81"/>
            <rFont val="Tahoma"/>
            <family val="2"/>
          </rPr>
          <t xml:space="preserve">
north america</t>
        </r>
      </text>
    </comment>
    <comment ref="F887" authorId="0" shapeId="0" xr:uid="{4990CDDE-F1FE-BE47-9A69-D225C636CD81}">
      <text>
        <r>
          <rPr>
            <b/>
            <sz val="9"/>
            <color indexed="81"/>
            <rFont val="Tahoma"/>
            <family val="2"/>
          </rPr>
          <t>Author:</t>
        </r>
        <r>
          <rPr>
            <sz val="9"/>
            <color indexed="81"/>
            <rFont val="Tahoma"/>
            <family val="2"/>
          </rPr>
          <t xml:space="preserve">
north america</t>
        </r>
      </text>
    </comment>
    <comment ref="G887" authorId="0" shapeId="0" xr:uid="{CC5256AD-1C41-E44D-9492-60C6E63557D3}">
      <text>
        <r>
          <rPr>
            <b/>
            <sz val="9"/>
            <color indexed="81"/>
            <rFont val="Tahoma"/>
            <family val="2"/>
          </rPr>
          <t>Author:</t>
        </r>
        <r>
          <rPr>
            <sz val="9"/>
            <color indexed="81"/>
            <rFont val="Tahoma"/>
            <family val="2"/>
          </rPr>
          <t xml:space="preserve">
north america</t>
        </r>
      </text>
    </comment>
    <comment ref="H887" authorId="0" shapeId="0" xr:uid="{A5F09CB6-BFCF-3C47-A01D-7F1842C107AE}">
      <text>
        <r>
          <rPr>
            <b/>
            <sz val="9"/>
            <color indexed="81"/>
            <rFont val="Tahoma"/>
            <family val="2"/>
          </rPr>
          <t>Author:</t>
        </r>
        <r>
          <rPr>
            <sz val="9"/>
            <color indexed="81"/>
            <rFont val="Tahoma"/>
            <family val="2"/>
          </rPr>
          <t xml:space="preserve">
north america</t>
        </r>
      </text>
    </comment>
    <comment ref="I887" authorId="0" shapeId="0" xr:uid="{8501619C-82CE-DC4C-9B0C-C259E6FEC51F}">
      <text>
        <r>
          <rPr>
            <b/>
            <sz val="9"/>
            <color indexed="81"/>
            <rFont val="Tahoma"/>
            <family val="2"/>
          </rPr>
          <t>Author:</t>
        </r>
        <r>
          <rPr>
            <sz val="9"/>
            <color indexed="81"/>
            <rFont val="Tahoma"/>
            <family val="2"/>
          </rPr>
          <t xml:space="preserve">
north america</t>
        </r>
      </text>
    </comment>
    <comment ref="C888" authorId="0" shapeId="0" xr:uid="{B9A13A48-BF36-5943-939C-44157EFD4219}">
      <text>
        <r>
          <rPr>
            <b/>
            <sz val="9"/>
            <color indexed="81"/>
            <rFont val="Tahoma"/>
            <family val="2"/>
          </rPr>
          <t>Author:</t>
        </r>
        <r>
          <rPr>
            <sz val="9"/>
            <color indexed="81"/>
            <rFont val="Tahoma"/>
            <family val="2"/>
          </rPr>
          <t xml:space="preserve">
western europe</t>
        </r>
      </text>
    </comment>
    <comment ref="D888" authorId="0" shapeId="0" xr:uid="{3919C7CA-3B8E-A441-B21A-DE0416C133E0}">
      <text>
        <r>
          <rPr>
            <b/>
            <sz val="9"/>
            <color indexed="81"/>
            <rFont val="Tahoma"/>
            <family val="2"/>
          </rPr>
          <t>Author:</t>
        </r>
        <r>
          <rPr>
            <sz val="9"/>
            <color indexed="81"/>
            <rFont val="Tahoma"/>
            <family val="2"/>
          </rPr>
          <t xml:space="preserve">
western europe</t>
        </r>
      </text>
    </comment>
    <comment ref="E888" authorId="0" shapeId="0" xr:uid="{12571B13-2F8B-6D49-80D0-F98F0A2BC771}">
      <text>
        <r>
          <rPr>
            <b/>
            <sz val="9"/>
            <color indexed="81"/>
            <rFont val="Tahoma"/>
            <family val="2"/>
          </rPr>
          <t>Author:</t>
        </r>
        <r>
          <rPr>
            <sz val="9"/>
            <color indexed="81"/>
            <rFont val="Tahoma"/>
            <family val="2"/>
          </rPr>
          <t xml:space="preserve">
western europe</t>
        </r>
      </text>
    </comment>
    <comment ref="F888" authorId="0" shapeId="0" xr:uid="{0FAD67A8-DB7D-A74A-8530-804897C1A1DB}">
      <text>
        <r>
          <rPr>
            <b/>
            <sz val="9"/>
            <color indexed="81"/>
            <rFont val="Tahoma"/>
            <family val="2"/>
          </rPr>
          <t>Author:</t>
        </r>
        <r>
          <rPr>
            <sz val="9"/>
            <color indexed="81"/>
            <rFont val="Tahoma"/>
            <family val="2"/>
          </rPr>
          <t xml:space="preserve">
western europe</t>
        </r>
      </text>
    </comment>
    <comment ref="G888" authorId="0" shapeId="0" xr:uid="{A9A9D7C3-DD30-464C-A7CD-1B9009D60347}">
      <text>
        <r>
          <rPr>
            <b/>
            <sz val="9"/>
            <color indexed="81"/>
            <rFont val="Tahoma"/>
            <family val="2"/>
          </rPr>
          <t>Author:</t>
        </r>
        <r>
          <rPr>
            <sz val="9"/>
            <color indexed="81"/>
            <rFont val="Tahoma"/>
            <family val="2"/>
          </rPr>
          <t xml:space="preserve">
western europe</t>
        </r>
      </text>
    </comment>
    <comment ref="H888" authorId="0" shapeId="0" xr:uid="{9B4BD405-FE7A-7D48-88B4-B94870D445C0}">
      <text>
        <r>
          <rPr>
            <b/>
            <sz val="9"/>
            <color indexed="81"/>
            <rFont val="Tahoma"/>
            <family val="2"/>
          </rPr>
          <t>Author:</t>
        </r>
        <r>
          <rPr>
            <sz val="9"/>
            <color indexed="81"/>
            <rFont val="Tahoma"/>
            <family val="2"/>
          </rPr>
          <t xml:space="preserve">
western europe</t>
        </r>
      </text>
    </comment>
    <comment ref="I888" authorId="0" shapeId="0" xr:uid="{C41DF438-22B4-0344-AF04-6B2F1C90C134}">
      <text>
        <r>
          <rPr>
            <b/>
            <sz val="9"/>
            <color indexed="81"/>
            <rFont val="Tahoma"/>
            <family val="2"/>
          </rPr>
          <t>Author:</t>
        </r>
        <r>
          <rPr>
            <sz val="9"/>
            <color indexed="81"/>
            <rFont val="Tahoma"/>
            <family val="2"/>
          </rPr>
          <t xml:space="preserve">
western europe</t>
        </r>
      </text>
    </comment>
    <comment ref="A893" authorId="0" shapeId="0" xr:uid="{040AC8C1-FFDD-034E-80E2-2BBB080926D6}">
      <text>
        <r>
          <rPr>
            <b/>
            <sz val="9"/>
            <color indexed="81"/>
            <rFont val="Tahoma"/>
            <family val="2"/>
          </rPr>
          <t>Author:</t>
        </r>
        <r>
          <rPr>
            <sz val="9"/>
            <color indexed="81"/>
            <rFont val="Tahoma"/>
            <family val="2"/>
          </rPr>
          <t xml:space="preserve">
Current, long term cost of borrowing money. If you have a rating use it, if not use a synthetic rating.</t>
        </r>
      </text>
    </comment>
    <comment ref="A900" authorId="0" shapeId="0" xr:uid="{26152DB6-BA30-5A43-B2CC-0555B06BEDBC}">
      <text>
        <r>
          <rPr>
            <b/>
            <sz val="9"/>
            <color indexed="81"/>
            <rFont val="Arial"/>
            <family val="2"/>
          </rPr>
          <t>Author:</t>
        </r>
        <r>
          <rPr>
            <sz val="9"/>
            <color indexed="81"/>
            <rFont val="Arial"/>
            <family val="2"/>
          </rPr>
          <t xml:space="preserve">
2: Small market cap (&lt;$5 billion) or risky.
1: Large market cap (&gt;$5 billion) and safe.
0: financial service firms (default spreads are slighty different)
-&gt; If company has volatile earnings or is in risky business, use 2, even if large market cap.</t>
        </r>
      </text>
    </comment>
    <comment ref="A903" authorId="0" shapeId="0" xr:uid="{60248C7B-2123-8B46-822E-E0F6747734A4}">
      <text>
        <r>
          <rPr>
            <b/>
            <sz val="9"/>
            <color indexed="81"/>
            <rFont val="Tahoma"/>
            <family val="2"/>
          </rPr>
          <t>Author:</t>
        </r>
        <r>
          <rPr>
            <sz val="9"/>
            <color indexed="81"/>
            <rFont val="Tahoma"/>
            <family val="2"/>
          </rPr>
          <t xml:space="preserve">
This should be today's long term riskfree rate. If you are working with a currency where the government has default risk, clean up the government bond rate to make it riskfree (by subtracting the default spread for the government).</t>
        </r>
      </text>
    </comment>
    <comment ref="A907" authorId="0" shapeId="0" xr:uid="{7E2B908D-DC75-9643-944A-BE8462C9E5A7}">
      <text>
        <r>
          <rPr>
            <b/>
            <sz val="9"/>
            <color indexed="81"/>
            <rFont val="Geneva"/>
          </rPr>
          <t>Author:</t>
        </r>
        <r>
          <rPr>
            <sz val="9"/>
            <color indexed="81"/>
            <rFont val="Geneva"/>
          </rPr>
          <t xml:space="preserve">
Enter the most recent stock price (how about today's?) in here. If you are assessing the value of the stock, enter your estimate of the expected IPO price</t>
        </r>
      </text>
    </comment>
    <comment ref="A908" authorId="0" shapeId="0" xr:uid="{C64E2909-70A8-F942-AEF0-08957FAF56B3}">
      <text>
        <r>
          <rPr>
            <b/>
            <sz val="9"/>
            <color indexed="81"/>
            <rFont val="Geneva"/>
          </rPr>
          <t>Author:</t>
        </r>
        <r>
          <rPr>
            <sz val="9"/>
            <color indexed="81"/>
            <rFont val="Geneva"/>
          </rPr>
          <t xml:space="preserve">
Enter the most recent update you have on the number of shares. If you have different classes of shares, aggregate them all and enter one number. Count restricted stock units (RSUs) as shares but don't count shares underlying employee options.</t>
        </r>
      </text>
    </comment>
    <comment ref="A910" authorId="0" shapeId="0" xr:uid="{5E47B942-36E2-6C49-81FC-4C3F1C5ACD8F}">
      <text>
        <r>
          <rPr>
            <b/>
            <sz val="9"/>
            <color indexed="81"/>
            <rFont val="Geneva"/>
          </rPr>
          <t>Author:</t>
        </r>
        <r>
          <rPr>
            <sz val="9"/>
            <color indexed="81"/>
            <rFont val="Geneva"/>
          </rPr>
          <t xml:space="preserve">
If you have a standard deviation for your stock, enter the annualized number. You can use either a historical estimate or an implied standard deviation. If not, use the industry average standard deviation from the table.</t>
        </r>
      </text>
    </comment>
    <comment ref="A911" authorId="0" shapeId="0" xr:uid="{2F8D6BEB-AB54-1D4F-A755-B49C00CEBC5F}">
      <text>
        <r>
          <rPr>
            <b/>
            <sz val="9"/>
            <color indexed="81"/>
            <rFont val="Geneva"/>
          </rPr>
          <t>Author:</t>
        </r>
        <r>
          <rPr>
            <sz val="9"/>
            <color indexed="81"/>
            <rFont val="Geneva"/>
          </rPr>
          <t xml:space="preserve">
Divide the dollar dividends (annual) by the stock price.</t>
        </r>
      </text>
    </comment>
    <comment ref="A915" authorId="0" shapeId="0" xr:uid="{3D384EEF-A4A9-F64A-AE13-ABC51D9D9D1F}">
      <text>
        <r>
          <rPr>
            <b/>
            <sz val="9"/>
            <color indexed="81"/>
            <rFont val="Geneva"/>
          </rPr>
          <t>Author:</t>
        </r>
        <r>
          <rPr>
            <sz val="9"/>
            <color indexed="81"/>
            <rFont val="Geneva"/>
          </rPr>
          <t xml:space="preserve">
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B915" authorId="0" shapeId="0" xr:uid="{0AD5459B-E1BD-EB4F-B655-ED699C46846C}">
      <text>
        <r>
          <rPr>
            <b/>
            <sz val="9"/>
            <color indexed="81"/>
            <rFont val="Geneva"/>
          </rPr>
          <t>Author:</t>
        </r>
        <r>
          <rPr>
            <sz val="9"/>
            <color indexed="81"/>
            <rFont val="Geneva"/>
          </rPr>
          <t xml:space="preserve">
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A921" authorId="0" shapeId="0" xr:uid="{AF8A4EE7-2569-B04A-A4BB-FD85D4DEEEEC}">
      <text>
        <r>
          <rPr>
            <b/>
            <sz val="9"/>
            <color indexed="81"/>
            <rFont val="Geneva"/>
          </rPr>
          <t>Author:</t>
        </r>
        <r>
          <rPr>
            <sz val="9"/>
            <color indexed="81"/>
            <rFont val="Geneva"/>
          </rPr>
          <t xml:space="preserve">
Enter the weighted average strike price of your options. (Should be in your 10K or annual report.)</t>
        </r>
      </text>
    </comment>
    <comment ref="A922" authorId="0" shapeId="0" xr:uid="{E70E92CF-F3AA-7D48-9E31-5E37171D59F8}">
      <text>
        <r>
          <rPr>
            <b/>
            <sz val="9"/>
            <color indexed="81"/>
            <rFont val="Geneva"/>
          </rPr>
          <t>Author:</t>
        </r>
        <r>
          <rPr>
            <sz val="9"/>
            <color indexed="81"/>
            <rFont val="Geneva"/>
          </rPr>
          <t xml:space="preserve">
The weighted average maturity of your options should be reported in your financial statements.
Do you want to adjust the stated maturity for the fact that employee options are illiquid and get exercised early? If yes, enter the maturity you would like to use in the option pricing model</t>
        </r>
      </text>
    </comment>
    <comment ref="A923" authorId="0" shapeId="0" xr:uid="{0BE37BDD-73B7-F744-81AE-0525EA8EFB7B}">
      <text>
        <r>
          <rPr>
            <b/>
            <sz val="9"/>
            <color indexed="81"/>
            <rFont val="Geneva"/>
          </rPr>
          <t>Author:</t>
        </r>
        <r>
          <rPr>
            <sz val="9"/>
            <color indexed="81"/>
            <rFont val="Geneva"/>
          </rPr>
          <t xml:space="preserve">
Check your company's annual report or 10K. If it does have options outstanding, enter the total number here (vested and non vested, in the money and out…)</t>
        </r>
      </text>
    </comment>
    <comment ref="A924" authorId="0" shapeId="0" xr:uid="{7A27C348-38F7-7242-B65E-56240829EA36}">
      <text>
        <r>
          <rPr>
            <b/>
            <sz val="9"/>
            <color indexed="81"/>
            <rFont val="Geneva"/>
          </rPr>
          <t>Author:</t>
        </r>
        <r>
          <rPr>
            <sz val="9"/>
            <color indexed="81"/>
            <rFont val="Geneva"/>
          </rPr>
          <t xml:space="preserve">
The option value below is not adjusted for non-vesting. Do you want to adjust for vesting?</t>
        </r>
      </text>
    </comment>
    <comment ref="A935" authorId="0" shapeId="0" xr:uid="{B70EF6BF-9FFA-0B43-AB9F-E44AC9998DD4}">
      <text>
        <r>
          <rPr>
            <b/>
            <sz val="9"/>
            <color indexed="81"/>
            <rFont val="Tahoma"/>
            <family val="2"/>
          </rPr>
          <t>Author:</t>
        </r>
        <r>
          <rPr>
            <sz val="9"/>
            <color indexed="81"/>
            <rFont val="Tahoma"/>
            <family val="2"/>
          </rPr>
          <t xml:space="preserve">
If you have operating leases, please enter your lease commitments in the lease section below and I will convert to debt (with operating leases reclassifed as debt)</t>
        </r>
      </text>
    </comment>
    <comment ref="A936" authorId="0" shapeId="0" xr:uid="{1C49A5BA-494C-6940-9C02-04693E4138FD}">
      <text>
        <r>
          <rPr>
            <b/>
            <sz val="9"/>
            <color indexed="81"/>
            <rFont val="Tahoma"/>
            <family val="2"/>
          </rPr>
          <t>Author:</t>
        </r>
        <r>
          <rPr>
            <sz val="9"/>
            <color indexed="81"/>
            <rFont val="Tahoma"/>
            <family val="2"/>
          </rPr>
          <t xml:space="preserve">
This is the interest-bearing debt reported on the balance sheet</t>
        </r>
      </text>
    </comment>
    <comment ref="C936" authorId="0" shapeId="0" xr:uid="{65960CF7-3F38-CC41-A9F8-2B6FD35B9A7B}">
      <text>
        <r>
          <rPr>
            <b/>
            <sz val="9"/>
            <color indexed="81"/>
            <rFont val="Tahoma"/>
            <family val="2"/>
          </rPr>
          <t>Author:</t>
        </r>
        <r>
          <rPr>
            <sz val="9"/>
            <color indexed="81"/>
            <rFont val="Tahoma"/>
            <family val="2"/>
          </rPr>
          <t xml:space="preserve">
no clue! To be determined</t>
        </r>
      </text>
    </comment>
    <comment ref="D936" authorId="0" shapeId="0" xr:uid="{FCEF365B-C586-EC4A-BB8F-2C61DA6FCE1F}">
      <text>
        <r>
          <rPr>
            <b/>
            <sz val="9"/>
            <color indexed="81"/>
            <rFont val="Tahoma"/>
            <family val="2"/>
          </rPr>
          <t>Author:</t>
        </r>
        <r>
          <rPr>
            <sz val="9"/>
            <color indexed="81"/>
            <rFont val="Tahoma"/>
            <family val="2"/>
          </rPr>
          <t xml:space="preserve">
no clue! To be determined</t>
        </r>
      </text>
    </comment>
    <comment ref="E936" authorId="0" shapeId="0" xr:uid="{75B513FC-38E4-704F-924F-F01F4F465D48}">
      <text>
        <r>
          <rPr>
            <b/>
            <sz val="9"/>
            <color indexed="81"/>
            <rFont val="Tahoma"/>
            <family val="2"/>
          </rPr>
          <t>Author:</t>
        </r>
        <r>
          <rPr>
            <sz val="9"/>
            <color indexed="81"/>
            <rFont val="Tahoma"/>
            <family val="2"/>
          </rPr>
          <t xml:space="preserve">
no clue! To be determined</t>
        </r>
      </text>
    </comment>
    <comment ref="F936" authorId="0" shapeId="0" xr:uid="{7C4EFAFE-F605-8243-BE06-DE5BD78AFA6C}">
      <text>
        <r>
          <rPr>
            <b/>
            <sz val="9"/>
            <color indexed="81"/>
            <rFont val="Tahoma"/>
            <family val="2"/>
          </rPr>
          <t>Author:</t>
        </r>
        <r>
          <rPr>
            <sz val="9"/>
            <color indexed="81"/>
            <rFont val="Tahoma"/>
            <family val="2"/>
          </rPr>
          <t xml:space="preserve">
no clue! To be determined</t>
        </r>
      </text>
    </comment>
    <comment ref="G936" authorId="0" shapeId="0" xr:uid="{2EEEC6C1-E127-4249-8DB8-58682DE7B603}">
      <text>
        <r>
          <rPr>
            <b/>
            <sz val="9"/>
            <color indexed="81"/>
            <rFont val="Tahoma"/>
            <family val="2"/>
          </rPr>
          <t>Author:</t>
        </r>
        <r>
          <rPr>
            <sz val="9"/>
            <color indexed="81"/>
            <rFont val="Tahoma"/>
            <family val="2"/>
          </rPr>
          <t xml:space="preserve">
no clue! To be determined</t>
        </r>
      </text>
    </comment>
    <comment ref="H936" authorId="0" shapeId="0" xr:uid="{465DE443-8E56-C744-9DB5-0485D475F706}">
      <text>
        <r>
          <rPr>
            <b/>
            <sz val="9"/>
            <color indexed="81"/>
            <rFont val="Tahoma"/>
            <family val="2"/>
          </rPr>
          <t>Author:</t>
        </r>
        <r>
          <rPr>
            <sz val="9"/>
            <color indexed="81"/>
            <rFont val="Tahoma"/>
            <family val="2"/>
          </rPr>
          <t xml:space="preserve">
no clue! To be determined</t>
        </r>
      </text>
    </comment>
    <comment ref="I936" authorId="0" shapeId="0" xr:uid="{E261D900-CB71-E84A-B9A2-107DFEE13FF2}">
      <text>
        <r>
          <rPr>
            <b/>
            <sz val="9"/>
            <color indexed="81"/>
            <rFont val="Tahoma"/>
            <family val="2"/>
          </rPr>
          <t>Author:</t>
        </r>
        <r>
          <rPr>
            <sz val="9"/>
            <color indexed="81"/>
            <rFont val="Tahoma"/>
            <family val="2"/>
          </rPr>
          <t xml:space="preserve">
no clue! To be determined</t>
        </r>
      </text>
    </comment>
    <comment ref="A946" authorId="0" shapeId="0" xr:uid="{B23FF99A-E1B1-8D4C-8FA0-E6E0C1EBA9C4}">
      <text>
        <r>
          <rPr>
            <b/>
            <sz val="9"/>
            <color indexed="81"/>
            <rFont val="Tahoma"/>
            <family val="2"/>
          </rPr>
          <t>Author:</t>
        </r>
        <r>
          <rPr>
            <sz val="9"/>
            <color indexed="81"/>
            <rFont val="Tahoma"/>
            <family val="2"/>
          </rPr>
          <t xml:space="preserve">
Generally found in footnotes to financial statements.</t>
        </r>
      </text>
    </comment>
    <comment ref="A948" authorId="0" shapeId="0" xr:uid="{A5366A55-0E7C-A245-8289-CBADF9918806}">
      <text>
        <r>
          <rPr>
            <b/>
            <sz val="9"/>
            <color indexed="81"/>
            <rFont val="Verdana"/>
            <family val="2"/>
          </rPr>
          <t>Author:</t>
        </r>
        <r>
          <rPr>
            <sz val="9"/>
            <color indexed="81"/>
            <rFont val="Verdana"/>
            <family val="2"/>
          </rPr>
          <t xml:space="preserve">
Enter the book value of interest bearing debt (short and long term) at your company from the most recent balance sheet. (Do not include accounts payable, supplier credit or other non-interest bearing liabilities.) </t>
        </r>
      </text>
    </comment>
    <comment ref="A953" authorId="0" shapeId="0" xr:uid="{ABAF11C5-3D3D-5E47-A8BA-C07CB75B84E2}">
      <text>
        <r>
          <rPr>
            <b/>
            <sz val="9"/>
            <color indexed="81"/>
            <rFont val="Tahoma"/>
            <family val="2"/>
          </rPr>
          <t>Author:</t>
        </r>
        <r>
          <rPr>
            <sz val="9"/>
            <color indexed="81"/>
            <rFont val="Tahoma"/>
            <family val="2"/>
          </rPr>
          <t xml:space="preserve">
coupon rate on bond</t>
        </r>
      </text>
    </comment>
    <comment ref="A957" authorId="0" shapeId="0" xr:uid="{21F7EB8A-5424-A54D-90A7-65FB3CDEF096}">
      <text>
        <r>
          <rPr>
            <b/>
            <sz val="9"/>
            <color indexed="81"/>
            <rFont val="Geneva"/>
          </rPr>
          <t>Author:</t>
        </r>
        <r>
          <rPr>
            <sz val="9"/>
            <color indexed="81"/>
            <rFont val="Geneva"/>
          </rPr>
          <t xml:space="preserve">
The weighted average maturity of your options should be reported in your financial statements.
Do you want to adjust the stated maturity for the fact that employee options are illiquid and get exercised early? If yes, enter the maturity you would like to use in the option pricing model</t>
        </r>
      </text>
    </comment>
    <comment ref="A958" authorId="0" shapeId="0" xr:uid="{29FABEFD-09D6-6D47-81FE-FA69CCFF8AFA}">
      <text>
        <r>
          <rPr>
            <b/>
            <sz val="9"/>
            <color indexed="81"/>
            <rFont val="Geneva"/>
          </rPr>
          <t>Author:</t>
        </r>
        <r>
          <rPr>
            <sz val="9"/>
            <color indexed="81"/>
            <rFont val="Geneva"/>
          </rPr>
          <t xml:space="preserve">
Enter the weighted average strike price of your options. (Should be in your 10K or annual report.)</t>
        </r>
      </text>
    </comment>
    <comment ref="A959" authorId="0" shapeId="0" xr:uid="{34D6401E-4941-AE4B-9B2E-2AC192CB9883}">
      <text>
        <r>
          <rPr>
            <b/>
            <sz val="9"/>
            <color indexed="81"/>
            <rFont val="Verdana"/>
            <family val="2"/>
          </rPr>
          <t>Author:</t>
        </r>
        <r>
          <rPr>
            <sz val="9"/>
            <color indexed="81"/>
            <rFont val="Verdana"/>
            <family val="2"/>
          </rPr>
          <t xml:space="preserve">
Enter the book value of interest bearing debt (short and long term) at your company from the most recent balance sheet. (Do not include accounts payable, supplier credit or other non-interest bearing liabilities.) </t>
        </r>
      </text>
    </comment>
    <comment ref="A968" authorId="0" shapeId="0" xr:uid="{B0992547-884A-F34D-9F0E-3C4D212A8B56}">
      <text>
        <r>
          <rPr>
            <b/>
            <sz val="9"/>
            <color indexed="81"/>
            <rFont val="Tahoma"/>
            <family val="2"/>
          </rPr>
          <t>Author:</t>
        </r>
        <r>
          <rPr>
            <sz val="9"/>
            <color indexed="81"/>
            <rFont val="Tahoma"/>
            <family val="2"/>
          </rPr>
          <t xml:space="preserve">
 If you want to capitalize R&amp;D, you have to input the numbers into the R&amp;D worksheet. </t>
        </r>
      </text>
    </comment>
    <comment ref="A969" authorId="0" shapeId="0" xr:uid="{3B975973-76A4-A64F-B063-FB3CF97867CF}">
      <text>
        <r>
          <rPr>
            <b/>
            <sz val="9"/>
            <color indexed="81"/>
            <rFont val="Geneva"/>
          </rPr>
          <t>Author:</t>
        </r>
        <r>
          <rPr>
            <sz val="9"/>
            <color indexed="81"/>
            <rFont val="Geneva"/>
          </rPr>
          <t xml:space="preserve">
This section converts R&amp;D expenses from operating to capital expenses. It makes the appropriate adjustments to operating income, net income, the book value of assets and the book value of equity.</t>
        </r>
      </text>
    </comment>
    <comment ref="A983" authorId="0" shapeId="0" xr:uid="{7D5A1373-F119-8B4E-8C3A-BCA34CFC6FC4}">
      <text>
        <r>
          <rPr>
            <b/>
            <sz val="9"/>
            <color indexed="81"/>
            <rFont val="Tahoma"/>
            <family val="2"/>
          </rPr>
          <t>Author:</t>
        </r>
        <r>
          <rPr>
            <sz val="9"/>
            <color indexed="81"/>
            <rFont val="Tahoma"/>
            <family val="2"/>
          </rPr>
          <t xml:space="preserve">
Enter the cash balance from the most recent balance sheet. This should include marketable securities.</t>
        </r>
      </text>
    </comment>
    <comment ref="A986" authorId="0" shapeId="0" xr:uid="{A696CCAE-282E-2843-A0E8-972B1D031576}">
      <text>
        <r>
          <rPr>
            <b/>
            <sz val="9"/>
            <color indexed="81"/>
            <rFont val="Geneva"/>
          </rPr>
          <t>Author:</t>
        </r>
        <r>
          <rPr>
            <sz val="9"/>
            <color indexed="81"/>
            <rFont val="Geneva"/>
          </rPr>
          <t xml:space="preserve">
Enter the value of those non-cash assets whose earnings are (and will never) show up as part of operating income. 
The most common non-operating assets are minority holdings in other companies (which are not consoldiated). You can find the book value of these holdings on the balance sheet, but see if you can convert to market value. (I apply a price to book ratio, based on the sector that the company is in to the book value).</t>
        </r>
      </text>
    </comment>
    <comment ref="A991" authorId="0" shapeId="0" xr:uid="{62C733A1-9789-DB43-AEA1-3E39128CAEE1}">
      <text>
        <r>
          <rPr>
            <b/>
            <sz val="9"/>
            <color indexed="81"/>
            <rFont val="Tahoma"/>
            <family val="2"/>
          </rPr>
          <t>Author:</t>
        </r>
        <r>
          <rPr>
            <sz val="9"/>
            <color indexed="81"/>
            <rFont val="Tahoma"/>
            <family val="2"/>
          </rPr>
          <t xml:space="preserve">
Enter the "market" value of minority interests.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 authorId="0" shapeId="0" xr:uid="{00000000-0006-0000-0000-000001000000}">
      <text>
        <r>
          <rPr>
            <b/>
            <sz val="9"/>
            <color indexed="81"/>
            <rFont val="Tahoma"/>
            <family val="2"/>
          </rPr>
          <t>Author:</t>
        </r>
        <r>
          <rPr>
            <sz val="9"/>
            <color indexed="81"/>
            <rFont val="Tahoma"/>
            <family val="2"/>
          </rPr>
          <t xml:space="preserve">
 If you want to update the spreads listed below, please visit http://www.bondsonline.com</t>
        </r>
      </text>
    </comment>
  </commentList>
</comments>
</file>

<file path=xl/sharedStrings.xml><?xml version="1.0" encoding="utf-8"?>
<sst xmlns="http://schemas.openxmlformats.org/spreadsheetml/2006/main" count="999" uniqueCount="513">
  <si>
    <t>Last Fiscal Year</t>
  </si>
  <si>
    <t>Company Name</t>
  </si>
  <si>
    <t>Direct input</t>
  </si>
  <si>
    <t>Reinvestment</t>
  </si>
  <si>
    <t>United Kingdom</t>
  </si>
  <si>
    <t>Yes</t>
  </si>
  <si>
    <t>Effective tax rate</t>
  </si>
  <si>
    <t>Cost of capital</t>
  </si>
  <si>
    <t>Value of operating assets</t>
  </si>
  <si>
    <t>Country of incorporation</t>
  </si>
  <si>
    <t>Industry (US)</t>
  </si>
  <si>
    <t>Industry (Global)</t>
  </si>
  <si>
    <t>Apple</t>
  </si>
  <si>
    <t>United States of America</t>
  </si>
  <si>
    <t>Computers/Peripherals</t>
  </si>
  <si>
    <t>Estimated value per share</t>
  </si>
  <si>
    <t>Current Stock Price</t>
  </si>
  <si>
    <t>Number of shares outstanding</t>
  </si>
  <si>
    <t>Revenues</t>
  </si>
  <si>
    <t>Operating income or EBIT</t>
  </si>
  <si>
    <t>Interest expense</t>
  </si>
  <si>
    <t>Do you have R&amp;D expenses to capitalize?</t>
  </si>
  <si>
    <t>Do you have operating lease commitments?</t>
  </si>
  <si>
    <t>Marginal tax rate</t>
  </si>
  <si>
    <t>Sales to capital ratio  (for computing reinvestment)</t>
  </si>
  <si>
    <t>Compounded annual revenue growth rate</t>
  </si>
  <si>
    <t>Target pre-tax operating margin (EBIT as % of sales)</t>
  </si>
  <si>
    <t>Riskfree rate</t>
  </si>
  <si>
    <t>Do you have employee options outstanding?</t>
  </si>
  <si>
    <t>Average strike price</t>
  </si>
  <si>
    <t>Average maturity</t>
  </si>
  <si>
    <t>Standard deviation on stock price</t>
  </si>
  <si>
    <t>Cost of Capital</t>
  </si>
  <si>
    <t>Amount of trapped cash</t>
  </si>
  <si>
    <t>F4</t>
  </si>
  <si>
    <t>F3</t>
  </si>
  <si>
    <t>F2</t>
  </si>
  <si>
    <t>F1</t>
  </si>
  <si>
    <t>Approach for estimating beta</t>
  </si>
  <si>
    <t>B1</t>
  </si>
  <si>
    <t>B2</t>
  </si>
  <si>
    <t>B3</t>
  </si>
  <si>
    <t>B4</t>
  </si>
  <si>
    <t>B5</t>
  </si>
  <si>
    <t>B6</t>
  </si>
  <si>
    <t>B7</t>
  </si>
  <si>
    <t>B8</t>
  </si>
  <si>
    <t>B9</t>
  </si>
  <si>
    <t>B10</t>
  </si>
  <si>
    <t>Revenues:</t>
  </si>
  <si>
    <t>EV/Sales:</t>
  </si>
  <si>
    <t>Estimated Value:</t>
  </si>
  <si>
    <t>Unlevered Beta:</t>
  </si>
  <si>
    <t>Weights:</t>
  </si>
  <si>
    <t>Multi Business (Global Industry Averages)</t>
  </si>
  <si>
    <t>Weighted ERP:</t>
  </si>
  <si>
    <t>Factors:</t>
  </si>
  <si>
    <t>ERP:</t>
  </si>
  <si>
    <t>F5</t>
  </si>
  <si>
    <t>F6</t>
  </si>
  <si>
    <t>F7</t>
  </si>
  <si>
    <t>F8</t>
  </si>
  <si>
    <t>F9</t>
  </si>
  <si>
    <t>F10</t>
  </si>
  <si>
    <t>Equity Risk Premium used in cost of equity</t>
  </si>
  <si>
    <t>What approach do you want to use to input ERP?</t>
  </si>
  <si>
    <t>Unlevered beta used in cost of equity</t>
  </si>
  <si>
    <t>A2/A</t>
  </si>
  <si>
    <t>Book value most recent fiscal year</t>
  </si>
  <si>
    <t>Market value</t>
  </si>
  <si>
    <t>Annual Dividend per Share</t>
  </si>
  <si>
    <t>Current Market Price per Share</t>
  </si>
  <si>
    <t>Number of Preferred Shares</t>
  </si>
  <si>
    <t>Straight preferred stock</t>
  </si>
  <si>
    <t>Enterprise Value</t>
  </si>
  <si>
    <t>Value of all options (pre-tax &amp; adjusted for vesting)</t>
  </si>
  <si>
    <t>Convertible debt</t>
  </si>
  <si>
    <t>Estimated Value of Debt</t>
  </si>
  <si>
    <t>Estimated Value of Equity</t>
  </si>
  <si>
    <t>Estimated Value of preferred stock</t>
  </si>
  <si>
    <t>Employee options</t>
  </si>
  <si>
    <t>Dividend yield on stock (if any)</t>
  </si>
  <si>
    <t>Treasury bond rate</t>
  </si>
  <si>
    <t>Value of all options (pre-tax)</t>
  </si>
  <si>
    <t>Likelihood that these options will be vested</t>
  </si>
  <si>
    <t>Estimated Adj. Stock Price</t>
  </si>
  <si>
    <t>Number of shares (primary)</t>
  </si>
  <si>
    <t>Market price/share</t>
  </si>
  <si>
    <t>Market Capitalization</t>
  </si>
  <si>
    <t>Estimated Value per option</t>
  </si>
  <si>
    <t>Number of warrants (options) outstanding</t>
  </si>
  <si>
    <t>Operating leases</t>
  </si>
  <si>
    <t>Current year's operating lease expense</t>
  </si>
  <si>
    <t>Lease commitment - year 1</t>
  </si>
  <si>
    <t>Lease commitment - year 2</t>
  </si>
  <si>
    <t>Lease commitment - year 3</t>
  </si>
  <si>
    <t>Lease commitment - year 4</t>
  </si>
  <si>
    <t>Lease commitment - year 5</t>
  </si>
  <si>
    <t>Lease commitment - Beyond last year</t>
  </si>
  <si>
    <t>Number of years</t>
  </si>
  <si>
    <t>Number of years embedded in leases</t>
  </si>
  <si>
    <t>After-tax adjustment to net income</t>
  </si>
  <si>
    <t>Effective Tax Rate</t>
  </si>
  <si>
    <t>Interest coverage ratio</t>
  </si>
  <si>
    <t>Risk-free rate</t>
  </si>
  <si>
    <t>Country Default Spread (if any)</t>
  </si>
  <si>
    <t>Cost of Debt</t>
  </si>
  <si>
    <t>Rating is</t>
  </si>
  <si>
    <t>Spread is</t>
  </si>
  <si>
    <t>A1/A+</t>
  </si>
  <si>
    <t>A3/A-</t>
  </si>
  <si>
    <t>Aa2/AA</t>
  </si>
  <si>
    <t>Aaa/AAA</t>
  </si>
  <si>
    <t>B1/B+</t>
  </si>
  <si>
    <t>B2/B</t>
  </si>
  <si>
    <t>B3/B-</t>
  </si>
  <si>
    <t>Ba1/BB+</t>
  </si>
  <si>
    <t>Ba2/BB</t>
  </si>
  <si>
    <t>Baa2/BBB</t>
  </si>
  <si>
    <t>C2/C</t>
  </si>
  <si>
    <t>Ca2/CC</t>
  </si>
  <si>
    <t>Caa/CCC</t>
  </si>
  <si>
    <t>D2/D</t>
  </si>
  <si>
    <t>For large manufacturing firms</t>
  </si>
  <si>
    <t>If interest coverage ratio is</t>
  </si>
  <si>
    <t>&gt;</t>
  </si>
  <si>
    <t>≤ to</t>
  </si>
  <si>
    <t>For smaller and riskier firms</t>
  </si>
  <si>
    <t>greater than</t>
  </si>
  <si>
    <t>Estimated Cost of Debt</t>
  </si>
  <si>
    <t>Cost of Equity</t>
  </si>
  <si>
    <t>Risk Premium</t>
  </si>
  <si>
    <t>Market D/E ratio</t>
  </si>
  <si>
    <t>Unlevered Beta</t>
  </si>
  <si>
    <t>Levered beta</t>
  </si>
  <si>
    <t>Synthetic Rating</t>
  </si>
  <si>
    <t>Approach for estimating pre-tax cost of debt</t>
  </si>
  <si>
    <t>Actual Rating</t>
  </si>
  <si>
    <t>Direct Input</t>
  </si>
  <si>
    <t>Actual Company Default Spread</t>
  </si>
  <si>
    <t>Synthetic Rating Type</t>
  </si>
  <si>
    <t>Synthetic Bond Rating</t>
  </si>
  <si>
    <t>Country</t>
  </si>
  <si>
    <t>GDP (in billions)</t>
  </si>
  <si>
    <t>Adj. Default Spread</t>
  </si>
  <si>
    <t>Total Risk Premium</t>
  </si>
  <si>
    <t>Country Risk Premium</t>
  </si>
  <si>
    <t>Region</t>
  </si>
  <si>
    <t>Abu Dhabi</t>
  </si>
  <si>
    <t>Middle East</t>
  </si>
  <si>
    <t>Albania</t>
  </si>
  <si>
    <t>Eastern Europe &amp; Russia</t>
  </si>
  <si>
    <t>Andorra (Principality of)</t>
  </si>
  <si>
    <t>Western Europe</t>
  </si>
  <si>
    <t>Angola</t>
  </si>
  <si>
    <t>Africa</t>
  </si>
  <si>
    <t>Argentina</t>
  </si>
  <si>
    <t>Central and South America</t>
  </si>
  <si>
    <t>Armenia</t>
  </si>
  <si>
    <t>Aruba</t>
  </si>
  <si>
    <t>Caribbean</t>
  </si>
  <si>
    <t>Australia</t>
  </si>
  <si>
    <t>Australia &amp; New Zealand</t>
  </si>
  <si>
    <t>Austria</t>
  </si>
  <si>
    <t>Azerbaijan</t>
  </si>
  <si>
    <t>Bahamas</t>
  </si>
  <si>
    <t>Bahrain</t>
  </si>
  <si>
    <t>Bangladesh</t>
  </si>
  <si>
    <t>Asia</t>
  </si>
  <si>
    <t>Barbados</t>
  </si>
  <si>
    <t>Belarus</t>
  </si>
  <si>
    <t>Belgium</t>
  </si>
  <si>
    <t>Belize</t>
  </si>
  <si>
    <t>Bermuda</t>
  </si>
  <si>
    <t>Bolivia</t>
  </si>
  <si>
    <t>Bosnia and Herzegovina</t>
  </si>
  <si>
    <t>Botswana</t>
  </si>
  <si>
    <t>Brazil</t>
  </si>
  <si>
    <t>Bulgaria</t>
  </si>
  <si>
    <t>Burkina Faso</t>
  </si>
  <si>
    <t>Cambodia</t>
  </si>
  <si>
    <t>Cameroon</t>
  </si>
  <si>
    <t>Canada</t>
  </si>
  <si>
    <t>North America</t>
  </si>
  <si>
    <t>Cayman Islands</t>
  </si>
  <si>
    <t>Cape Verde</t>
  </si>
  <si>
    <t>Chile</t>
  </si>
  <si>
    <t>China</t>
  </si>
  <si>
    <t>Colombia</t>
  </si>
  <si>
    <t>Congo (Democratic Republic of)</t>
  </si>
  <si>
    <t>Congo (Republic of)</t>
  </si>
  <si>
    <t>Cook Islands</t>
  </si>
  <si>
    <t>Costa Rica</t>
  </si>
  <si>
    <t>Côte d'Ivoire</t>
  </si>
  <si>
    <t>Croatia</t>
  </si>
  <si>
    <t>Cuba</t>
  </si>
  <si>
    <t>Curacao</t>
  </si>
  <si>
    <t>Cyprus</t>
  </si>
  <si>
    <t>Czech Republic</t>
  </si>
  <si>
    <t>Denmark</t>
  </si>
  <si>
    <t>Dominican Republic</t>
  </si>
  <si>
    <t>Ecuador</t>
  </si>
  <si>
    <t>Egypt</t>
  </si>
  <si>
    <t>El Salvador</t>
  </si>
  <si>
    <t>Estonia</t>
  </si>
  <si>
    <t>Ethiopia</t>
  </si>
  <si>
    <t>Fiji</t>
  </si>
  <si>
    <t>Finland</t>
  </si>
  <si>
    <t>France</t>
  </si>
  <si>
    <t>Gabon</t>
  </si>
  <si>
    <t>Georgia</t>
  </si>
  <si>
    <t>Germany</t>
  </si>
  <si>
    <t>Ghana</t>
  </si>
  <si>
    <t>Greece</t>
  </si>
  <si>
    <t>Guatemala</t>
  </si>
  <si>
    <t>Guernsey (States of)</t>
  </si>
  <si>
    <t>Honduras</t>
  </si>
  <si>
    <t>Hong Kong</t>
  </si>
  <si>
    <t>Hungary</t>
  </si>
  <si>
    <t>Iceland</t>
  </si>
  <si>
    <t>India</t>
  </si>
  <si>
    <t>Indonesia</t>
  </si>
  <si>
    <t>Ireland</t>
  </si>
  <si>
    <t>Isle of Man</t>
  </si>
  <si>
    <t>Israel</t>
  </si>
  <si>
    <t>Italy</t>
  </si>
  <si>
    <t>Jamaica</t>
  </si>
  <si>
    <t>Japan</t>
  </si>
  <si>
    <t>Jersey (States of)</t>
  </si>
  <si>
    <t>Jordan</t>
  </si>
  <si>
    <t>Kazakhstan</t>
  </si>
  <si>
    <t>Kenya</t>
  </si>
  <si>
    <t>Korea</t>
  </si>
  <si>
    <t>Kuwait</t>
  </si>
  <si>
    <t>Latvia</t>
  </si>
  <si>
    <t>Lebanon</t>
  </si>
  <si>
    <t>Liechtenstein</t>
  </si>
  <si>
    <t>Lithuania</t>
  </si>
  <si>
    <t>Luxembourg</t>
  </si>
  <si>
    <t>Macao</t>
  </si>
  <si>
    <t>Macedonia</t>
  </si>
  <si>
    <t>Malaysia</t>
  </si>
  <si>
    <t>Malta</t>
  </si>
  <si>
    <t>Mauritius</t>
  </si>
  <si>
    <t>Mexico</t>
  </si>
  <si>
    <t>Moldova</t>
  </si>
  <si>
    <t>Mongolia</t>
  </si>
  <si>
    <t>Montenegro</t>
  </si>
  <si>
    <t>Montserrat</t>
  </si>
  <si>
    <t>Morocco</t>
  </si>
  <si>
    <t>Mozambique</t>
  </si>
  <si>
    <t>Namibia</t>
  </si>
  <si>
    <t>Netherlands</t>
  </si>
  <si>
    <t>New Zealand</t>
  </si>
  <si>
    <t>Nicaragua</t>
  </si>
  <si>
    <t>Nigeria</t>
  </si>
  <si>
    <t>Norway</t>
  </si>
  <si>
    <t>Oman</t>
  </si>
  <si>
    <t>Pakistan</t>
  </si>
  <si>
    <t>Panama</t>
  </si>
  <si>
    <t>Papua New Guinea</t>
  </si>
  <si>
    <t>Paraguay</t>
  </si>
  <si>
    <t>Peru</t>
  </si>
  <si>
    <t>Philippines</t>
  </si>
  <si>
    <t>Poland</t>
  </si>
  <si>
    <t>Portugal</t>
  </si>
  <si>
    <t>Qatar</t>
  </si>
  <si>
    <t>Ras Al Khaimah (Emirate of)</t>
  </si>
  <si>
    <t>Romania</t>
  </si>
  <si>
    <t>Russia</t>
  </si>
  <si>
    <t>Rwanda</t>
  </si>
  <si>
    <t>Saudi Arabia</t>
  </si>
  <si>
    <t>Senegal</t>
  </si>
  <si>
    <t>Serbia</t>
  </si>
  <si>
    <t>Sharjah</t>
  </si>
  <si>
    <t>Singapore</t>
  </si>
  <si>
    <t>Slovakia</t>
  </si>
  <si>
    <t>Slovenia</t>
  </si>
  <si>
    <t>South Africa</t>
  </si>
  <si>
    <t>Spain</t>
  </si>
  <si>
    <t>Sri Lanka</t>
  </si>
  <si>
    <t>St. Maarten</t>
  </si>
  <si>
    <t>St. Vincent &amp; the Grenadines</t>
  </si>
  <si>
    <t>Suriname</t>
  </si>
  <si>
    <t>Sweden</t>
  </si>
  <si>
    <t>Switzerland</t>
  </si>
  <si>
    <t>Taiwan</t>
  </si>
  <si>
    <t>Thailand</t>
  </si>
  <si>
    <t>Trinidad and Tobago</t>
  </si>
  <si>
    <t>Tunisia</t>
  </si>
  <si>
    <t>Turkey</t>
  </si>
  <si>
    <t>Turks and Caicos Islands</t>
  </si>
  <si>
    <t>Uganda</t>
  </si>
  <si>
    <t>Ukraine</t>
  </si>
  <si>
    <t>United Arab Emirates</t>
  </si>
  <si>
    <t>Uruguay</t>
  </si>
  <si>
    <t>Venezuela</t>
  </si>
  <si>
    <t>Vietnam</t>
  </si>
  <si>
    <t>Zambia</t>
  </si>
  <si>
    <t>ERP</t>
  </si>
  <si>
    <t>CRP</t>
  </si>
  <si>
    <t>Default Spread</t>
  </si>
  <si>
    <t>Global</t>
  </si>
  <si>
    <t>Pre-tax Cost of Debt</t>
  </si>
  <si>
    <t>Adjustment to Total Debt outstanding</t>
  </si>
  <si>
    <t>Adjustment to Depreciation</t>
  </si>
  <si>
    <t>Adjustment to Operating Earnings</t>
  </si>
  <si>
    <t>Estimated Cost of Equity</t>
  </si>
  <si>
    <t>Estimated Cost of preferred stock</t>
  </si>
  <si>
    <t>Cost of Preferred Stock</t>
  </si>
  <si>
    <t>Market Value of Capital</t>
  </si>
  <si>
    <t>Weight in Cost of Capital</t>
  </si>
  <si>
    <t>Market Value of Equity</t>
  </si>
  <si>
    <t>Equity Weight in Cost of Capital</t>
  </si>
  <si>
    <t>Equity Cost of Component</t>
  </si>
  <si>
    <t>Market Value of Preferred Stock</t>
  </si>
  <si>
    <t>Preferred Stock Weight in Cost of Capital</t>
  </si>
  <si>
    <t>Preferred Stock Cost of Component</t>
  </si>
  <si>
    <t>Market Value of Debt</t>
  </si>
  <si>
    <t>Debt Weight in Cost of Capital</t>
  </si>
  <si>
    <t>Debt Cost of Component</t>
  </si>
  <si>
    <t>Weighted Avg. Cost of capital</t>
  </si>
  <si>
    <t>Synthetic Company Default Spread</t>
  </si>
  <si>
    <t>Estimated Minority interest market value</t>
  </si>
  <si>
    <t>Cash &amp; Marketable Securities</t>
  </si>
  <si>
    <t>Minority interest market value</t>
  </si>
  <si>
    <t>Firm Value (with minority interest)</t>
  </si>
  <si>
    <t>Estimated Enterprise Value</t>
  </si>
  <si>
    <t>- Goodwill</t>
  </si>
  <si>
    <t>Portion of goodwill left in invested capital (as %)</t>
  </si>
  <si>
    <t>+ Capitalized leases</t>
  </si>
  <si>
    <t>+ Capitalized R&amp;D</t>
  </si>
  <si>
    <t>Invested Capital</t>
  </si>
  <si>
    <t>EV / Invested Capital</t>
  </si>
  <si>
    <t>Estimated Invested Capital</t>
  </si>
  <si>
    <t>Book Value of Capital</t>
  </si>
  <si>
    <t>Estimated Book value of Capital</t>
  </si>
  <si>
    <t>+Book value of Capital</t>
  </si>
  <si>
    <t>Goodwill</t>
  </si>
  <si>
    <t>After-tax Adjustment to Net Income</t>
  </si>
  <si>
    <t>Adjustment to Operating Income</t>
  </si>
  <si>
    <t>Amortization of asset for current year</t>
  </si>
  <si>
    <t>Value of Research Asset</t>
  </si>
  <si>
    <t>Periods to amortize R&amp;D expenses</t>
  </si>
  <si>
    <t>Current year's R&amp;D expense</t>
  </si>
  <si>
    <t>year -1</t>
  </si>
  <si>
    <t>year -2</t>
  </si>
  <si>
    <t>year -3</t>
  </si>
  <si>
    <t>year -4</t>
  </si>
  <si>
    <t>year -5</t>
  </si>
  <si>
    <t>year -6</t>
  </si>
  <si>
    <t>year -7</t>
  </si>
  <si>
    <t>year -8</t>
  </si>
  <si>
    <t>year -9</t>
  </si>
  <si>
    <t>year -10</t>
  </si>
  <si>
    <t>Equity</t>
  </si>
  <si>
    <t>Preferred Stock</t>
  </si>
  <si>
    <t>Debt</t>
  </si>
  <si>
    <t>NOL</t>
  </si>
  <si>
    <t>Terminal cash flow</t>
  </si>
  <si>
    <t>Terminal WACC</t>
  </si>
  <si>
    <t>IPO Proceeds Type</t>
  </si>
  <si>
    <t>Number of shares that will be sold on offering date</t>
  </si>
  <si>
    <t>Percentage of the proceeds that be withdrawn by owners</t>
  </si>
  <si>
    <t>Current stock price</t>
  </si>
  <si>
    <t>Expected proceeds from IPO</t>
  </si>
  <si>
    <t>Probability of distress (failure)</t>
  </si>
  <si>
    <t>Distress Type</t>
  </si>
  <si>
    <t>Distress sale proceeds if firm fails</t>
  </si>
  <si>
    <t>- Preferred stock</t>
  </si>
  <si>
    <t>- Tax on Trapped Cash</t>
  </si>
  <si>
    <t>+ IPO Proceeds</t>
  </si>
  <si>
    <t>Value of equity</t>
  </si>
  <si>
    <t>- Options outstanding</t>
  </si>
  <si>
    <t>- Equity portion of convertible debt</t>
  </si>
  <si>
    <t>Value of equity in common stock</t>
  </si>
  <si>
    <t>Price as % of value</t>
  </si>
  <si>
    <t>IPO Proceeds</t>
  </si>
  <si>
    <t>Estimated IPO Proceeds</t>
  </si>
  <si>
    <t>Weighted average tax rate of the foreign markets</t>
  </si>
  <si>
    <t>Marginal Tax Rate</t>
  </si>
  <si>
    <t>Estimated Tax on Trapped Cash</t>
  </si>
  <si>
    <t>Trapped Cash</t>
  </si>
  <si>
    <t># Shares/convertible bond</t>
  </si>
  <si>
    <t>Do you have convertible debt outstanding?</t>
  </si>
  <si>
    <t>Estimated Value of the call</t>
  </si>
  <si>
    <t>Interest rate on straight bond (same risk as company)</t>
  </si>
  <si>
    <t>Proposed interest rate on convertible bond</t>
  </si>
  <si>
    <t>No</t>
  </si>
  <si>
    <t>Estimated Value of the convertible bond</t>
  </si>
  <si>
    <t>Estimated Value of equity in common stock</t>
  </si>
  <si>
    <t>Assume that your firm has no chance of failure</t>
  </si>
  <si>
    <t>Distress proceeds as % of book or fair value</t>
  </si>
  <si>
    <t>Revenue growth rate</t>
  </si>
  <si>
    <t>EBIT (Operating) margin</t>
  </si>
  <si>
    <t>EBIT (Operating income)</t>
  </si>
  <si>
    <t>Tax rate</t>
  </si>
  <si>
    <t>Assume that effective tax rate will adjust to the marginal tax rate</t>
  </si>
  <si>
    <t>EBIT(1-t)</t>
  </si>
  <si>
    <t>ROIC</t>
  </si>
  <si>
    <t>Assume cost of capital similar to that of typical mature companies</t>
  </si>
  <si>
    <t>Assume that it will earn a return on capital equal to its cost of capital</t>
  </si>
  <si>
    <t>If no, enter the Return on Capital</t>
  </si>
  <si>
    <t>FCFF</t>
  </si>
  <si>
    <t>Estimated Value of operating assets</t>
  </si>
  <si>
    <t>Terminal Value</t>
  </si>
  <si>
    <t>PV(Terminal Value)</t>
  </si>
  <si>
    <r>
      <t>Change in operating income (</t>
    </r>
    <r>
      <rPr>
        <i/>
        <sz val="10"/>
        <rFont val="Times New Roman"/>
        <family val="1"/>
      </rPr>
      <t>EBIT</t>
    </r>
    <r>
      <rPr>
        <sz val="10"/>
        <rFont val="Times New Roman"/>
        <family val="1"/>
      </rPr>
      <t>)</t>
    </r>
  </si>
  <si>
    <t>How much capital invested?</t>
  </si>
  <si>
    <t>Valuation Diagnostics</t>
  </si>
  <si>
    <t>Your calculated value as a percent of current price</t>
  </si>
  <si>
    <t>Invested capital at start of valuation</t>
  </si>
  <si>
    <t>Invested capital at end of valuation</t>
  </si>
  <si>
    <r>
      <t>Return on capital (</t>
    </r>
    <r>
      <rPr>
        <i/>
        <sz val="10"/>
        <rFont val="Times New Roman"/>
        <family val="1"/>
      </rPr>
      <t>ROIC</t>
    </r>
    <r>
      <rPr>
        <sz val="10"/>
        <rFont val="Times New Roman"/>
        <family val="1"/>
      </rPr>
      <t>) at end of valuation</t>
    </r>
  </si>
  <si>
    <t>Change in invested capital over the valuation periods</t>
  </si>
  <si>
    <r>
      <t>Marginal return on capital (</t>
    </r>
    <r>
      <rPr>
        <i/>
        <sz val="10"/>
        <rFont val="Times New Roman"/>
        <family val="1"/>
      </rPr>
      <t>ROIC</t>
    </r>
    <r>
      <rPr>
        <sz val="10"/>
        <rFont val="Times New Roman"/>
        <family val="1"/>
      </rPr>
      <t>) over the valuation periods</t>
    </r>
  </si>
  <si>
    <t>Actual Company Rating</t>
  </si>
  <si>
    <t>Actual Cost of Debt</t>
  </si>
  <si>
    <t>Synthetic Cost of Debt</t>
  </si>
  <si>
    <t>Shareholders Equity Book value</t>
  </si>
  <si>
    <t>Estimated Market Capitalization</t>
  </si>
  <si>
    <t>Inputted Value per option</t>
  </si>
  <si>
    <t>Selected Value per option</t>
  </si>
  <si>
    <t>- Debt portion of convertible Debt</t>
  </si>
  <si>
    <t>Face value on convertible bond</t>
  </si>
  <si>
    <t>Average maturity on convertible bond</t>
  </si>
  <si>
    <t>Average strike price on convertible bond</t>
  </si>
  <si>
    <t>Inputted Value of the call</t>
  </si>
  <si>
    <t>Selected Value of the call</t>
  </si>
  <si>
    <t>- Cash &amp; Marketable Securities</t>
  </si>
  <si>
    <t>+ Cash &amp; Marketable Securities</t>
  </si>
  <si>
    <t>Minority Interests (in consolidated entities)</t>
  </si>
  <si>
    <t xml:space="preserve"> - Minority Interest (Non-controlling equity interest)</t>
  </si>
  <si>
    <t>Estimated Goodwill</t>
  </si>
  <si>
    <t xml:space="preserve">Interest bearing Debt </t>
  </si>
  <si>
    <t>Cross holdings and other non-operating assets</t>
  </si>
  <si>
    <t>Estimated Cross holdings and other non-operating assets</t>
  </si>
  <si>
    <t>- Cross holdings and other non-operating assets</t>
  </si>
  <si>
    <t>+ Cross holdings and other non-operating assets</t>
  </si>
  <si>
    <t>Price to book ratio</t>
  </si>
  <si>
    <t>Pension Liabilities</t>
  </si>
  <si>
    <t>Estimated Value</t>
  </si>
  <si>
    <t>+ Pension Liabilities</t>
  </si>
  <si>
    <t>- Total Debt, including operating leases</t>
  </si>
  <si>
    <t>- Pension Liabilities</t>
  </si>
  <si>
    <t>What percentage of this cost is tax deductible?</t>
  </si>
  <si>
    <t>Expected liability</t>
  </si>
  <si>
    <t>Legal Costs/ Payouts from Private Lawsuits</t>
  </si>
  <si>
    <t>Drop in annual operating income</t>
  </si>
  <si>
    <t>How long  operating income will stay depressed?</t>
  </si>
  <si>
    <t>Expected Growth Rate</t>
  </si>
  <si>
    <t>Scandal Effect on Value</t>
  </si>
  <si>
    <t>One time Fines/Penalties (Government-Imposed)</t>
  </si>
  <si>
    <t>Legal Costs/Payouts (Private Lawsuits)</t>
  </si>
  <si>
    <t>Reputation Loss (Lost operating income)</t>
  </si>
  <si>
    <t>Scandal Effects</t>
  </si>
  <si>
    <t>- Scandal Effect</t>
  </si>
  <si>
    <r>
      <t>EBIT</t>
    </r>
    <r>
      <rPr>
        <vertAlign val="subscript"/>
        <sz val="10"/>
        <color theme="1"/>
        <rFont val="Times New Roman"/>
        <family val="1"/>
      </rPr>
      <t>0</t>
    </r>
    <r>
      <rPr>
        <sz val="10"/>
        <color theme="1"/>
        <rFont val="Times New Roman"/>
        <family val="1"/>
      </rPr>
      <t xml:space="preserve"> (1- tax rate)</t>
    </r>
  </si>
  <si>
    <t>Reinvestment rate</t>
  </si>
  <si>
    <t>Perpetual growth rate</t>
  </si>
  <si>
    <t>Risk free rate used in the valuation</t>
  </si>
  <si>
    <t>Tax rate used for cash flows to start the valuation</t>
  </si>
  <si>
    <t>Cost of capital at the start of DCF</t>
  </si>
  <si>
    <t>Operating income in terminal year</t>
  </si>
  <si>
    <t>After-tax operating income in terminal year</t>
  </si>
  <si>
    <t>FCFF in terminal year</t>
  </si>
  <si>
    <t>Cost of capital in perpetuity</t>
  </si>
  <si>
    <t>Return on capital in perpetuity has to be</t>
  </si>
  <si>
    <t>Reinvestment rate in perpetuity</t>
  </si>
  <si>
    <t>Cost of capital check</t>
  </si>
  <si>
    <t>Tax rate check</t>
  </si>
  <si>
    <t>Growth rate check</t>
  </si>
  <si>
    <t>Stable company cost of capital</t>
  </si>
  <si>
    <t>Current terminal value, based on inputs</t>
  </si>
  <si>
    <t>Terminal Analysis</t>
  </si>
  <si>
    <r>
      <t>Average cost of capital (</t>
    </r>
    <r>
      <rPr>
        <i/>
        <sz val="10"/>
        <rFont val="Times New Roman"/>
        <family val="1"/>
      </rPr>
      <t>WACC</t>
    </r>
    <r>
      <rPr>
        <sz val="10"/>
        <rFont val="Times New Roman"/>
        <family val="1"/>
      </rPr>
      <t>) over the valuation periods</t>
    </r>
  </si>
  <si>
    <r>
      <t>Change in after-tax operating income (</t>
    </r>
    <r>
      <rPr>
        <i/>
        <sz val="10"/>
        <rFont val="Times New Roman"/>
        <family val="1"/>
      </rPr>
      <t>EBIT*(1-t)</t>
    </r>
    <r>
      <rPr>
        <sz val="10"/>
        <rFont val="Times New Roman"/>
        <family val="1"/>
      </rPr>
      <t>)</t>
    </r>
  </si>
  <si>
    <t>Terminal value with corrections</t>
  </si>
  <si>
    <t xml:space="preserve"> Reinvestment rate</t>
  </si>
  <si>
    <t>% difference between estimate and default value</t>
  </si>
  <si>
    <t>PV (CF  over the valuation periods)</t>
  </si>
  <si>
    <t>Shareholders Equity</t>
  </si>
  <si>
    <t>Interest bearing Debt</t>
  </si>
  <si>
    <t>Cash and Marketable Securities</t>
  </si>
  <si>
    <t xml:space="preserve">Adj. Operating Income (EBIT) </t>
  </si>
  <si>
    <t>Adj. Interest expense</t>
  </si>
  <si>
    <r>
      <t>Reinvestment Rate</t>
    </r>
    <r>
      <rPr>
        <vertAlign val="subscript"/>
        <sz val="10"/>
        <color theme="1"/>
        <rFont val="Times New Roman"/>
        <family val="1"/>
      </rPr>
      <t>t0</t>
    </r>
  </si>
  <si>
    <r>
      <t>NOL</t>
    </r>
    <r>
      <rPr>
        <vertAlign val="subscript"/>
        <sz val="10"/>
        <color theme="1"/>
        <rFont val="Times New Roman"/>
        <family val="1"/>
      </rPr>
      <t>t1</t>
    </r>
  </si>
  <si>
    <t>SCENARIOS</t>
  </si>
  <si>
    <t>INPUTS / ASSUMPTIONS</t>
  </si>
  <si>
    <t>CALCULATIONS / VALUATION</t>
  </si>
  <si>
    <t>Length of growth period</t>
  </si>
  <si>
    <t>Growth Assumptions</t>
  </si>
  <si>
    <t>Stable Assumptions</t>
  </si>
  <si>
    <t>Stable Growth Period</t>
  </si>
  <si>
    <t>Terminal Statistics</t>
  </si>
  <si>
    <t>Trailing 12 month data</t>
  </si>
  <si>
    <t>Circular Breaker</t>
  </si>
  <si>
    <t>R&amp;D</t>
  </si>
  <si>
    <t>Free Cash Flow</t>
  </si>
  <si>
    <r>
      <t>year</t>
    </r>
    <r>
      <rPr>
        <vertAlign val="subscript"/>
        <sz val="10"/>
        <color theme="1"/>
        <rFont val="Times New Roman"/>
        <family val="1"/>
      </rPr>
      <t xml:space="preserve"> -1</t>
    </r>
  </si>
  <si>
    <r>
      <t>year</t>
    </r>
    <r>
      <rPr>
        <vertAlign val="subscript"/>
        <sz val="10"/>
        <color theme="1"/>
        <rFont val="Times New Roman"/>
        <family val="1"/>
      </rPr>
      <t xml:space="preserve"> -2</t>
    </r>
  </si>
  <si>
    <r>
      <t>year</t>
    </r>
    <r>
      <rPr>
        <vertAlign val="subscript"/>
        <sz val="10"/>
        <color theme="1"/>
        <rFont val="Times New Roman"/>
        <family val="1"/>
      </rPr>
      <t xml:space="preserve"> -3</t>
    </r>
  </si>
  <si>
    <r>
      <t>year</t>
    </r>
    <r>
      <rPr>
        <vertAlign val="subscript"/>
        <sz val="10"/>
        <color theme="1"/>
        <rFont val="Times New Roman"/>
        <family val="1"/>
      </rPr>
      <t xml:space="preserve"> -4</t>
    </r>
  </si>
  <si>
    <t>Method</t>
  </si>
  <si>
    <t>Calculated</t>
  </si>
  <si>
    <t>Operating Regions</t>
  </si>
  <si>
    <t>ERP Method</t>
  </si>
  <si>
    <t>Sales to Capital</t>
  </si>
  <si>
    <t>Discount Factor</t>
  </si>
  <si>
    <t>FCF Growth Rate</t>
  </si>
  <si>
    <t>Present Value of FCF</t>
  </si>
  <si>
    <t>Written by 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</si>
</sst>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quot;$&quot;* #,##0.00_);_(&quot;$&quot;* \(#,##0.00\);_(&quot;$&quot;* &quot;-&quot;??_);_(@_)"/>
    <numFmt numFmtId="43" formatCode="_(* #,##0.00_);_(* \(#,##0.00\);_(* &quot;-&quot;??_);_(@_)"/>
    <numFmt numFmtId="164" formatCode="&quot;$&quot;#,##0"/>
    <numFmt numFmtId="165" formatCode="[$-409]d\-mmm\-yy;@"/>
    <numFmt numFmtId="166" formatCode="&quot;$&quot;#,##0;[Red]&quot;$&quot;#,##0"/>
    <numFmt numFmtId="167" formatCode="0.0%"/>
    <numFmt numFmtId="168" formatCode="&quot;$&quot;#,##0.00"/>
    <numFmt numFmtId="169" formatCode="#,##0.0000;[Red]#,##0.0000"/>
    <numFmt numFmtId="170" formatCode="#,##0.0000"/>
    <numFmt numFmtId="171" formatCode="0.00&quot;x&quot;"/>
    <numFmt numFmtId="172" formatCode="0.0"/>
    <numFmt numFmtId="173" formatCode="#,##0.00&quot;x&quot;"/>
    <numFmt numFmtId="174" formatCode="0.0000"/>
    <numFmt numFmtId="175" formatCode="&quot;$&quot;#,##0.0000"/>
    <numFmt numFmtId="176" formatCode="&quot;Return on capital check&quot;"/>
  </numFmts>
  <fonts count="26" x14ac:knownFonts="1">
    <font>
      <sz val="11"/>
      <color theme="1"/>
      <name val="Calibri"/>
      <family val="2"/>
      <scheme val="minor"/>
    </font>
    <font>
      <sz val="11"/>
      <color theme="1"/>
      <name val="Calibri"/>
      <family val="2"/>
      <scheme val="minor"/>
    </font>
    <font>
      <sz val="10"/>
      <color rgb="FFFF0000"/>
      <name val="Times New Roman"/>
      <family val="1"/>
    </font>
    <font>
      <sz val="10"/>
      <color theme="0"/>
      <name val="Times New Roman"/>
      <family val="1"/>
    </font>
    <font>
      <sz val="9"/>
      <color indexed="81"/>
      <name val="Tahoma"/>
      <family val="2"/>
    </font>
    <font>
      <b/>
      <sz val="9"/>
      <color indexed="81"/>
      <name val="Tahoma"/>
      <family val="2"/>
    </font>
    <font>
      <sz val="10"/>
      <color theme="1"/>
      <name val="Times New Roman"/>
      <family val="1"/>
    </font>
    <font>
      <b/>
      <sz val="10"/>
      <color theme="0"/>
      <name val="Times New Roman"/>
      <family val="1"/>
    </font>
    <font>
      <sz val="10"/>
      <color rgb="FF0070C0"/>
      <name val="Times New Roman"/>
      <family val="1"/>
    </font>
    <font>
      <b/>
      <sz val="10"/>
      <color theme="1"/>
      <name val="Times New Roman"/>
      <family val="1"/>
    </font>
    <font>
      <sz val="10"/>
      <name val="Arial"/>
      <family val="2"/>
    </font>
    <font>
      <sz val="1"/>
      <color indexed="9"/>
      <name val="Symbol"/>
      <family val="1"/>
      <charset val="2"/>
    </font>
    <font>
      <sz val="12"/>
      <name val="Times"/>
    </font>
    <font>
      <sz val="10"/>
      <name val="Geneva"/>
    </font>
    <font>
      <sz val="10"/>
      <name val="Times New Roman"/>
      <family val="1"/>
    </font>
    <font>
      <sz val="9"/>
      <name val="Geneva"/>
    </font>
    <font>
      <i/>
      <sz val="10"/>
      <name val="Times New Roman"/>
      <family val="1"/>
    </font>
    <font>
      <b/>
      <sz val="9"/>
      <color indexed="81"/>
      <name val="Geneva"/>
    </font>
    <font>
      <sz val="9"/>
      <color indexed="81"/>
      <name val="Geneva"/>
    </font>
    <font>
      <b/>
      <sz val="9"/>
      <color indexed="81"/>
      <name val="Arial"/>
      <family val="2"/>
    </font>
    <font>
      <sz val="9"/>
      <color indexed="81"/>
      <name val="Arial"/>
      <family val="2"/>
    </font>
    <font>
      <b/>
      <sz val="9"/>
      <color indexed="81"/>
      <name val="Verdana"/>
      <family val="2"/>
    </font>
    <font>
      <sz val="9"/>
      <color indexed="81"/>
      <name val="Verdana"/>
      <family val="2"/>
    </font>
    <font>
      <b/>
      <sz val="10"/>
      <name val="Times New Roman"/>
      <family val="1"/>
    </font>
    <font>
      <vertAlign val="subscript"/>
      <sz val="10"/>
      <color theme="1"/>
      <name val="Times New Roman"/>
      <family val="1"/>
    </font>
    <font>
      <sz val="10"/>
      <name val="Verdana"/>
      <family val="2"/>
    </font>
  </fonts>
  <fills count="7">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s>
  <cellStyleXfs count="12">
    <xf numFmtId="0" fontId="0" fillId="0" borderId="0"/>
    <xf numFmtId="9" fontId="1" fillId="0" borderId="0" applyFont="0" applyFill="0" applyBorder="0" applyAlignment="0" applyProtection="0"/>
    <xf numFmtId="0" fontId="10" fillId="0" borderId="0"/>
    <xf numFmtId="0" fontId="11" fillId="0" borderId="0" applyAlignment="0"/>
    <xf numFmtId="0" fontId="12" fillId="0" borderId="0"/>
    <xf numFmtId="9" fontId="13" fillId="0" borderId="0" applyFont="0" applyFill="0" applyBorder="0" applyAlignment="0" applyProtection="0"/>
    <xf numFmtId="9" fontId="15" fillId="0" borderId="0" applyFont="0" applyFill="0" applyBorder="0" applyAlignment="0" applyProtection="0"/>
    <xf numFmtId="0" fontId="15" fillId="0" borderId="0"/>
    <xf numFmtId="44" fontId="15" fillId="0" borderId="0" applyFont="0" applyFill="0" applyBorder="0" applyAlignment="0" applyProtection="0"/>
    <xf numFmtId="0" fontId="15" fillId="0" borderId="0"/>
    <xf numFmtId="9" fontId="25" fillId="0" borderId="0" applyFont="0" applyFill="0" applyBorder="0" applyAlignment="0" applyProtection="0"/>
    <xf numFmtId="43" fontId="15" fillId="0" borderId="0" applyFont="0" applyFill="0" applyBorder="0" applyAlignment="0" applyProtection="0"/>
  </cellStyleXfs>
  <cellXfs count="118">
    <xf numFmtId="0" fontId="0" fillId="0" borderId="0" xfId="0"/>
    <xf numFmtId="0" fontId="6" fillId="0" borderId="0" xfId="0" applyFont="1" applyAlignment="1">
      <alignment vertical="center"/>
    </xf>
    <xf numFmtId="0" fontId="7" fillId="2" borderId="0" xfId="0" applyFont="1" applyFill="1" applyAlignment="1">
      <alignment horizontal="right" vertical="center"/>
    </xf>
    <xf numFmtId="0" fontId="6" fillId="0" borderId="0" xfId="0" applyFont="1" applyAlignment="1">
      <alignment horizontal="right" vertical="center"/>
    </xf>
    <xf numFmtId="0" fontId="9" fillId="3" borderId="0" xfId="0" applyFont="1" applyFill="1" applyAlignment="1">
      <alignment horizontal="right" vertical="center"/>
    </xf>
    <xf numFmtId="167" fontId="8" fillId="0" borderId="0" xfId="1" applyNumberFormat="1" applyFont="1" applyAlignment="1">
      <alignment horizontal="right" vertical="center"/>
    </xf>
    <xf numFmtId="0" fontId="6" fillId="4" borderId="0" xfId="0" applyFont="1" applyFill="1" applyAlignment="1">
      <alignment horizontal="right" vertical="center"/>
    </xf>
    <xf numFmtId="10" fontId="8" fillId="0" borderId="0" xfId="1" applyNumberFormat="1" applyFont="1" applyFill="1" applyBorder="1" applyAlignment="1">
      <alignment horizontal="right" vertical="center"/>
    </xf>
    <xf numFmtId="10" fontId="6" fillId="0" borderId="0" xfId="1" applyNumberFormat="1" applyFont="1" applyFill="1" applyBorder="1" applyAlignment="1">
      <alignment horizontal="right" vertical="center"/>
    </xf>
    <xf numFmtId="170" fontId="6" fillId="0" borderId="0" xfId="1" applyNumberFormat="1" applyFont="1" applyFill="1" applyBorder="1" applyAlignment="1">
      <alignment horizontal="right" vertical="center"/>
    </xf>
    <xf numFmtId="0" fontId="23" fillId="0" borderId="0" xfId="0" applyFont="1" applyAlignment="1">
      <alignment vertical="center"/>
    </xf>
    <xf numFmtId="0" fontId="14" fillId="0" borderId="0" xfId="0" applyFont="1" applyAlignment="1">
      <alignment vertical="center"/>
    </xf>
    <xf numFmtId="0" fontId="14" fillId="0" borderId="1" xfId="0" applyFont="1" applyBorder="1" applyAlignment="1">
      <alignment horizontal="center" vertical="center"/>
    </xf>
    <xf numFmtId="0" fontId="16" fillId="0" borderId="1" xfId="0" applyFont="1" applyBorder="1" applyAlignment="1">
      <alignment horizontal="left" vertical="center"/>
    </xf>
    <xf numFmtId="0" fontId="16" fillId="0" borderId="1" xfId="0" applyFont="1" applyBorder="1" applyAlignment="1">
      <alignment horizontal="centerContinuous" vertical="center"/>
    </xf>
    <xf numFmtId="0" fontId="16" fillId="0" borderId="1" xfId="0" applyFont="1" applyBorder="1" applyAlignment="1">
      <alignment vertical="center"/>
    </xf>
    <xf numFmtId="0" fontId="14" fillId="0" borderId="1" xfId="0" applyFont="1" applyBorder="1" applyAlignment="1">
      <alignment horizontal="centerContinuous" vertical="center"/>
    </xf>
    <xf numFmtId="10" fontId="14" fillId="0" borderId="1" xfId="0" applyNumberFormat="1" applyFont="1" applyBorder="1" applyAlignment="1">
      <alignment horizontal="center" vertical="center"/>
    </xf>
    <xf numFmtId="0" fontId="16" fillId="0" borderId="1" xfId="0" applyFont="1" applyBorder="1" applyAlignment="1">
      <alignment horizontal="center" vertical="center"/>
    </xf>
    <xf numFmtId="2" fontId="14" fillId="0" borderId="1" xfId="0" applyNumberFormat="1" applyFont="1" applyBorder="1" applyAlignment="1">
      <alignment horizontal="center" vertical="center"/>
    </xf>
    <xf numFmtId="0" fontId="6" fillId="0" borderId="0" xfId="0" applyFont="1"/>
    <xf numFmtId="0" fontId="14" fillId="0" borderId="3" xfId="0" applyFont="1" applyBorder="1" applyAlignment="1">
      <alignment horizontal="center" vertical="center"/>
    </xf>
    <xf numFmtId="0" fontId="16" fillId="0" borderId="3" xfId="0" applyFont="1" applyBorder="1" applyAlignment="1">
      <alignment vertical="center"/>
    </xf>
    <xf numFmtId="0" fontId="16" fillId="0" borderId="4" xfId="0" applyFont="1" applyBorder="1" applyAlignment="1">
      <alignment horizontal="center" vertical="center"/>
    </xf>
    <xf numFmtId="0" fontId="14" fillId="0" borderId="2" xfId="0" applyFont="1" applyBorder="1" applyAlignment="1">
      <alignment vertical="center"/>
    </xf>
    <xf numFmtId="0" fontId="14" fillId="0" borderId="5" xfId="0" applyFont="1" applyBorder="1" applyAlignment="1">
      <alignment horizontal="center" vertical="center"/>
    </xf>
    <xf numFmtId="10" fontId="14" fillId="0" borderId="5" xfId="0" applyNumberFormat="1" applyFont="1" applyBorder="1" applyAlignment="1">
      <alignment horizontal="center" vertical="center"/>
    </xf>
    <xf numFmtId="10" fontId="14" fillId="0" borderId="5" xfId="0" applyNumberFormat="1" applyFont="1" applyBorder="1" applyAlignment="1">
      <alignment vertical="center"/>
    </xf>
    <xf numFmtId="10" fontId="14" fillId="0" borderId="6" xfId="0" applyNumberFormat="1" applyFont="1" applyBorder="1" applyAlignment="1">
      <alignment horizontal="center" vertical="center"/>
    </xf>
    <xf numFmtId="0" fontId="6" fillId="0" borderId="2" xfId="0" applyFont="1" applyBorder="1" applyAlignment="1">
      <alignment vertical="center"/>
    </xf>
    <xf numFmtId="0" fontId="6" fillId="0" borderId="1" xfId="0" applyFont="1" applyBorder="1" applyAlignment="1">
      <alignment vertical="center"/>
    </xf>
    <xf numFmtId="10" fontId="6" fillId="0" borderId="1" xfId="0" applyNumberFormat="1" applyFont="1" applyBorder="1" applyAlignment="1">
      <alignment horizontal="center" vertical="center"/>
    </xf>
    <xf numFmtId="0" fontId="23" fillId="0" borderId="1" xfId="0" applyFont="1" applyBorder="1" applyAlignment="1">
      <alignment vertical="center"/>
    </xf>
    <xf numFmtId="10" fontId="23" fillId="0" borderId="1" xfId="0" applyNumberFormat="1" applyFont="1" applyBorder="1" applyAlignment="1">
      <alignment horizontal="center" vertical="center"/>
    </xf>
    <xf numFmtId="0" fontId="6" fillId="0" borderId="0" xfId="0" quotePrefix="1" applyFont="1" applyAlignment="1">
      <alignment horizontal="right" vertical="center"/>
    </xf>
    <xf numFmtId="0" fontId="6" fillId="3" borderId="0" xfId="0" applyFont="1" applyFill="1" applyAlignment="1">
      <alignment horizontal="right" vertical="center"/>
    </xf>
    <xf numFmtId="167" fontId="6" fillId="0" borderId="0" xfId="1" applyNumberFormat="1" applyFont="1" applyAlignment="1">
      <alignment horizontal="right" vertical="center"/>
    </xf>
    <xf numFmtId="10" fontId="6" fillId="0" borderId="0" xfId="6" applyNumberFormat="1" applyFont="1" applyFill="1" applyBorder="1" applyAlignment="1">
      <alignment horizontal="right" vertical="center"/>
    </xf>
    <xf numFmtId="10" fontId="6" fillId="5" borderId="0" xfId="6" applyNumberFormat="1" applyFont="1" applyFill="1" applyBorder="1" applyAlignment="1">
      <alignment horizontal="right" vertical="center"/>
    </xf>
    <xf numFmtId="167" fontId="2" fillId="0" borderId="0" xfId="1" applyNumberFormat="1" applyFont="1" applyFill="1" applyAlignment="1">
      <alignment horizontal="right" vertical="center"/>
    </xf>
    <xf numFmtId="167" fontId="8" fillId="0" borderId="0" xfId="1" applyNumberFormat="1" applyFont="1" applyFill="1" applyBorder="1" applyAlignment="1">
      <alignment horizontal="right" vertical="center"/>
    </xf>
    <xf numFmtId="0" fontId="6" fillId="6" borderId="0" xfId="0" applyFont="1" applyFill="1" applyAlignment="1">
      <alignment horizontal="right" vertical="center"/>
    </xf>
    <xf numFmtId="0" fontId="14" fillId="0" borderId="0" xfId="2" applyFont="1" applyAlignment="1">
      <alignment horizontal="right" vertical="center"/>
    </xf>
    <xf numFmtId="0" fontId="14" fillId="0" borderId="0" xfId="2" quotePrefix="1" applyFont="1" applyAlignment="1">
      <alignment horizontal="right" vertical="center"/>
    </xf>
    <xf numFmtId="10" fontId="6" fillId="0" borderId="0" xfId="0" applyNumberFormat="1" applyFont="1" applyAlignment="1">
      <alignment horizontal="right" vertical="center"/>
    </xf>
    <xf numFmtId="164" fontId="6" fillId="0" borderId="0" xfId="0" applyNumberFormat="1" applyFont="1" applyAlignment="1">
      <alignment horizontal="right" vertical="center"/>
    </xf>
    <xf numFmtId="0" fontId="14" fillId="0" borderId="0" xfId="0" applyFont="1" applyAlignment="1">
      <alignment horizontal="right" vertical="center"/>
    </xf>
    <xf numFmtId="176" fontId="14" fillId="0" borderId="0" xfId="0" applyNumberFormat="1" applyFont="1" applyAlignment="1">
      <alignment horizontal="right" vertical="center"/>
    </xf>
    <xf numFmtId="0" fontId="6" fillId="0" borderId="0" xfId="2" applyFont="1" applyAlignment="1">
      <alignment horizontal="right" vertical="center"/>
    </xf>
    <xf numFmtId="169" fontId="6" fillId="0" borderId="0" xfId="0" applyNumberFormat="1" applyFont="1" applyAlignment="1">
      <alignment horizontal="right" vertical="center"/>
    </xf>
    <xf numFmtId="166" fontId="6" fillId="0" borderId="0" xfId="0" applyNumberFormat="1" applyFont="1" applyAlignment="1">
      <alignment horizontal="right" vertical="center"/>
    </xf>
    <xf numFmtId="171" fontId="14" fillId="0" borderId="0" xfId="2" applyNumberFormat="1" applyFont="1" applyAlignment="1">
      <alignment horizontal="right" vertical="center"/>
    </xf>
    <xf numFmtId="10" fontId="6" fillId="0" borderId="0" xfId="2" applyNumberFormat="1" applyFont="1" applyAlignment="1">
      <alignment horizontal="right" vertical="center"/>
    </xf>
    <xf numFmtId="168" fontId="6" fillId="0" borderId="0" xfId="2" applyNumberFormat="1" applyFont="1" applyAlignment="1">
      <alignment horizontal="right" vertical="center"/>
    </xf>
    <xf numFmtId="2" fontId="6" fillId="0" borderId="0" xfId="2" applyNumberFormat="1" applyFont="1" applyAlignment="1">
      <alignment horizontal="right" vertical="center"/>
    </xf>
    <xf numFmtId="170" fontId="2" fillId="0" borderId="0" xfId="0" applyNumberFormat="1" applyFont="1" applyAlignment="1">
      <alignment horizontal="right" vertical="center"/>
    </xf>
    <xf numFmtId="10" fontId="8" fillId="0" borderId="0" xfId="0" applyNumberFormat="1" applyFont="1" applyAlignment="1">
      <alignment horizontal="right" vertical="center"/>
    </xf>
    <xf numFmtId="164" fontId="8" fillId="0" borderId="0" xfId="0" applyNumberFormat="1" applyFont="1" applyAlignment="1">
      <alignment horizontal="right" vertical="center"/>
    </xf>
    <xf numFmtId="169" fontId="8" fillId="0" borderId="0" xfId="0" applyNumberFormat="1" applyFont="1" applyAlignment="1">
      <alignment horizontal="right" vertical="center"/>
    </xf>
    <xf numFmtId="166" fontId="8" fillId="0" borderId="0" xfId="0" applyNumberFormat="1" applyFont="1" applyAlignment="1">
      <alignment horizontal="right" vertical="center"/>
    </xf>
    <xf numFmtId="0" fontId="8" fillId="0" borderId="0" xfId="0" applyFont="1" applyAlignment="1">
      <alignment horizontal="right" vertical="center"/>
    </xf>
    <xf numFmtId="10" fontId="8" fillId="0" borderId="0" xfId="2" applyNumberFormat="1" applyFont="1" applyAlignment="1">
      <alignment horizontal="right" vertical="center"/>
    </xf>
    <xf numFmtId="168" fontId="8" fillId="0" borderId="0" xfId="2" applyNumberFormat="1" applyFont="1" applyAlignment="1">
      <alignment horizontal="right" vertical="center"/>
    </xf>
    <xf numFmtId="0" fontId="8" fillId="0" borderId="0" xfId="2" applyFont="1" applyAlignment="1">
      <alignment horizontal="right" vertical="center"/>
    </xf>
    <xf numFmtId="2" fontId="8" fillId="0" borderId="0" xfId="2" applyNumberFormat="1" applyFont="1" applyAlignment="1">
      <alignment horizontal="right" vertical="center"/>
    </xf>
    <xf numFmtId="165" fontId="8" fillId="0" borderId="0" xfId="0" applyNumberFormat="1" applyFont="1" applyAlignment="1">
      <alignment horizontal="right" vertical="center"/>
    </xf>
    <xf numFmtId="0" fontId="8" fillId="0" borderId="0" xfId="0" applyFont="1" applyAlignment="1">
      <alignment horizontal="right" vertical="center" wrapText="1"/>
    </xf>
    <xf numFmtId="0" fontId="2" fillId="0" borderId="0" xfId="0" applyFont="1" applyAlignment="1">
      <alignment horizontal="right" vertical="center"/>
    </xf>
    <xf numFmtId="3" fontId="6" fillId="0" borderId="0" xfId="2" applyNumberFormat="1" applyFont="1" applyAlignment="1">
      <alignment horizontal="right" vertical="center"/>
    </xf>
    <xf numFmtId="164" fontId="3" fillId="2" borderId="0" xfId="0" applyNumberFormat="1" applyFont="1" applyFill="1" applyAlignment="1">
      <alignment horizontal="right" vertical="center"/>
    </xf>
    <xf numFmtId="164" fontId="6" fillId="0" borderId="0" xfId="2" applyNumberFormat="1" applyFont="1" applyAlignment="1">
      <alignment horizontal="right" vertical="center"/>
    </xf>
    <xf numFmtId="167" fontId="6" fillId="0" borderId="0" xfId="0" applyNumberFormat="1" applyFont="1" applyAlignment="1">
      <alignment horizontal="right" vertical="center"/>
    </xf>
    <xf numFmtId="10" fontId="6" fillId="0" borderId="0" xfId="1" applyNumberFormat="1" applyFont="1" applyFill="1" applyAlignment="1">
      <alignment horizontal="right" vertical="center"/>
    </xf>
    <xf numFmtId="164" fontId="14" fillId="0" borderId="0" xfId="2" applyNumberFormat="1" applyFont="1" applyAlignment="1">
      <alignment horizontal="right" vertical="center"/>
    </xf>
    <xf numFmtId="167" fontId="14" fillId="0" borderId="0" xfId="1" applyNumberFormat="1" applyFont="1" applyFill="1" applyBorder="1" applyAlignment="1">
      <alignment horizontal="right" vertical="center"/>
    </xf>
    <xf numFmtId="164" fontId="14" fillId="0" borderId="0" xfId="0" applyNumberFormat="1" applyFont="1" applyAlignment="1">
      <alignment horizontal="right" vertical="center"/>
    </xf>
    <xf numFmtId="167" fontId="14" fillId="0" borderId="0" xfId="0" applyNumberFormat="1" applyFont="1" applyAlignment="1">
      <alignment horizontal="right" vertical="center"/>
    </xf>
    <xf numFmtId="0" fontId="2" fillId="5" borderId="0" xfId="0" applyFont="1" applyFill="1" applyAlignment="1">
      <alignment horizontal="right" vertical="center"/>
    </xf>
    <xf numFmtId="167" fontId="6" fillId="5" borderId="0" xfId="0" applyNumberFormat="1" applyFont="1" applyFill="1" applyAlignment="1">
      <alignment horizontal="right" vertical="center"/>
    </xf>
    <xf numFmtId="10" fontId="6" fillId="0" borderId="0" xfId="1" applyNumberFormat="1" applyFont="1" applyAlignment="1">
      <alignment horizontal="right" vertical="center"/>
    </xf>
    <xf numFmtId="164" fontId="6" fillId="3" borderId="0" xfId="2" applyNumberFormat="1" applyFont="1" applyFill="1" applyAlignment="1">
      <alignment horizontal="right" vertical="center"/>
    </xf>
    <xf numFmtId="164" fontId="6" fillId="6" borderId="0" xfId="2" applyNumberFormat="1" applyFont="1" applyFill="1" applyAlignment="1">
      <alignment horizontal="right" vertical="center"/>
    </xf>
    <xf numFmtId="10" fontId="6" fillId="3" borderId="0" xfId="1" applyNumberFormat="1" applyFont="1" applyFill="1" applyBorder="1" applyAlignment="1">
      <alignment horizontal="right" vertical="center"/>
    </xf>
    <xf numFmtId="10" fontId="6" fillId="6" borderId="0" xfId="1" applyNumberFormat="1" applyFont="1" applyFill="1" applyBorder="1" applyAlignment="1">
      <alignment horizontal="right" vertical="center"/>
    </xf>
    <xf numFmtId="174" fontId="6" fillId="3" borderId="0" xfId="1" applyNumberFormat="1" applyFont="1" applyFill="1" applyBorder="1" applyAlignment="1">
      <alignment horizontal="right" vertical="center"/>
    </xf>
    <xf numFmtId="174" fontId="6" fillId="6" borderId="0" xfId="1" applyNumberFormat="1" applyFont="1" applyFill="1" applyBorder="1" applyAlignment="1">
      <alignment horizontal="right" vertical="center"/>
    </xf>
    <xf numFmtId="174" fontId="6" fillId="0" borderId="0" xfId="1" applyNumberFormat="1" applyFont="1" applyFill="1" applyBorder="1" applyAlignment="1">
      <alignment horizontal="right" vertical="center"/>
    </xf>
    <xf numFmtId="10" fontId="6" fillId="3" borderId="0" xfId="1" applyNumberFormat="1" applyFont="1" applyFill="1" applyAlignment="1">
      <alignment horizontal="right" vertical="center"/>
    </xf>
    <xf numFmtId="10" fontId="6" fillId="6" borderId="0" xfId="1" applyNumberFormat="1" applyFont="1" applyFill="1" applyAlignment="1">
      <alignment horizontal="right" vertical="center"/>
    </xf>
    <xf numFmtId="4" fontId="6" fillId="0" borderId="0" xfId="2" applyNumberFormat="1" applyFont="1" applyAlignment="1">
      <alignment horizontal="right" vertical="center"/>
    </xf>
    <xf numFmtId="4" fontId="6" fillId="6" borderId="0" xfId="2" applyNumberFormat="1" applyFont="1" applyFill="1" applyAlignment="1">
      <alignment horizontal="right" vertical="center"/>
    </xf>
    <xf numFmtId="10" fontId="14" fillId="0" borderId="0" xfId="6" applyNumberFormat="1" applyFont="1" applyFill="1" applyBorder="1" applyAlignment="1">
      <alignment horizontal="right" vertical="center"/>
    </xf>
    <xf numFmtId="168" fontId="14" fillId="0" borderId="0" xfId="2" applyNumberFormat="1" applyFont="1" applyAlignment="1">
      <alignment horizontal="right" vertical="center"/>
    </xf>
    <xf numFmtId="167" fontId="6" fillId="0" borderId="0" xfId="1" applyNumberFormat="1" applyFont="1" applyFill="1" applyBorder="1" applyAlignment="1">
      <alignment horizontal="right" vertical="center"/>
    </xf>
    <xf numFmtId="170" fontId="6" fillId="0" borderId="0" xfId="2" applyNumberFormat="1" applyFont="1" applyAlignment="1">
      <alignment horizontal="right" vertical="center"/>
    </xf>
    <xf numFmtId="10" fontId="6" fillId="0" borderId="0" xfId="5" applyNumberFormat="1" applyFont="1" applyFill="1" applyBorder="1" applyAlignment="1">
      <alignment horizontal="right" vertical="center"/>
    </xf>
    <xf numFmtId="170" fontId="6" fillId="0" borderId="0" xfId="0" applyNumberFormat="1" applyFont="1" applyAlignment="1">
      <alignment horizontal="right" vertical="center"/>
    </xf>
    <xf numFmtId="173" fontId="14" fillId="0" borderId="0" xfId="2" applyNumberFormat="1" applyFont="1" applyAlignment="1">
      <alignment horizontal="right" vertical="center"/>
    </xf>
    <xf numFmtId="0" fontId="6" fillId="0" borderId="0" xfId="6" applyNumberFormat="1" applyFont="1" applyFill="1" applyBorder="1" applyAlignment="1">
      <alignment horizontal="right" vertical="center"/>
    </xf>
    <xf numFmtId="0" fontId="6" fillId="4" borderId="0" xfId="0" quotePrefix="1" applyFont="1" applyFill="1" applyAlignment="1">
      <alignment horizontal="right" vertical="center"/>
    </xf>
    <xf numFmtId="164" fontId="14" fillId="0" borderId="0" xfId="6" applyNumberFormat="1" applyFont="1" applyFill="1" applyBorder="1" applyAlignment="1">
      <alignment horizontal="right" vertical="center"/>
    </xf>
    <xf numFmtId="175" fontId="6" fillId="0" borderId="0" xfId="2" applyNumberFormat="1" applyFont="1" applyAlignment="1">
      <alignment horizontal="right" vertical="center"/>
    </xf>
    <xf numFmtId="172" fontId="6" fillId="0" borderId="0" xfId="2" applyNumberFormat="1" applyFont="1" applyAlignment="1">
      <alignment horizontal="right" vertical="center"/>
    </xf>
    <xf numFmtId="1" fontId="14" fillId="0" borderId="0" xfId="2" applyNumberFormat="1" applyFont="1" applyAlignment="1">
      <alignment horizontal="right" vertical="center"/>
    </xf>
    <xf numFmtId="10" fontId="14" fillId="0" borderId="0" xfId="1" applyNumberFormat="1" applyFont="1" applyFill="1" applyBorder="1" applyAlignment="1">
      <alignment horizontal="right" vertical="center"/>
    </xf>
    <xf numFmtId="171" fontId="6" fillId="0" borderId="0" xfId="2" applyNumberFormat="1" applyFont="1" applyAlignment="1">
      <alignment horizontal="right" vertical="center"/>
    </xf>
    <xf numFmtId="0" fontId="9" fillId="2" borderId="0" xfId="0" applyFont="1" applyFill="1" applyAlignment="1">
      <alignment horizontal="right" vertical="center"/>
    </xf>
    <xf numFmtId="164" fontId="8" fillId="0" borderId="0" xfId="2" applyNumberFormat="1" applyFont="1" applyAlignment="1">
      <alignment horizontal="right" vertical="center"/>
    </xf>
    <xf numFmtId="3" fontId="8" fillId="0" borderId="0" xfId="2" applyNumberFormat="1" applyFont="1" applyAlignment="1">
      <alignment horizontal="right" vertical="center"/>
    </xf>
    <xf numFmtId="10" fontId="2" fillId="0" borderId="0" xfId="1" applyNumberFormat="1" applyFont="1" applyFill="1" applyBorder="1" applyAlignment="1">
      <alignment horizontal="right" vertical="center"/>
    </xf>
    <xf numFmtId="2" fontId="8" fillId="0" borderId="0" xfId="0" applyNumberFormat="1" applyFont="1" applyAlignment="1">
      <alignment horizontal="right" vertical="center"/>
    </xf>
    <xf numFmtId="10" fontId="6" fillId="5" borderId="0" xfId="1" applyNumberFormat="1" applyFont="1" applyFill="1" applyBorder="1" applyAlignment="1">
      <alignment horizontal="right" vertical="center"/>
    </xf>
    <xf numFmtId="0" fontId="6" fillId="5" borderId="0" xfId="6" applyNumberFormat="1" applyFont="1" applyFill="1" applyBorder="1" applyAlignment="1">
      <alignment horizontal="right" vertical="center"/>
    </xf>
    <xf numFmtId="0" fontId="2" fillId="0" borderId="0" xfId="2" applyFont="1" applyAlignment="1">
      <alignment horizontal="right" vertical="center"/>
    </xf>
    <xf numFmtId="0" fontId="8" fillId="0" borderId="0" xfId="6" applyNumberFormat="1" applyFont="1" applyFill="1" applyBorder="1" applyAlignment="1">
      <alignment horizontal="right" vertical="center"/>
    </xf>
    <xf numFmtId="167" fontId="8" fillId="0" borderId="0" xfId="1" applyNumberFormat="1" applyFont="1" applyFill="1" applyAlignment="1">
      <alignment horizontal="right" vertical="center"/>
    </xf>
    <xf numFmtId="171" fontId="8" fillId="0" borderId="0" xfId="2" applyNumberFormat="1" applyFont="1" applyAlignment="1">
      <alignment horizontal="right" vertical="center"/>
    </xf>
    <xf numFmtId="10" fontId="8" fillId="0" borderId="0" xfId="6" applyNumberFormat="1" applyFont="1" applyFill="1" applyBorder="1" applyAlignment="1">
      <alignment horizontal="right" vertical="center"/>
    </xf>
  </cellXfs>
  <cellStyles count="12">
    <cellStyle name="Comma 2" xfId="11" xr:uid="{00000000-0005-0000-0000-000000000000}"/>
    <cellStyle name="Currency 2" xfId="8" xr:uid="{00000000-0005-0000-0000-000001000000}"/>
    <cellStyle name="Invisible" xfId="3" xr:uid="{00000000-0005-0000-0000-000002000000}"/>
    <cellStyle name="Normal" xfId="0" builtinId="0"/>
    <cellStyle name="Normal 2" xfId="2" xr:uid="{00000000-0005-0000-0000-000004000000}"/>
    <cellStyle name="Normal 2 2" xfId="9" xr:uid="{00000000-0005-0000-0000-000005000000}"/>
    <cellStyle name="Normal 3" xfId="4" xr:uid="{00000000-0005-0000-0000-000006000000}"/>
    <cellStyle name="Normal 4" xfId="7" xr:uid="{00000000-0005-0000-0000-000007000000}"/>
    <cellStyle name="Percent" xfId="1" builtinId="5"/>
    <cellStyle name="Percent 2" xfId="5" xr:uid="{00000000-0005-0000-0000-000009000000}"/>
    <cellStyle name="Percent 2 2" xfId="6" xr:uid="{00000000-0005-0000-0000-00000A000000}"/>
    <cellStyle name="Percent 2 3" xfId="10"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FF0000"/>
  </sheetPr>
  <dimension ref="A1:I998"/>
  <sheetViews>
    <sheetView showGridLines="0" tabSelected="1" zoomScale="85" zoomScaleNormal="85" workbookViewId="0">
      <selection activeCell="E21" sqref="E21"/>
    </sheetView>
  </sheetViews>
  <sheetFormatPr baseColWidth="10" defaultColWidth="9.1640625" defaultRowHeight="15" customHeight="1" x14ac:dyDescent="0.2"/>
  <cols>
    <col min="1" max="1" width="54.33203125" style="3" bestFit="1" customWidth="1"/>
    <col min="2" max="9" width="9.1640625" style="3"/>
    <col min="10" max="16384" width="9.1640625" style="1"/>
  </cols>
  <sheetData>
    <row r="1" spans="1:9" ht="15" customHeight="1" x14ac:dyDescent="0.2">
      <c r="A1" s="2" t="s">
        <v>512</v>
      </c>
      <c r="B1" s="65">
        <v>42091</v>
      </c>
      <c r="C1" s="65">
        <v>41999</v>
      </c>
      <c r="D1" s="65">
        <v>41908</v>
      </c>
      <c r="E1" s="65">
        <v>41817</v>
      </c>
      <c r="F1" s="65">
        <v>41726</v>
      </c>
      <c r="G1" s="65">
        <v>41635</v>
      </c>
      <c r="H1" s="65">
        <v>41544</v>
      </c>
      <c r="I1" s="65">
        <v>41453</v>
      </c>
    </row>
    <row r="2" spans="1:9" ht="15" customHeight="1" x14ac:dyDescent="0.2">
      <c r="A2" s="2" t="s">
        <v>1</v>
      </c>
      <c r="B2" s="66" t="s">
        <v>12</v>
      </c>
      <c r="C2" s="66" t="s">
        <v>12</v>
      </c>
      <c r="D2" s="66" t="s">
        <v>12</v>
      </c>
      <c r="E2" s="66" t="s">
        <v>12</v>
      </c>
      <c r="F2" s="66" t="s">
        <v>12</v>
      </c>
      <c r="G2" s="66" t="s">
        <v>12</v>
      </c>
      <c r="H2" s="66" t="s">
        <v>12</v>
      </c>
      <c r="I2" s="66" t="s">
        <v>12</v>
      </c>
    </row>
    <row r="4" spans="1:9" ht="15" customHeight="1" x14ac:dyDescent="0.2">
      <c r="A4" s="2" t="s">
        <v>9</v>
      </c>
      <c r="B4" s="66" t="s">
        <v>13</v>
      </c>
      <c r="C4" s="66" t="s">
        <v>13</v>
      </c>
      <c r="D4" s="66" t="s">
        <v>13</v>
      </c>
      <c r="E4" s="66" t="s">
        <v>13</v>
      </c>
      <c r="F4" s="66" t="s">
        <v>13</v>
      </c>
      <c r="G4" s="66" t="s">
        <v>13</v>
      </c>
      <c r="H4" s="66" t="s">
        <v>13</v>
      </c>
      <c r="I4" s="66" t="s">
        <v>13</v>
      </c>
    </row>
    <row r="5" spans="1:9" ht="15" customHeight="1" x14ac:dyDescent="0.2">
      <c r="A5" s="2" t="s">
        <v>10</v>
      </c>
      <c r="B5" s="66" t="s">
        <v>14</v>
      </c>
      <c r="C5" s="66" t="s">
        <v>14</v>
      </c>
      <c r="D5" s="66" t="s">
        <v>14</v>
      </c>
      <c r="E5" s="66" t="s">
        <v>14</v>
      </c>
      <c r="F5" s="66" t="s">
        <v>14</v>
      </c>
      <c r="G5" s="66" t="s">
        <v>14</v>
      </c>
      <c r="H5" s="66" t="s">
        <v>14</v>
      </c>
      <c r="I5" s="66" t="s">
        <v>14</v>
      </c>
    </row>
    <row r="6" spans="1:9" ht="15" customHeight="1" x14ac:dyDescent="0.2">
      <c r="A6" s="2" t="s">
        <v>11</v>
      </c>
      <c r="B6" s="66" t="s">
        <v>14</v>
      </c>
      <c r="C6" s="66" t="s">
        <v>14</v>
      </c>
      <c r="D6" s="66" t="s">
        <v>14</v>
      </c>
      <c r="E6" s="66" t="s">
        <v>14</v>
      </c>
      <c r="F6" s="66" t="s">
        <v>14</v>
      </c>
      <c r="G6" s="66" t="s">
        <v>14</v>
      </c>
      <c r="H6" s="66" t="s">
        <v>14</v>
      </c>
      <c r="I6" s="66" t="s">
        <v>14</v>
      </c>
    </row>
    <row r="7" spans="1:9" ht="15" customHeight="1" x14ac:dyDescent="0.2">
      <c r="A7" s="2" t="s">
        <v>0</v>
      </c>
      <c r="B7" s="66">
        <v>2015</v>
      </c>
      <c r="C7" s="66">
        <v>2014</v>
      </c>
      <c r="D7" s="66">
        <v>2014</v>
      </c>
      <c r="E7" s="66">
        <v>2014</v>
      </c>
      <c r="F7" s="66">
        <v>2014</v>
      </c>
      <c r="G7" s="66">
        <v>2013</v>
      </c>
      <c r="H7" s="66">
        <v>2013</v>
      </c>
      <c r="I7" s="66">
        <v>2013</v>
      </c>
    </row>
    <row r="9" spans="1:9" ht="15" customHeight="1" x14ac:dyDescent="0.2">
      <c r="A9" s="2" t="s">
        <v>497</v>
      </c>
      <c r="B9" s="67" t="s">
        <v>388</v>
      </c>
      <c r="C9" s="67" t="s">
        <v>388</v>
      </c>
      <c r="D9" s="67" t="s">
        <v>388</v>
      </c>
      <c r="E9" s="67" t="s">
        <v>388</v>
      </c>
      <c r="F9" s="67" t="s">
        <v>388</v>
      </c>
      <c r="G9" s="67" t="s">
        <v>388</v>
      </c>
      <c r="H9" s="67" t="s">
        <v>388</v>
      </c>
      <c r="I9" s="67" t="s">
        <v>388</v>
      </c>
    </row>
    <row r="11" spans="1:9" ht="15" customHeight="1" x14ac:dyDescent="0.2">
      <c r="A11" s="2" t="s">
        <v>376</v>
      </c>
      <c r="B11" s="37">
        <f t="shared" ref="B11:I11" ca="1" si="0">IF(B12=0,#N/A,B13/B12)</f>
        <v>0.9438111246924028</v>
      </c>
      <c r="C11" s="37">
        <f t="shared" ca="1" si="0"/>
        <v>1.0644273253468428</v>
      </c>
      <c r="D11" s="37">
        <f t="shared" ca="1" si="0"/>
        <v>0.93947649581844384</v>
      </c>
      <c r="E11" s="37">
        <f t="shared" ca="1" si="0"/>
        <v>0.94726886166582824</v>
      </c>
      <c r="F11" s="37">
        <f t="shared" ca="1" si="0"/>
        <v>0.80652807625270451</v>
      </c>
      <c r="G11" s="37">
        <f t="shared" ca="1" si="0"/>
        <v>0.80568794218047002</v>
      </c>
      <c r="H11" s="37">
        <f t="shared" ca="1" si="0"/>
        <v>0.8235015521741943</v>
      </c>
      <c r="I11" s="37">
        <f t="shared" ca="1" si="0"/>
        <v>0.80096289818353139</v>
      </c>
    </row>
    <row r="12" spans="1:9" ht="15" customHeight="1" x14ac:dyDescent="0.2">
      <c r="A12" s="2" t="s">
        <v>15</v>
      </c>
      <c r="B12" s="53">
        <f t="shared" ref="B12:I12" ca="1" si="1">IF(B14=0,#N/A,B23/B14)</f>
        <v>130.58756860931086</v>
      </c>
      <c r="C12" s="53">
        <f t="shared" ca="1" si="1"/>
        <v>121.27648071974865</v>
      </c>
      <c r="D12" s="53">
        <f t="shared" ca="1" si="1"/>
        <v>107.24057541453404</v>
      </c>
      <c r="E12" s="53">
        <f t="shared" ca="1" si="1"/>
        <v>100.28831712354283</v>
      </c>
      <c r="F12" s="53">
        <f t="shared" ca="1" si="1"/>
        <v>100.07622560308241</v>
      </c>
      <c r="G12" s="53">
        <f t="shared" ca="1" si="1"/>
        <v>100.18058045630539</v>
      </c>
      <c r="H12" s="53">
        <f t="shared" ca="1" si="1"/>
        <v>86.737628168382898</v>
      </c>
      <c r="I12" s="53">
        <f t="shared" ca="1" si="1"/>
        <v>90.241383419782167</v>
      </c>
    </row>
    <row r="13" spans="1:9" ht="15" customHeight="1" x14ac:dyDescent="0.2">
      <c r="A13" s="2" t="s">
        <v>16</v>
      </c>
      <c r="B13" s="53">
        <f t="shared" ref="B13:I13" si="2">B604</f>
        <v>123.25</v>
      </c>
      <c r="C13" s="53">
        <f t="shared" si="2"/>
        <v>129.09</v>
      </c>
      <c r="D13" s="53">
        <f t="shared" si="2"/>
        <v>100.75</v>
      </c>
      <c r="E13" s="53">
        <f t="shared" si="2"/>
        <v>95</v>
      </c>
      <c r="F13" s="53">
        <f t="shared" si="2"/>
        <v>80.714285714285708</v>
      </c>
      <c r="G13" s="53">
        <f t="shared" si="2"/>
        <v>80.714285714285708</v>
      </c>
      <c r="H13" s="53">
        <f t="shared" si="2"/>
        <v>71.428571428571431</v>
      </c>
      <c r="I13" s="53">
        <f t="shared" si="2"/>
        <v>72.28</v>
      </c>
    </row>
    <row r="14" spans="1:9" ht="15" customHeight="1" x14ac:dyDescent="0.2">
      <c r="A14" s="2" t="s">
        <v>17</v>
      </c>
      <c r="B14" s="68">
        <f t="shared" ref="B14:I14" si="3">B603</f>
        <v>5762</v>
      </c>
      <c r="C14" s="68">
        <f t="shared" si="3"/>
        <v>5824.75</v>
      </c>
      <c r="D14" s="68">
        <f t="shared" si="3"/>
        <v>5866</v>
      </c>
      <c r="E14" s="68">
        <f t="shared" si="3"/>
        <v>6012.6350000000002</v>
      </c>
      <c r="F14" s="68">
        <f t="shared" si="3"/>
        <v>6029.66</v>
      </c>
      <c r="G14" s="68">
        <f t="shared" si="3"/>
        <v>6029.66</v>
      </c>
      <c r="H14" s="68">
        <f t="shared" si="3"/>
        <v>6359.5</v>
      </c>
      <c r="I14" s="68">
        <f t="shared" si="3"/>
        <v>6359</v>
      </c>
    </row>
    <row r="16" spans="1:9" ht="15" customHeight="1" x14ac:dyDescent="0.2">
      <c r="A16" s="2" t="s">
        <v>136</v>
      </c>
      <c r="B16" s="67" t="s">
        <v>137</v>
      </c>
      <c r="C16" s="67" t="s">
        <v>137</v>
      </c>
      <c r="D16" s="67" t="s">
        <v>137</v>
      </c>
      <c r="E16" s="67" t="s">
        <v>137</v>
      </c>
      <c r="F16" s="67" t="s">
        <v>137</v>
      </c>
      <c r="G16" s="67" t="s">
        <v>137</v>
      </c>
      <c r="H16" s="67" t="s">
        <v>137</v>
      </c>
      <c r="I16" s="67" t="s">
        <v>137</v>
      </c>
    </row>
    <row r="17" spans="1:9" ht="15" customHeight="1" x14ac:dyDescent="0.2">
      <c r="A17" s="2" t="s">
        <v>65</v>
      </c>
      <c r="B17" s="67" t="s">
        <v>505</v>
      </c>
      <c r="C17" s="67" t="s">
        <v>505</v>
      </c>
      <c r="D17" s="67" t="s">
        <v>505</v>
      </c>
      <c r="E17" s="67" t="s">
        <v>505</v>
      </c>
      <c r="F17" s="67" t="s">
        <v>505</v>
      </c>
      <c r="G17" s="67" t="s">
        <v>505</v>
      </c>
      <c r="H17" s="67" t="s">
        <v>505</v>
      </c>
      <c r="I17" s="67" t="s">
        <v>505</v>
      </c>
    </row>
    <row r="18" spans="1:9" ht="15" customHeight="1" x14ac:dyDescent="0.2">
      <c r="A18" s="2" t="s">
        <v>38</v>
      </c>
      <c r="B18" s="67" t="s">
        <v>505</v>
      </c>
      <c r="C18" s="67" t="s">
        <v>505</v>
      </c>
      <c r="D18" s="67" t="s">
        <v>505</v>
      </c>
      <c r="E18" s="67" t="s">
        <v>505</v>
      </c>
      <c r="F18" s="67" t="s">
        <v>505</v>
      </c>
      <c r="G18" s="67" t="s">
        <v>505</v>
      </c>
      <c r="H18" s="67" t="s">
        <v>505</v>
      </c>
      <c r="I18" s="67" t="s">
        <v>505</v>
      </c>
    </row>
    <row r="19" spans="1:9" ht="15" customHeight="1" x14ac:dyDescent="0.2">
      <c r="B19" s="66"/>
      <c r="C19" s="66"/>
      <c r="D19" s="66"/>
      <c r="E19" s="66"/>
      <c r="F19" s="66"/>
      <c r="G19" s="66"/>
      <c r="H19" s="66"/>
      <c r="I19" s="66"/>
    </row>
    <row r="20" spans="1:9" ht="15" customHeight="1" x14ac:dyDescent="0.2">
      <c r="A20" s="2" t="s">
        <v>490</v>
      </c>
      <c r="B20" s="69"/>
      <c r="C20" s="69"/>
      <c r="D20" s="69"/>
      <c r="E20" s="69"/>
      <c r="F20" s="69"/>
      <c r="G20" s="69"/>
      <c r="H20" s="69"/>
      <c r="I20" s="69"/>
    </row>
    <row r="21" spans="1:9" ht="15" customHeight="1" x14ac:dyDescent="0.2">
      <c r="B21" s="50"/>
      <c r="C21" s="50"/>
      <c r="D21" s="50"/>
      <c r="E21" s="50"/>
      <c r="F21" s="50"/>
      <c r="G21" s="50"/>
      <c r="H21" s="50"/>
      <c r="I21" s="50"/>
    </row>
    <row r="22" spans="1:9" ht="15" customHeight="1" x14ac:dyDescent="0.2">
      <c r="A22" s="6" t="s">
        <v>375</v>
      </c>
      <c r="B22" s="6"/>
      <c r="C22" s="6"/>
      <c r="D22" s="6"/>
      <c r="E22" s="6"/>
      <c r="F22" s="6"/>
      <c r="G22" s="6"/>
      <c r="H22" s="6"/>
      <c r="I22" s="6"/>
    </row>
    <row r="23" spans="1:9" ht="15" customHeight="1" x14ac:dyDescent="0.2">
      <c r="A23" s="42" t="s">
        <v>390</v>
      </c>
      <c r="B23" s="70">
        <f t="shared" ref="B23:I23" ca="1" si="4">+B27-B24-B25</f>
        <v>752445.57032684912</v>
      </c>
      <c r="C23" s="70">
        <f t="shared" ca="1" si="4"/>
        <v>706405.18107235595</v>
      </c>
      <c r="D23" s="70">
        <f t="shared" ca="1" si="4"/>
        <v>629073.21538165666</v>
      </c>
      <c r="E23" s="70">
        <f t="shared" ca="1" si="4"/>
        <v>602997.04562811297</v>
      </c>
      <c r="F23" s="70">
        <f t="shared" ca="1" si="4"/>
        <v>603425.61446988187</v>
      </c>
      <c r="G23" s="70">
        <f t="shared" ca="1" si="4"/>
        <v>604054.83875416638</v>
      </c>
      <c r="H23" s="70">
        <f t="shared" ca="1" si="4"/>
        <v>551607.94633683108</v>
      </c>
      <c r="I23" s="70">
        <f t="shared" ca="1" si="4"/>
        <v>573844.9571663948</v>
      </c>
    </row>
    <row r="24" spans="1:9" ht="15" customHeight="1" x14ac:dyDescent="0.2">
      <c r="A24" s="42" t="s">
        <v>373</v>
      </c>
      <c r="B24" s="70">
        <f t="shared" ref="B24:I24" ca="1" si="5">B613</f>
        <v>243.77789810670859</v>
      </c>
      <c r="C24" s="70">
        <f t="shared" ca="1" si="5"/>
        <v>388.43255055377296</v>
      </c>
      <c r="D24" s="70">
        <f t="shared" ca="1" si="5"/>
        <v>533.55452659223045</v>
      </c>
      <c r="E24" s="70">
        <f t="shared" ca="1" si="5"/>
        <v>2149.5190683715878</v>
      </c>
      <c r="F24" s="70">
        <f t="shared" ca="1" si="5"/>
        <v>4.3349131307109214</v>
      </c>
      <c r="G24" s="70">
        <f t="shared" ca="1" si="5"/>
        <v>4.3401343419853813</v>
      </c>
      <c r="H24" s="70">
        <f t="shared" ca="1" si="5"/>
        <v>1.8403728921915363</v>
      </c>
      <c r="I24" s="70">
        <f t="shared" ca="1" si="5"/>
        <v>12.820259061110194</v>
      </c>
    </row>
    <row r="25" spans="1:9" ht="15" customHeight="1" x14ac:dyDescent="0.2">
      <c r="A25" s="42" t="s">
        <v>374</v>
      </c>
      <c r="B25" s="70">
        <f t="shared" ref="B25:I25" si="6">B680</f>
        <v>0</v>
      </c>
      <c r="C25" s="70">
        <f t="shared" si="6"/>
        <v>0</v>
      </c>
      <c r="D25" s="70">
        <f t="shared" si="6"/>
        <v>0</v>
      </c>
      <c r="E25" s="70">
        <f t="shared" si="6"/>
        <v>0</v>
      </c>
      <c r="F25" s="70">
        <f t="shared" si="6"/>
        <v>0</v>
      </c>
      <c r="G25" s="70">
        <f t="shared" si="6"/>
        <v>0</v>
      </c>
      <c r="H25" s="70">
        <f t="shared" si="6"/>
        <v>0</v>
      </c>
      <c r="I25" s="70">
        <f t="shared" si="6"/>
        <v>0</v>
      </c>
    </row>
    <row r="26" spans="1:9" ht="15" customHeight="1" x14ac:dyDescent="0.2">
      <c r="A26" s="42"/>
    </row>
    <row r="27" spans="1:9" ht="15" customHeight="1" x14ac:dyDescent="0.2">
      <c r="A27" s="42" t="s">
        <v>372</v>
      </c>
      <c r="B27" s="70">
        <f t="shared" ref="B27:I27" ca="1" si="7">+B28+B29+B30-B31-B32-B33-B34-B35-B36-B37+B39</f>
        <v>752689.34822495584</v>
      </c>
      <c r="C27" s="70">
        <f t="shared" ca="1" si="7"/>
        <v>706793.61362290976</v>
      </c>
      <c r="D27" s="70">
        <f t="shared" ca="1" si="7"/>
        <v>629606.76990824891</v>
      </c>
      <c r="E27" s="70">
        <f t="shared" ca="1" si="7"/>
        <v>605146.56469648459</v>
      </c>
      <c r="F27" s="70">
        <f t="shared" ca="1" si="7"/>
        <v>603429.9493830126</v>
      </c>
      <c r="G27" s="70">
        <f t="shared" ca="1" si="7"/>
        <v>604059.17888850835</v>
      </c>
      <c r="H27" s="70">
        <f t="shared" ca="1" si="7"/>
        <v>551609.7867097233</v>
      </c>
      <c r="I27" s="70">
        <f t="shared" ca="1" si="7"/>
        <v>573857.77742545586</v>
      </c>
    </row>
    <row r="28" spans="1:9" ht="15" customHeight="1" x14ac:dyDescent="0.2">
      <c r="A28" s="43" t="s">
        <v>438</v>
      </c>
      <c r="B28" s="70">
        <f t="shared" ref="B28:I28" si="8">B730</f>
        <v>0</v>
      </c>
      <c r="C28" s="70">
        <f t="shared" si="8"/>
        <v>0</v>
      </c>
      <c r="D28" s="70">
        <f t="shared" si="8"/>
        <v>0</v>
      </c>
      <c r="E28" s="70">
        <f t="shared" si="8"/>
        <v>0</v>
      </c>
      <c r="F28" s="70">
        <f t="shared" si="8"/>
        <v>0</v>
      </c>
      <c r="G28" s="70">
        <f t="shared" si="8"/>
        <v>0</v>
      </c>
      <c r="H28" s="70">
        <f t="shared" si="8"/>
        <v>0</v>
      </c>
      <c r="I28" s="70">
        <f t="shared" si="8"/>
        <v>0</v>
      </c>
    </row>
    <row r="29" spans="1:9" ht="15" customHeight="1" x14ac:dyDescent="0.2">
      <c r="A29" s="42" t="s">
        <v>371</v>
      </c>
      <c r="B29" s="70">
        <f t="shared" ref="B29:I29" si="9">B74</f>
        <v>0</v>
      </c>
      <c r="C29" s="70">
        <f t="shared" si="9"/>
        <v>0</v>
      </c>
      <c r="D29" s="70">
        <f t="shared" si="9"/>
        <v>0</v>
      </c>
      <c r="E29" s="70">
        <f t="shared" si="9"/>
        <v>0</v>
      </c>
      <c r="F29" s="70">
        <f t="shared" si="9"/>
        <v>0</v>
      </c>
      <c r="G29" s="70">
        <f t="shared" si="9"/>
        <v>0</v>
      </c>
      <c r="H29" s="70">
        <f t="shared" si="9"/>
        <v>0</v>
      </c>
      <c r="I29" s="70">
        <f t="shared" si="9"/>
        <v>0</v>
      </c>
    </row>
    <row r="30" spans="1:9" ht="15" customHeight="1" x14ac:dyDescent="0.2">
      <c r="A30" s="43" t="s">
        <v>430</v>
      </c>
      <c r="B30" s="70">
        <f t="shared" ref="B30:I30" si="10">B$983</f>
        <v>193539</v>
      </c>
      <c r="C30" s="70">
        <f t="shared" si="10"/>
        <v>177955</v>
      </c>
      <c r="D30" s="70">
        <f t="shared" si="10"/>
        <v>155239</v>
      </c>
      <c r="E30" s="70">
        <f t="shared" si="10"/>
        <v>164490</v>
      </c>
      <c r="F30" s="70">
        <f t="shared" si="10"/>
        <v>150589</v>
      </c>
      <c r="G30" s="70">
        <f t="shared" si="10"/>
        <v>158842</v>
      </c>
      <c r="H30" s="70">
        <f t="shared" si="10"/>
        <v>146761</v>
      </c>
      <c r="I30" s="70">
        <f t="shared" si="10"/>
        <v>146620</v>
      </c>
    </row>
    <row r="31" spans="1:9" ht="15" customHeight="1" x14ac:dyDescent="0.2">
      <c r="A31" s="43" t="s">
        <v>456</v>
      </c>
      <c r="B31" s="70">
        <f t="shared" ref="B31:I31" ca="1" si="11">+B43</f>
        <v>0</v>
      </c>
      <c r="C31" s="70">
        <f t="shared" ca="1" si="11"/>
        <v>0</v>
      </c>
      <c r="D31" s="70">
        <f t="shared" ca="1" si="11"/>
        <v>0</v>
      </c>
      <c r="E31" s="70">
        <f t="shared" ca="1" si="11"/>
        <v>0</v>
      </c>
      <c r="F31" s="70">
        <f t="shared" ca="1" si="11"/>
        <v>0</v>
      </c>
      <c r="G31" s="70">
        <f t="shared" ca="1" si="11"/>
        <v>0</v>
      </c>
      <c r="H31" s="70">
        <f t="shared" ca="1" si="11"/>
        <v>0</v>
      </c>
      <c r="I31" s="70">
        <f t="shared" ca="1" si="11"/>
        <v>0</v>
      </c>
    </row>
    <row r="32" spans="1:9" ht="15" customHeight="1" x14ac:dyDescent="0.2">
      <c r="A32" s="42" t="s">
        <v>370</v>
      </c>
      <c r="B32" s="70">
        <f t="shared" ref="B32:I32" si="12">B85</f>
        <v>4410</v>
      </c>
      <c r="C32" s="70">
        <f t="shared" si="12"/>
        <v>4410</v>
      </c>
      <c r="D32" s="70">
        <f t="shared" si="12"/>
        <v>4410</v>
      </c>
      <c r="E32" s="70">
        <f t="shared" si="12"/>
        <v>5290</v>
      </c>
      <c r="F32" s="70">
        <f t="shared" si="12"/>
        <v>5290</v>
      </c>
      <c r="G32" s="70">
        <f t="shared" si="12"/>
        <v>5290</v>
      </c>
      <c r="H32" s="70">
        <f t="shared" si="12"/>
        <v>5290</v>
      </c>
      <c r="I32" s="70">
        <f t="shared" si="12"/>
        <v>4761</v>
      </c>
    </row>
    <row r="33" spans="1:9" ht="15" customHeight="1" x14ac:dyDescent="0.2">
      <c r="A33" s="42" t="s">
        <v>432</v>
      </c>
      <c r="B33" s="70">
        <f t="shared" ref="B33:I33" si="13">B736</f>
        <v>0</v>
      </c>
      <c r="C33" s="70">
        <f t="shared" si="13"/>
        <v>0</v>
      </c>
      <c r="D33" s="70">
        <f t="shared" si="13"/>
        <v>0</v>
      </c>
      <c r="E33" s="70">
        <f t="shared" si="13"/>
        <v>0</v>
      </c>
      <c r="F33" s="70">
        <f t="shared" si="13"/>
        <v>0</v>
      </c>
      <c r="G33" s="70">
        <f t="shared" si="13"/>
        <v>0</v>
      </c>
      <c r="H33" s="70">
        <f t="shared" si="13"/>
        <v>0</v>
      </c>
      <c r="I33" s="70">
        <f t="shared" si="13"/>
        <v>0</v>
      </c>
    </row>
    <row r="34" spans="1:9" ht="15" customHeight="1" x14ac:dyDescent="0.2">
      <c r="A34" s="42" t="s">
        <v>369</v>
      </c>
      <c r="B34" s="70">
        <f t="shared" ref="B34:I34" si="14">B639</f>
        <v>0</v>
      </c>
      <c r="C34" s="70">
        <f t="shared" si="14"/>
        <v>0</v>
      </c>
      <c r="D34" s="70">
        <f t="shared" si="14"/>
        <v>0</v>
      </c>
      <c r="E34" s="70">
        <f t="shared" si="14"/>
        <v>0</v>
      </c>
      <c r="F34" s="70">
        <f t="shared" si="14"/>
        <v>0</v>
      </c>
      <c r="G34" s="70">
        <f t="shared" si="14"/>
        <v>0</v>
      </c>
      <c r="H34" s="70">
        <f t="shared" si="14"/>
        <v>0</v>
      </c>
      <c r="I34" s="70">
        <f t="shared" si="14"/>
        <v>0</v>
      </c>
    </row>
    <row r="35" spans="1:9" ht="15" customHeight="1" x14ac:dyDescent="0.2">
      <c r="A35" s="43" t="s">
        <v>443</v>
      </c>
      <c r="B35" s="70">
        <f t="shared" ref="B35:I35" ca="1" si="15">+B646+B669</f>
        <v>48264.421584694348</v>
      </c>
      <c r="C35" s="70">
        <f t="shared" ca="1" si="15"/>
        <v>40787.302844865611</v>
      </c>
      <c r="D35" s="70">
        <f t="shared" ca="1" si="15"/>
        <v>39593.21641923031</v>
      </c>
      <c r="E35" s="70">
        <f t="shared" ca="1" si="15"/>
        <v>20998.105570350879</v>
      </c>
      <c r="F35" s="70">
        <f t="shared" ca="1" si="15"/>
        <v>20983.314109200146</v>
      </c>
      <c r="G35" s="70">
        <f t="shared" ca="1" si="15"/>
        <v>20978.96857640105</v>
      </c>
      <c r="H35" s="70">
        <f t="shared" ca="1" si="15"/>
        <v>20925.011821933811</v>
      </c>
      <c r="I35" s="70">
        <f t="shared" ca="1" si="15"/>
        <v>20657.328084749806</v>
      </c>
    </row>
    <row r="36" spans="1:9" ht="15" customHeight="1" x14ac:dyDescent="0.2">
      <c r="A36" s="43" t="s">
        <v>423</v>
      </c>
      <c r="B36" s="70">
        <f t="shared" ref="B36:I36" si="16">+B675</f>
        <v>0</v>
      </c>
      <c r="C36" s="70">
        <f t="shared" si="16"/>
        <v>0</v>
      </c>
      <c r="D36" s="70">
        <f t="shared" si="16"/>
        <v>0</v>
      </c>
      <c r="E36" s="70">
        <f t="shared" si="16"/>
        <v>0</v>
      </c>
      <c r="F36" s="70">
        <f t="shared" si="16"/>
        <v>0</v>
      </c>
      <c r="G36" s="70">
        <f t="shared" si="16"/>
        <v>0</v>
      </c>
      <c r="H36" s="70">
        <f t="shared" si="16"/>
        <v>0</v>
      </c>
      <c r="I36" s="70">
        <f t="shared" si="16"/>
        <v>0</v>
      </c>
    </row>
    <row r="37" spans="1:9" ht="15" customHeight="1" x14ac:dyDescent="0.2">
      <c r="A37" s="43" t="s">
        <v>444</v>
      </c>
      <c r="B37" s="70">
        <f t="shared" ref="B37:I37" si="17">+B699</f>
        <v>0</v>
      </c>
      <c r="C37" s="70">
        <f t="shared" si="17"/>
        <v>0</v>
      </c>
      <c r="D37" s="70">
        <f t="shared" si="17"/>
        <v>0</v>
      </c>
      <c r="E37" s="70">
        <f t="shared" si="17"/>
        <v>0</v>
      </c>
      <c r="F37" s="70">
        <f t="shared" si="17"/>
        <v>0</v>
      </c>
      <c r="G37" s="70">
        <f t="shared" si="17"/>
        <v>0</v>
      </c>
      <c r="H37" s="70">
        <f t="shared" si="17"/>
        <v>0</v>
      </c>
      <c r="I37" s="70">
        <f t="shared" si="17"/>
        <v>0</v>
      </c>
    </row>
    <row r="39" spans="1:9" ht="15" customHeight="1" x14ac:dyDescent="0.2">
      <c r="A39" s="42" t="s">
        <v>8</v>
      </c>
      <c r="B39" s="70">
        <f t="shared" ref="B39:I39" ca="1" si="18">B64</f>
        <v>611824.76980965026</v>
      </c>
      <c r="C39" s="70">
        <f t="shared" ca="1" si="18"/>
        <v>574035.91646777536</v>
      </c>
      <c r="D39" s="70">
        <f t="shared" ca="1" si="18"/>
        <v>518370.98632747924</v>
      </c>
      <c r="E39" s="70">
        <f t="shared" ca="1" si="18"/>
        <v>466944.67026683548</v>
      </c>
      <c r="F39" s="70">
        <f t="shared" ca="1" si="18"/>
        <v>479114.26349221275</v>
      </c>
      <c r="G39" s="70">
        <f t="shared" ca="1" si="18"/>
        <v>471486.14746490947</v>
      </c>
      <c r="H39" s="70">
        <f t="shared" ca="1" si="18"/>
        <v>431063.79853165708</v>
      </c>
      <c r="I39" s="70">
        <f t="shared" ca="1" si="18"/>
        <v>452656.10551020573</v>
      </c>
    </row>
    <row r="40" spans="1:9" ht="15" customHeight="1" x14ac:dyDescent="0.2">
      <c r="A40" s="42"/>
      <c r="B40" s="70"/>
      <c r="C40" s="70"/>
      <c r="D40" s="70"/>
      <c r="E40" s="70"/>
      <c r="F40" s="70"/>
      <c r="G40" s="70"/>
      <c r="H40" s="70"/>
      <c r="I40" s="70"/>
    </row>
    <row r="42" spans="1:9" ht="15" customHeight="1" x14ac:dyDescent="0.2">
      <c r="A42" s="6" t="s">
        <v>455</v>
      </c>
      <c r="B42" s="6"/>
      <c r="C42" s="6"/>
      <c r="D42" s="6"/>
      <c r="E42" s="6"/>
      <c r="F42" s="6"/>
      <c r="G42" s="6"/>
      <c r="H42" s="6"/>
      <c r="I42" s="6"/>
    </row>
    <row r="43" spans="1:9" ht="15" customHeight="1" x14ac:dyDescent="0.2">
      <c r="A43" s="3" t="s">
        <v>451</v>
      </c>
      <c r="B43" s="45">
        <f t="shared" ref="B43:I43" ca="1" si="19">+B44+B45+B46</f>
        <v>0</v>
      </c>
      <c r="C43" s="45">
        <f t="shared" ca="1" si="19"/>
        <v>0</v>
      </c>
      <c r="D43" s="45">
        <f t="shared" ca="1" si="19"/>
        <v>0</v>
      </c>
      <c r="E43" s="45">
        <f t="shared" ca="1" si="19"/>
        <v>0</v>
      </c>
      <c r="F43" s="45">
        <f t="shared" ca="1" si="19"/>
        <v>0</v>
      </c>
      <c r="G43" s="45">
        <f t="shared" ca="1" si="19"/>
        <v>0</v>
      </c>
      <c r="H43" s="45">
        <f t="shared" ca="1" si="19"/>
        <v>0</v>
      </c>
      <c r="I43" s="45">
        <f t="shared" ca="1" si="19"/>
        <v>0</v>
      </c>
    </row>
    <row r="44" spans="1:9" ht="15" customHeight="1" x14ac:dyDescent="0.2">
      <c r="A44" s="3" t="s">
        <v>452</v>
      </c>
      <c r="B44" s="70">
        <f t="shared" ref="B44:I44" si="20">(0+B48)-B53*B49*(0+B48)</f>
        <v>0</v>
      </c>
      <c r="C44" s="70">
        <f t="shared" si="20"/>
        <v>0</v>
      </c>
      <c r="D44" s="70">
        <f t="shared" si="20"/>
        <v>0</v>
      </c>
      <c r="E44" s="70">
        <f t="shared" si="20"/>
        <v>0</v>
      </c>
      <c r="F44" s="70">
        <f t="shared" si="20"/>
        <v>0</v>
      </c>
      <c r="G44" s="70">
        <f t="shared" si="20"/>
        <v>0</v>
      </c>
      <c r="H44" s="70">
        <f t="shared" si="20"/>
        <v>0</v>
      </c>
      <c r="I44" s="70">
        <f t="shared" si="20"/>
        <v>0</v>
      </c>
    </row>
    <row r="45" spans="1:9" ht="15" customHeight="1" x14ac:dyDescent="0.2">
      <c r="A45" s="3" t="s">
        <v>453</v>
      </c>
      <c r="B45" s="70">
        <f t="shared" ref="B45:I45" si="21">B51-B53*B52*B51</f>
        <v>0</v>
      </c>
      <c r="C45" s="70">
        <f t="shared" si="21"/>
        <v>0</v>
      </c>
      <c r="D45" s="70">
        <f t="shared" si="21"/>
        <v>0</v>
      </c>
      <c r="E45" s="70">
        <f t="shared" si="21"/>
        <v>0</v>
      </c>
      <c r="F45" s="70">
        <f t="shared" si="21"/>
        <v>0</v>
      </c>
      <c r="G45" s="70">
        <f t="shared" si="21"/>
        <v>0</v>
      </c>
      <c r="H45" s="70">
        <f t="shared" si="21"/>
        <v>0</v>
      </c>
      <c r="I45" s="70">
        <f t="shared" si="21"/>
        <v>0</v>
      </c>
    </row>
    <row r="46" spans="1:9" ht="15" customHeight="1" x14ac:dyDescent="0.2">
      <c r="A46" s="3" t="s">
        <v>454</v>
      </c>
      <c r="B46" s="70">
        <f t="shared" ref="B46:I46" ca="1" si="22">IF(B56="Forever",B60*B55/(B59-B58),B60*B55*(1-(1+B58)^B56/(1+B59)^(B56))/(B59-B58))</f>
        <v>0</v>
      </c>
      <c r="C46" s="70">
        <f t="shared" ca="1" si="22"/>
        <v>0</v>
      </c>
      <c r="D46" s="70">
        <f t="shared" ca="1" si="22"/>
        <v>0</v>
      </c>
      <c r="E46" s="70">
        <f t="shared" ca="1" si="22"/>
        <v>0</v>
      </c>
      <c r="F46" s="70">
        <f t="shared" ca="1" si="22"/>
        <v>0</v>
      </c>
      <c r="G46" s="70">
        <f t="shared" ca="1" si="22"/>
        <v>0</v>
      </c>
      <c r="H46" s="70">
        <f t="shared" ca="1" si="22"/>
        <v>0</v>
      </c>
      <c r="I46" s="70">
        <f t="shared" ca="1" si="22"/>
        <v>0</v>
      </c>
    </row>
    <row r="47" spans="1:9" ht="15" customHeight="1" x14ac:dyDescent="0.2">
      <c r="A47" s="1"/>
    </row>
    <row r="48" spans="1:9" ht="15" customHeight="1" x14ac:dyDescent="0.2">
      <c r="A48" s="3" t="s">
        <v>446</v>
      </c>
      <c r="B48" s="70">
        <f t="shared" ref="B48:I49" si="23">B771</f>
        <v>0</v>
      </c>
      <c r="C48" s="70">
        <f t="shared" si="23"/>
        <v>0</v>
      </c>
      <c r="D48" s="70">
        <f t="shared" si="23"/>
        <v>0</v>
      </c>
      <c r="E48" s="70">
        <f t="shared" si="23"/>
        <v>0</v>
      </c>
      <c r="F48" s="70">
        <f t="shared" si="23"/>
        <v>0</v>
      </c>
      <c r="G48" s="70">
        <f t="shared" si="23"/>
        <v>0</v>
      </c>
      <c r="H48" s="70">
        <f t="shared" si="23"/>
        <v>0</v>
      </c>
      <c r="I48" s="70">
        <f t="shared" si="23"/>
        <v>0</v>
      </c>
    </row>
    <row r="49" spans="1:9" ht="15" customHeight="1" x14ac:dyDescent="0.2">
      <c r="A49" s="3" t="s">
        <v>445</v>
      </c>
      <c r="B49" s="8">
        <f t="shared" si="23"/>
        <v>0</v>
      </c>
      <c r="C49" s="8">
        <f t="shared" si="23"/>
        <v>0</v>
      </c>
      <c r="D49" s="8">
        <f t="shared" si="23"/>
        <v>0</v>
      </c>
      <c r="E49" s="8">
        <f t="shared" si="23"/>
        <v>0</v>
      </c>
      <c r="F49" s="8">
        <f t="shared" si="23"/>
        <v>0</v>
      </c>
      <c r="G49" s="8">
        <f t="shared" si="23"/>
        <v>0</v>
      </c>
      <c r="H49" s="8">
        <f t="shared" si="23"/>
        <v>0</v>
      </c>
      <c r="I49" s="8">
        <f t="shared" si="23"/>
        <v>0</v>
      </c>
    </row>
    <row r="51" spans="1:9" ht="15" customHeight="1" x14ac:dyDescent="0.2">
      <c r="A51" s="3" t="s">
        <v>447</v>
      </c>
      <c r="B51" s="70">
        <f t="shared" ref="B51:I52" si="24">B774</f>
        <v>0</v>
      </c>
      <c r="C51" s="70">
        <f t="shared" si="24"/>
        <v>0</v>
      </c>
      <c r="D51" s="70">
        <f t="shared" si="24"/>
        <v>0</v>
      </c>
      <c r="E51" s="70">
        <f t="shared" si="24"/>
        <v>0</v>
      </c>
      <c r="F51" s="70">
        <f t="shared" si="24"/>
        <v>0</v>
      </c>
      <c r="G51" s="70">
        <f t="shared" si="24"/>
        <v>0</v>
      </c>
      <c r="H51" s="70">
        <f t="shared" si="24"/>
        <v>0</v>
      </c>
      <c r="I51" s="70">
        <f t="shared" si="24"/>
        <v>0</v>
      </c>
    </row>
    <row r="52" spans="1:9" ht="15" customHeight="1" x14ac:dyDescent="0.2">
      <c r="A52" s="3" t="s">
        <v>445</v>
      </c>
      <c r="B52" s="8">
        <f t="shared" si="24"/>
        <v>0</v>
      </c>
      <c r="C52" s="8">
        <f t="shared" si="24"/>
        <v>0</v>
      </c>
      <c r="D52" s="8">
        <f t="shared" si="24"/>
        <v>0</v>
      </c>
      <c r="E52" s="8">
        <f t="shared" si="24"/>
        <v>0</v>
      </c>
      <c r="F52" s="8">
        <f t="shared" si="24"/>
        <v>0</v>
      </c>
      <c r="G52" s="8">
        <f t="shared" si="24"/>
        <v>0</v>
      </c>
      <c r="H52" s="8">
        <f t="shared" si="24"/>
        <v>0</v>
      </c>
      <c r="I52" s="8">
        <f t="shared" si="24"/>
        <v>0</v>
      </c>
    </row>
    <row r="53" spans="1:9" ht="15" customHeight="1" x14ac:dyDescent="0.2">
      <c r="A53" s="3" t="s">
        <v>380</v>
      </c>
      <c r="B53" s="71">
        <f t="shared" ref="B53:I53" si="25">B$547</f>
        <v>0.36</v>
      </c>
      <c r="C53" s="71">
        <f t="shared" si="25"/>
        <v>0.36</v>
      </c>
      <c r="D53" s="71">
        <f t="shared" si="25"/>
        <v>0.36</v>
      </c>
      <c r="E53" s="71">
        <f t="shared" si="25"/>
        <v>0.38</v>
      </c>
      <c r="F53" s="71">
        <f t="shared" si="25"/>
        <v>0.38</v>
      </c>
      <c r="G53" s="71">
        <f t="shared" si="25"/>
        <v>0.38</v>
      </c>
      <c r="H53" s="71">
        <f t="shared" si="25"/>
        <v>0.38</v>
      </c>
      <c r="I53" s="71">
        <f t="shared" si="25"/>
        <v>0.38</v>
      </c>
    </row>
    <row r="54" spans="1:9" ht="15" customHeight="1" x14ac:dyDescent="0.2">
      <c r="A54" s="1"/>
    </row>
    <row r="55" spans="1:9" ht="15" customHeight="1" x14ac:dyDescent="0.2">
      <c r="A55" s="3" t="s">
        <v>448</v>
      </c>
      <c r="B55" s="8">
        <f t="shared" ref="B55:I55" si="26">B777</f>
        <v>0</v>
      </c>
      <c r="C55" s="8">
        <f t="shared" si="26"/>
        <v>0</v>
      </c>
      <c r="D55" s="8">
        <f t="shared" si="26"/>
        <v>0</v>
      </c>
      <c r="E55" s="8">
        <f t="shared" si="26"/>
        <v>0</v>
      </c>
      <c r="F55" s="8">
        <f t="shared" si="26"/>
        <v>0</v>
      </c>
      <c r="G55" s="8">
        <f t="shared" si="26"/>
        <v>0</v>
      </c>
      <c r="H55" s="8">
        <f t="shared" si="26"/>
        <v>0</v>
      </c>
      <c r="I55" s="8">
        <f t="shared" si="26"/>
        <v>0</v>
      </c>
    </row>
    <row r="56" spans="1:9" ht="15" customHeight="1" x14ac:dyDescent="0.2">
      <c r="A56" s="3" t="s">
        <v>449</v>
      </c>
      <c r="B56" s="3">
        <f t="shared" ref="B56:I56" si="27">+B778</f>
        <v>3</v>
      </c>
      <c r="C56" s="3">
        <f t="shared" si="27"/>
        <v>3</v>
      </c>
      <c r="D56" s="3">
        <f t="shared" si="27"/>
        <v>3</v>
      </c>
      <c r="E56" s="3">
        <f t="shared" si="27"/>
        <v>3</v>
      </c>
      <c r="F56" s="3">
        <f t="shared" si="27"/>
        <v>3</v>
      </c>
      <c r="G56" s="3">
        <f t="shared" si="27"/>
        <v>3</v>
      </c>
      <c r="H56" s="3">
        <f t="shared" si="27"/>
        <v>3</v>
      </c>
      <c r="I56" s="3">
        <f t="shared" si="27"/>
        <v>3</v>
      </c>
    </row>
    <row r="58" spans="1:9" ht="15" customHeight="1" x14ac:dyDescent="0.2">
      <c r="A58" s="3" t="s">
        <v>450</v>
      </c>
      <c r="B58" s="72">
        <f t="shared" ref="B58:I58" ca="1" si="28">B$179</f>
        <v>1.5613299587391216E-2</v>
      </c>
      <c r="C58" s="72">
        <f t="shared" ca="1" si="28"/>
        <v>1.7288444510881851E-2</v>
      </c>
      <c r="D58" s="72">
        <f t="shared" ca="1" si="28"/>
        <v>1.9349288023805089E-2</v>
      </c>
      <c r="E58" s="72">
        <f t="shared" ca="1" si="28"/>
        <v>1.9713322206589279E-2</v>
      </c>
      <c r="F58" s="72">
        <f t="shared" ca="1" si="28"/>
        <v>2.0493572496813162E-2</v>
      </c>
      <c r="G58" s="72">
        <f t="shared" ca="1" si="28"/>
        <v>2.1627355521506519E-2</v>
      </c>
      <c r="H58" s="72">
        <f t="shared" ca="1" si="28"/>
        <v>2.041415155992099E-2</v>
      </c>
      <c r="I58" s="72">
        <f t="shared" ca="1" si="28"/>
        <v>2.8974178307822784E-2</v>
      </c>
    </row>
    <row r="59" spans="1:9" ht="15" customHeight="1" x14ac:dyDescent="0.2">
      <c r="A59" s="3" t="s">
        <v>32</v>
      </c>
      <c r="B59" s="72">
        <f t="shared" ref="B59:I59" ca="1" si="29">B$221</f>
        <v>8.5616478250876329E-2</v>
      </c>
      <c r="C59" s="72">
        <f t="shared" ca="1" si="29"/>
        <v>8.6399225155159756E-2</v>
      </c>
      <c r="D59" s="72">
        <f t="shared" ca="1" si="29"/>
        <v>9.239676427316143E-2</v>
      </c>
      <c r="E59" s="72">
        <f t="shared" ca="1" si="29"/>
        <v>0.10740672303923111</v>
      </c>
      <c r="F59" s="72">
        <f t="shared" ca="1" si="29"/>
        <v>0.10008009908896695</v>
      </c>
      <c r="G59" s="72">
        <f t="shared" ca="1" si="29"/>
        <v>0.10029247285368061</v>
      </c>
      <c r="H59" s="72">
        <f t="shared" ca="1" si="29"/>
        <v>0.10154649937414874</v>
      </c>
      <c r="I59" s="72">
        <f t="shared" ca="1" si="29"/>
        <v>0.11800171037140457</v>
      </c>
    </row>
    <row r="60" spans="1:9" ht="15" customHeight="1" x14ac:dyDescent="0.2">
      <c r="A60" s="3" t="s">
        <v>457</v>
      </c>
      <c r="B60" s="70">
        <f t="shared" ref="B60:I60" ca="1" si="30">B$304</f>
        <v>50644.898104646651</v>
      </c>
      <c r="C60" s="70">
        <f t="shared" ca="1" si="30"/>
        <v>47175.51838509657</v>
      </c>
      <c r="D60" s="70">
        <f t="shared" ca="1" si="30"/>
        <v>42084.889121103304</v>
      </c>
      <c r="E60" s="70">
        <f t="shared" ca="1" si="30"/>
        <v>40827.201880171539</v>
      </c>
      <c r="F60" s="70">
        <f t="shared" ca="1" si="30"/>
        <v>40025.278835589001</v>
      </c>
      <c r="G60" s="70">
        <f t="shared" ca="1" si="30"/>
        <v>38997.61952375406</v>
      </c>
      <c r="H60" s="70">
        <f t="shared" ca="1" si="30"/>
        <v>38875.506646187736</v>
      </c>
      <c r="I60" s="70">
        <f t="shared" ca="1" si="30"/>
        <v>39075.707650440927</v>
      </c>
    </row>
    <row r="61" spans="1:9" ht="15" customHeight="1" x14ac:dyDescent="0.2">
      <c r="B61" s="45"/>
      <c r="C61" s="45"/>
      <c r="D61" s="45"/>
      <c r="E61" s="45"/>
      <c r="F61" s="45"/>
      <c r="G61" s="45"/>
      <c r="H61" s="45"/>
      <c r="I61" s="45"/>
    </row>
    <row r="62" spans="1:9" ht="15" customHeight="1" x14ac:dyDescent="0.2">
      <c r="A62" s="6" t="s">
        <v>366</v>
      </c>
      <c r="B62" s="6"/>
      <c r="C62" s="6"/>
      <c r="D62" s="6"/>
      <c r="E62" s="6"/>
      <c r="F62" s="6"/>
      <c r="G62" s="6"/>
      <c r="H62" s="6"/>
      <c r="I62" s="6"/>
    </row>
    <row r="63" spans="1:9" ht="15" customHeight="1" x14ac:dyDescent="0.2">
      <c r="A63" s="3" t="s">
        <v>391</v>
      </c>
      <c r="B63" s="3" t="str">
        <f t="shared" ref="B63:I63" si="31">B782</f>
        <v>Yes</v>
      </c>
      <c r="C63" s="3" t="str">
        <f t="shared" si="31"/>
        <v>Yes</v>
      </c>
      <c r="D63" s="3" t="str">
        <f t="shared" si="31"/>
        <v>Yes</v>
      </c>
      <c r="E63" s="3" t="str">
        <f t="shared" si="31"/>
        <v>Yes</v>
      </c>
      <c r="F63" s="3" t="str">
        <f t="shared" si="31"/>
        <v>Yes</v>
      </c>
      <c r="G63" s="3" t="str">
        <f t="shared" si="31"/>
        <v>Yes</v>
      </c>
      <c r="H63" s="3" t="str">
        <f t="shared" si="31"/>
        <v>Yes</v>
      </c>
      <c r="I63" s="3" t="str">
        <f t="shared" si="31"/>
        <v>Yes</v>
      </c>
    </row>
    <row r="64" spans="1:9" ht="15" customHeight="1" x14ac:dyDescent="0.2">
      <c r="A64" s="42" t="s">
        <v>8</v>
      </c>
      <c r="B64" s="45">
        <f t="shared" ref="B64:I64" ca="1" si="32">IF(B63="Yes",B91,B91*(1-B65)+B67*B65)</f>
        <v>611824.76980965026</v>
      </c>
      <c r="C64" s="45">
        <f t="shared" ca="1" si="32"/>
        <v>574035.91646777536</v>
      </c>
      <c r="D64" s="45">
        <f t="shared" ca="1" si="32"/>
        <v>518370.98632747924</v>
      </c>
      <c r="E64" s="45">
        <f t="shared" ca="1" si="32"/>
        <v>466944.67026683548</v>
      </c>
      <c r="F64" s="45">
        <f t="shared" ca="1" si="32"/>
        <v>479114.26349221275</v>
      </c>
      <c r="G64" s="45">
        <f t="shared" ca="1" si="32"/>
        <v>471486.14746490947</v>
      </c>
      <c r="H64" s="45">
        <f t="shared" ca="1" si="32"/>
        <v>431063.79853165708</v>
      </c>
      <c r="I64" s="45">
        <f t="shared" ca="1" si="32"/>
        <v>452656.10551020573</v>
      </c>
    </row>
    <row r="65" spans="1:9" ht="15" customHeight="1" x14ac:dyDescent="0.2">
      <c r="A65" s="42" t="s">
        <v>366</v>
      </c>
      <c r="B65" s="44">
        <f t="shared" ref="B65:I65" si="33">IF(B63="Yes",0,B783)</f>
        <v>0</v>
      </c>
      <c r="C65" s="44">
        <f t="shared" si="33"/>
        <v>0</v>
      </c>
      <c r="D65" s="44">
        <f t="shared" si="33"/>
        <v>0</v>
      </c>
      <c r="E65" s="44">
        <f t="shared" si="33"/>
        <v>0</v>
      </c>
      <c r="F65" s="44">
        <f t="shared" si="33"/>
        <v>0</v>
      </c>
      <c r="G65" s="44">
        <f t="shared" si="33"/>
        <v>0</v>
      </c>
      <c r="H65" s="44">
        <f t="shared" si="33"/>
        <v>0</v>
      </c>
      <c r="I65" s="44">
        <f t="shared" si="33"/>
        <v>0</v>
      </c>
    </row>
    <row r="66" spans="1:9" ht="15" customHeight="1" x14ac:dyDescent="0.2">
      <c r="A66" s="42"/>
      <c r="B66" s="44"/>
      <c r="C66" s="44"/>
      <c r="D66" s="44"/>
      <c r="E66" s="44"/>
      <c r="F66" s="44"/>
      <c r="G66" s="44"/>
      <c r="H66" s="44"/>
      <c r="I66" s="44"/>
    </row>
    <row r="67" spans="1:9" ht="15" customHeight="1" x14ac:dyDescent="0.2">
      <c r="A67" s="42" t="s">
        <v>368</v>
      </c>
      <c r="B67" s="70">
        <f t="shared" ref="B67:I67" si="34">IF(B63="Yes",0,B70*B68)</f>
        <v>0</v>
      </c>
      <c r="C67" s="70">
        <f t="shared" si="34"/>
        <v>0</v>
      </c>
      <c r="D67" s="70">
        <f t="shared" si="34"/>
        <v>0</v>
      </c>
      <c r="E67" s="70">
        <f t="shared" si="34"/>
        <v>0</v>
      </c>
      <c r="F67" s="70">
        <f t="shared" si="34"/>
        <v>0</v>
      </c>
      <c r="G67" s="70">
        <f t="shared" si="34"/>
        <v>0</v>
      </c>
      <c r="H67" s="70">
        <f t="shared" si="34"/>
        <v>0</v>
      </c>
      <c r="I67" s="70">
        <f t="shared" si="34"/>
        <v>0</v>
      </c>
    </row>
    <row r="68" spans="1:9" ht="15" customHeight="1" x14ac:dyDescent="0.2">
      <c r="A68" s="42" t="s">
        <v>392</v>
      </c>
      <c r="B68" s="44">
        <f t="shared" ref="B68:I68" si="35">IF(B63="Yes",0,B784)</f>
        <v>0</v>
      </c>
      <c r="C68" s="44">
        <f t="shared" si="35"/>
        <v>0</v>
      </c>
      <c r="D68" s="44">
        <f t="shared" si="35"/>
        <v>0</v>
      </c>
      <c r="E68" s="44">
        <f t="shared" si="35"/>
        <v>0</v>
      </c>
      <c r="F68" s="44">
        <f t="shared" si="35"/>
        <v>0</v>
      </c>
      <c r="G68" s="44">
        <f t="shared" si="35"/>
        <v>0</v>
      </c>
      <c r="H68" s="44">
        <f t="shared" si="35"/>
        <v>0</v>
      </c>
      <c r="I68" s="44">
        <f t="shared" si="35"/>
        <v>0</v>
      </c>
    </row>
    <row r="69" spans="1:9" ht="15" customHeight="1" x14ac:dyDescent="0.2">
      <c r="A69" s="42"/>
      <c r="B69" s="44"/>
      <c r="C69" s="44"/>
      <c r="D69" s="44"/>
      <c r="E69" s="44"/>
      <c r="F69" s="44"/>
      <c r="G69" s="44"/>
      <c r="H69" s="44"/>
      <c r="I69" s="44"/>
    </row>
    <row r="70" spans="1:9" ht="15" customHeight="1" x14ac:dyDescent="0.2">
      <c r="A70" s="3" t="s">
        <v>8</v>
      </c>
      <c r="B70" s="70">
        <f t="shared" ref="B70:I70" si="36">IF(B63="Yes",0,CHOOSE(B71,B595,B585,B570,B91))</f>
        <v>0</v>
      </c>
      <c r="C70" s="70">
        <f t="shared" si="36"/>
        <v>0</v>
      </c>
      <c r="D70" s="70">
        <f t="shared" si="36"/>
        <v>0</v>
      </c>
      <c r="E70" s="70">
        <f t="shared" si="36"/>
        <v>0</v>
      </c>
      <c r="F70" s="70">
        <f t="shared" si="36"/>
        <v>0</v>
      </c>
      <c r="G70" s="70">
        <f t="shared" si="36"/>
        <v>0</v>
      </c>
      <c r="H70" s="70">
        <f t="shared" si="36"/>
        <v>0</v>
      </c>
      <c r="I70" s="70">
        <f t="shared" si="36"/>
        <v>0</v>
      </c>
    </row>
    <row r="71" spans="1:9" ht="15" customHeight="1" x14ac:dyDescent="0.2">
      <c r="A71" s="42" t="s">
        <v>367</v>
      </c>
      <c r="B71" s="3">
        <f t="shared" ref="B71:I71" si="37">B785</f>
        <v>4</v>
      </c>
      <c r="C71" s="3">
        <f t="shared" si="37"/>
        <v>4</v>
      </c>
      <c r="D71" s="3">
        <f t="shared" si="37"/>
        <v>4</v>
      </c>
      <c r="E71" s="3">
        <f t="shared" si="37"/>
        <v>4</v>
      </c>
      <c r="F71" s="3">
        <f t="shared" si="37"/>
        <v>4</v>
      </c>
      <c r="G71" s="3">
        <f t="shared" si="37"/>
        <v>4</v>
      </c>
      <c r="H71" s="3">
        <f t="shared" si="37"/>
        <v>4</v>
      </c>
      <c r="I71" s="3">
        <f t="shared" si="37"/>
        <v>4</v>
      </c>
    </row>
    <row r="73" spans="1:9" ht="15" customHeight="1" x14ac:dyDescent="0.2">
      <c r="A73" s="6" t="s">
        <v>377</v>
      </c>
      <c r="B73" s="6"/>
      <c r="C73" s="6"/>
      <c r="D73" s="6"/>
      <c r="E73" s="6"/>
      <c r="F73" s="6"/>
      <c r="G73" s="6"/>
      <c r="H73" s="6"/>
      <c r="I73" s="6"/>
    </row>
    <row r="74" spans="1:9" ht="15" customHeight="1" x14ac:dyDescent="0.2">
      <c r="A74" s="3" t="s">
        <v>378</v>
      </c>
      <c r="B74" s="70">
        <f t="shared" ref="B74:I74" si="38">CHOOSE(B75,(B80*B82)*(1-B79),B77)</f>
        <v>0</v>
      </c>
      <c r="C74" s="70">
        <f t="shared" si="38"/>
        <v>0</v>
      </c>
      <c r="D74" s="70">
        <f t="shared" si="38"/>
        <v>0</v>
      </c>
      <c r="E74" s="70">
        <f t="shared" si="38"/>
        <v>0</v>
      </c>
      <c r="F74" s="70">
        <f t="shared" si="38"/>
        <v>0</v>
      </c>
      <c r="G74" s="70">
        <f t="shared" si="38"/>
        <v>0</v>
      </c>
      <c r="H74" s="70">
        <f t="shared" si="38"/>
        <v>0</v>
      </c>
      <c r="I74" s="70">
        <f t="shared" si="38"/>
        <v>0</v>
      </c>
    </row>
    <row r="75" spans="1:9" ht="15" customHeight="1" x14ac:dyDescent="0.2">
      <c r="A75" s="42" t="s">
        <v>361</v>
      </c>
      <c r="B75" s="3">
        <f t="shared" ref="B75:I75" si="39">B789</f>
        <v>1</v>
      </c>
      <c r="C75" s="3">
        <f t="shared" si="39"/>
        <v>1</v>
      </c>
      <c r="D75" s="3">
        <f t="shared" si="39"/>
        <v>1</v>
      </c>
      <c r="E75" s="3">
        <f t="shared" si="39"/>
        <v>1</v>
      </c>
      <c r="F75" s="3">
        <f t="shared" si="39"/>
        <v>1</v>
      </c>
      <c r="G75" s="3">
        <f t="shared" si="39"/>
        <v>1</v>
      </c>
      <c r="H75" s="3">
        <f t="shared" si="39"/>
        <v>1</v>
      </c>
      <c r="I75" s="3">
        <f t="shared" si="39"/>
        <v>1</v>
      </c>
    </row>
    <row r="77" spans="1:9" ht="15" customHeight="1" x14ac:dyDescent="0.2">
      <c r="A77" s="42" t="s">
        <v>365</v>
      </c>
      <c r="B77" s="70">
        <f t="shared" ref="B77:I77" si="40">B790</f>
        <v>0</v>
      </c>
      <c r="C77" s="70">
        <f t="shared" si="40"/>
        <v>0</v>
      </c>
      <c r="D77" s="70">
        <f t="shared" si="40"/>
        <v>0</v>
      </c>
      <c r="E77" s="70">
        <f t="shared" si="40"/>
        <v>0</v>
      </c>
      <c r="F77" s="70">
        <f t="shared" si="40"/>
        <v>0</v>
      </c>
      <c r="G77" s="70">
        <f t="shared" si="40"/>
        <v>0</v>
      </c>
      <c r="H77" s="70">
        <f t="shared" si="40"/>
        <v>0</v>
      </c>
      <c r="I77" s="70">
        <f t="shared" si="40"/>
        <v>0</v>
      </c>
    </row>
    <row r="79" spans="1:9" ht="15" customHeight="1" x14ac:dyDescent="0.2">
      <c r="A79" s="42" t="s">
        <v>363</v>
      </c>
      <c r="B79" s="44">
        <f t="shared" ref="B79:I80" si="41">B791</f>
        <v>0</v>
      </c>
      <c r="C79" s="44">
        <f t="shared" si="41"/>
        <v>0</v>
      </c>
      <c r="D79" s="44">
        <f t="shared" si="41"/>
        <v>0</v>
      </c>
      <c r="E79" s="44">
        <f t="shared" si="41"/>
        <v>0</v>
      </c>
      <c r="F79" s="44">
        <f t="shared" si="41"/>
        <v>0</v>
      </c>
      <c r="G79" s="44">
        <f t="shared" si="41"/>
        <v>0</v>
      </c>
      <c r="H79" s="44">
        <f t="shared" si="41"/>
        <v>0</v>
      </c>
      <c r="I79" s="44">
        <f t="shared" si="41"/>
        <v>0</v>
      </c>
    </row>
    <row r="80" spans="1:9" ht="15" customHeight="1" x14ac:dyDescent="0.2">
      <c r="A80" s="42" t="s">
        <v>362</v>
      </c>
      <c r="B80" s="68">
        <f t="shared" si="41"/>
        <v>0</v>
      </c>
      <c r="C80" s="68">
        <f t="shared" si="41"/>
        <v>0</v>
      </c>
      <c r="D80" s="68">
        <f t="shared" si="41"/>
        <v>0</v>
      </c>
      <c r="E80" s="68">
        <f t="shared" si="41"/>
        <v>0</v>
      </c>
      <c r="F80" s="68">
        <f t="shared" si="41"/>
        <v>0</v>
      </c>
      <c r="G80" s="68">
        <f t="shared" si="41"/>
        <v>0</v>
      </c>
      <c r="H80" s="68">
        <f t="shared" si="41"/>
        <v>0</v>
      </c>
      <c r="I80" s="68">
        <f t="shared" si="41"/>
        <v>0</v>
      </c>
    </row>
    <row r="82" spans="1:9" ht="15" customHeight="1" x14ac:dyDescent="0.2">
      <c r="A82" s="42" t="s">
        <v>364</v>
      </c>
      <c r="B82" s="53">
        <f t="shared" ref="B82:I82" si="42">B604</f>
        <v>123.25</v>
      </c>
      <c r="C82" s="53">
        <f t="shared" si="42"/>
        <v>129.09</v>
      </c>
      <c r="D82" s="53">
        <f t="shared" si="42"/>
        <v>100.75</v>
      </c>
      <c r="E82" s="53">
        <f t="shared" si="42"/>
        <v>95</v>
      </c>
      <c r="F82" s="53">
        <f t="shared" si="42"/>
        <v>80.714285714285708</v>
      </c>
      <c r="G82" s="53">
        <f t="shared" si="42"/>
        <v>80.714285714285708</v>
      </c>
      <c r="H82" s="53">
        <f t="shared" si="42"/>
        <v>71.428571428571431</v>
      </c>
      <c r="I82" s="53">
        <f t="shared" si="42"/>
        <v>72.28</v>
      </c>
    </row>
    <row r="83" spans="1:9" ht="15" customHeight="1" x14ac:dyDescent="0.2">
      <c r="A83" s="42"/>
      <c r="B83" s="53"/>
      <c r="C83" s="53"/>
      <c r="D83" s="53"/>
      <c r="E83" s="53"/>
      <c r="F83" s="53"/>
      <c r="G83" s="53"/>
      <c r="H83" s="53"/>
      <c r="I83" s="53"/>
    </row>
    <row r="84" spans="1:9" ht="15" customHeight="1" x14ac:dyDescent="0.2">
      <c r="A84" s="6" t="s">
        <v>382</v>
      </c>
      <c r="B84" s="6"/>
      <c r="C84" s="6"/>
      <c r="D84" s="6"/>
      <c r="E84" s="6"/>
      <c r="F84" s="6"/>
      <c r="G84" s="6"/>
      <c r="H84" s="6"/>
      <c r="I84" s="6"/>
    </row>
    <row r="85" spans="1:9" ht="15" customHeight="1" x14ac:dyDescent="0.2">
      <c r="A85" s="3" t="s">
        <v>381</v>
      </c>
      <c r="B85" s="73">
        <f t="shared" ref="B85:I85" si="43">IF(B86=0,0,B86*(B424-B87))</f>
        <v>4410</v>
      </c>
      <c r="C85" s="73">
        <f t="shared" si="43"/>
        <v>4410</v>
      </c>
      <c r="D85" s="73">
        <f t="shared" si="43"/>
        <v>4410</v>
      </c>
      <c r="E85" s="73">
        <f t="shared" si="43"/>
        <v>5290</v>
      </c>
      <c r="F85" s="73">
        <f t="shared" si="43"/>
        <v>5290</v>
      </c>
      <c r="G85" s="73">
        <f t="shared" si="43"/>
        <v>5290</v>
      </c>
      <c r="H85" s="73">
        <f t="shared" si="43"/>
        <v>5290</v>
      </c>
      <c r="I85" s="73">
        <f t="shared" si="43"/>
        <v>4761</v>
      </c>
    </row>
    <row r="86" spans="1:9" ht="15" customHeight="1" x14ac:dyDescent="0.2">
      <c r="A86" s="3" t="s">
        <v>33</v>
      </c>
      <c r="B86" s="45">
        <f t="shared" ref="B86:I87" si="44">B823</f>
        <v>21000</v>
      </c>
      <c r="C86" s="45">
        <f t="shared" si="44"/>
        <v>21000</v>
      </c>
      <c r="D86" s="45">
        <f t="shared" si="44"/>
        <v>21000</v>
      </c>
      <c r="E86" s="45">
        <f t="shared" si="44"/>
        <v>23000</v>
      </c>
      <c r="F86" s="45">
        <f t="shared" si="44"/>
        <v>23000</v>
      </c>
      <c r="G86" s="45">
        <f t="shared" si="44"/>
        <v>23000</v>
      </c>
      <c r="H86" s="45">
        <f t="shared" si="44"/>
        <v>23000</v>
      </c>
      <c r="I86" s="45">
        <f t="shared" si="44"/>
        <v>20700</v>
      </c>
    </row>
    <row r="87" spans="1:9" ht="15" customHeight="1" x14ac:dyDescent="0.2">
      <c r="A87" s="3" t="s">
        <v>379</v>
      </c>
      <c r="B87" s="36">
        <f t="shared" si="44"/>
        <v>0.15</v>
      </c>
      <c r="C87" s="36">
        <f t="shared" si="44"/>
        <v>0.15</v>
      </c>
      <c r="D87" s="36">
        <f t="shared" si="44"/>
        <v>0.15</v>
      </c>
      <c r="E87" s="36">
        <f t="shared" si="44"/>
        <v>0.15</v>
      </c>
      <c r="F87" s="36">
        <f t="shared" si="44"/>
        <v>0.15</v>
      </c>
      <c r="G87" s="36">
        <f t="shared" si="44"/>
        <v>0.15</v>
      </c>
      <c r="H87" s="36">
        <f t="shared" si="44"/>
        <v>0.15</v>
      </c>
      <c r="I87" s="36">
        <f t="shared" si="44"/>
        <v>0.15</v>
      </c>
    </row>
    <row r="88" spans="1:9" ht="15" customHeight="1" x14ac:dyDescent="0.2">
      <c r="A88" s="3" t="s">
        <v>380</v>
      </c>
      <c r="B88" s="36">
        <f t="shared" ref="B88:I88" si="45">B$547</f>
        <v>0.36</v>
      </c>
      <c r="C88" s="36">
        <f t="shared" si="45"/>
        <v>0.36</v>
      </c>
      <c r="D88" s="36">
        <f t="shared" si="45"/>
        <v>0.36</v>
      </c>
      <c r="E88" s="36">
        <f t="shared" si="45"/>
        <v>0.38</v>
      </c>
      <c r="F88" s="36">
        <f t="shared" si="45"/>
        <v>0.38</v>
      </c>
      <c r="G88" s="36">
        <f t="shared" si="45"/>
        <v>0.38</v>
      </c>
      <c r="H88" s="36">
        <f t="shared" si="45"/>
        <v>0.38</v>
      </c>
      <c r="I88" s="36">
        <f t="shared" si="45"/>
        <v>0.38</v>
      </c>
    </row>
    <row r="90" spans="1:9" ht="15" customHeight="1" x14ac:dyDescent="0.2">
      <c r="A90" s="6" t="s">
        <v>8</v>
      </c>
      <c r="B90" s="6"/>
      <c r="C90" s="6"/>
      <c r="D90" s="6"/>
      <c r="E90" s="6"/>
      <c r="F90" s="6"/>
      <c r="G90" s="6"/>
      <c r="H90" s="6"/>
      <c r="I90" s="6"/>
    </row>
    <row r="91" spans="1:9" ht="15" customHeight="1" x14ac:dyDescent="0.2">
      <c r="A91" s="3" t="s">
        <v>404</v>
      </c>
      <c r="B91" s="70">
        <f t="shared" ref="B91:I91" ca="1" si="46">B93+B92</f>
        <v>611824.76980965026</v>
      </c>
      <c r="C91" s="70">
        <f t="shared" ca="1" si="46"/>
        <v>574035.91646777536</v>
      </c>
      <c r="D91" s="70">
        <f t="shared" ca="1" si="46"/>
        <v>518370.98632747924</v>
      </c>
      <c r="E91" s="70">
        <f t="shared" ca="1" si="46"/>
        <v>466944.67026683548</v>
      </c>
      <c r="F91" s="70">
        <f t="shared" ca="1" si="46"/>
        <v>479114.26349221275</v>
      </c>
      <c r="G91" s="70">
        <f t="shared" ca="1" si="46"/>
        <v>471486.14746490947</v>
      </c>
      <c r="H91" s="70">
        <f t="shared" ca="1" si="46"/>
        <v>431063.79853165708</v>
      </c>
      <c r="I91" s="70">
        <f t="shared" ca="1" si="46"/>
        <v>452656.10551020573</v>
      </c>
    </row>
    <row r="92" spans="1:9" ht="15" customHeight="1" x14ac:dyDescent="0.2">
      <c r="A92" s="42" t="s">
        <v>480</v>
      </c>
      <c r="B92" s="70">
        <f t="shared" ref="B92:I92" ca="1" si="47">SUM(OFFSET(B$165,0,0,B$160,1))</f>
        <v>313381.81023601483</v>
      </c>
      <c r="C92" s="70">
        <f t="shared" ca="1" si="47"/>
        <v>292924.11751113087</v>
      </c>
      <c r="D92" s="70">
        <f t="shared" ca="1" si="47"/>
        <v>257472.42235094323</v>
      </c>
      <c r="E92" s="70">
        <f t="shared" ca="1" si="47"/>
        <v>239968.62639799566</v>
      </c>
      <c r="F92" s="70">
        <f t="shared" ca="1" si="47"/>
        <v>241321.40142982476</v>
      </c>
      <c r="G92" s="70">
        <f t="shared" ca="1" si="47"/>
        <v>236205.9422711134</v>
      </c>
      <c r="H92" s="70">
        <f t="shared" ca="1" si="47"/>
        <v>232946.67991486087</v>
      </c>
      <c r="I92" s="70">
        <f t="shared" ca="1" si="47"/>
        <v>225926.32297571041</v>
      </c>
    </row>
    <row r="93" spans="1:9" ht="15" customHeight="1" x14ac:dyDescent="0.2">
      <c r="A93" s="42" t="s">
        <v>406</v>
      </c>
      <c r="B93" s="70">
        <f t="shared" ref="B93:I93" ca="1" si="48">+B95*OFFSET(B$206,B$160,0)</f>
        <v>298442.95957363548</v>
      </c>
      <c r="C93" s="70">
        <f t="shared" ca="1" si="48"/>
        <v>281111.79895664455</v>
      </c>
      <c r="D93" s="70">
        <f t="shared" ca="1" si="48"/>
        <v>260898.56397653598</v>
      </c>
      <c r="E93" s="70">
        <f t="shared" ca="1" si="48"/>
        <v>226976.0438688398</v>
      </c>
      <c r="F93" s="70">
        <f t="shared" ca="1" si="48"/>
        <v>237792.86206238795</v>
      </c>
      <c r="G93" s="70">
        <f t="shared" ca="1" si="48"/>
        <v>235280.20519379608</v>
      </c>
      <c r="H93" s="70">
        <f t="shared" ca="1" si="48"/>
        <v>198117.11861679622</v>
      </c>
      <c r="I93" s="70">
        <f t="shared" ca="1" si="48"/>
        <v>226729.78253449535</v>
      </c>
    </row>
    <row r="95" spans="1:9" ht="15" customHeight="1" x14ac:dyDescent="0.2">
      <c r="A95" s="42" t="s">
        <v>405</v>
      </c>
      <c r="B95" s="70">
        <f t="shared" ref="B95:I95" ca="1" si="49">B102</f>
        <v>668147.37343803211</v>
      </c>
      <c r="C95" s="70">
        <f t="shared" ca="1" si="49"/>
        <v>632532.04752255394</v>
      </c>
      <c r="D95" s="70">
        <f t="shared" ca="1" si="49"/>
        <v>610138.48435684142</v>
      </c>
      <c r="E95" s="70">
        <f t="shared" ca="1" si="49"/>
        <v>584131.2926788443</v>
      </c>
      <c r="F95" s="70">
        <f t="shared" ca="1" si="49"/>
        <v>584116.11995270546</v>
      </c>
      <c r="G95" s="70">
        <f t="shared" ca="1" si="49"/>
        <v>578727.13555804885</v>
      </c>
      <c r="H95" s="70">
        <f t="shared" ca="1" si="49"/>
        <v>491225.49649208976</v>
      </c>
      <c r="I95" s="70">
        <f t="shared" ca="1" si="49"/>
        <v>623856.72140012693</v>
      </c>
    </row>
    <row r="96" spans="1:9" ht="15" customHeight="1" x14ac:dyDescent="0.2">
      <c r="A96" s="42" t="s">
        <v>360</v>
      </c>
      <c r="B96" s="37">
        <f t="shared" ref="B96:I96" si="50">B115</f>
        <v>0.08</v>
      </c>
      <c r="C96" s="37">
        <f t="shared" si="50"/>
        <v>0.08</v>
      </c>
      <c r="D96" s="37">
        <f t="shared" si="50"/>
        <v>0.08</v>
      </c>
      <c r="E96" s="37">
        <f t="shared" si="50"/>
        <v>0.08</v>
      </c>
      <c r="F96" s="37">
        <f t="shared" si="50"/>
        <v>0.08</v>
      </c>
      <c r="G96" s="37">
        <f t="shared" si="50"/>
        <v>0.08</v>
      </c>
      <c r="H96" s="37">
        <f t="shared" si="50"/>
        <v>0.08</v>
      </c>
      <c r="I96" s="37">
        <f t="shared" si="50"/>
        <v>0.08</v>
      </c>
    </row>
    <row r="97" spans="1:9" ht="15" customHeight="1" x14ac:dyDescent="0.2">
      <c r="A97" s="42" t="s">
        <v>359</v>
      </c>
      <c r="B97" s="70">
        <f t="shared" ref="B97:I97" ca="1" si="51">B118</f>
        <v>40422.916093000938</v>
      </c>
      <c r="C97" s="70">
        <f t="shared" ca="1" si="51"/>
        <v>37951.922851353236</v>
      </c>
      <c r="D97" s="70">
        <f t="shared" ca="1" si="51"/>
        <v>33679.644336497644</v>
      </c>
      <c r="E97" s="70">
        <f t="shared" ca="1" si="51"/>
        <v>31543.089804657597</v>
      </c>
      <c r="F97" s="70">
        <f t="shared" ca="1" si="51"/>
        <v>30958.154357493393</v>
      </c>
      <c r="G97" s="70">
        <f t="shared" ca="1" si="51"/>
        <v>30556.79275746498</v>
      </c>
      <c r="H97" s="70">
        <f t="shared" ca="1" si="51"/>
        <v>24364.784626007655</v>
      </c>
      <c r="I97" s="70">
        <f t="shared" ca="1" si="51"/>
        <v>31192.836070006346</v>
      </c>
    </row>
    <row r="99" spans="1:9" ht="15" customHeight="1" x14ac:dyDescent="0.2">
      <c r="A99" s="6" t="s">
        <v>474</v>
      </c>
      <c r="B99" s="6"/>
      <c r="C99" s="6"/>
      <c r="D99" s="6"/>
      <c r="E99" s="6"/>
      <c r="F99" s="6"/>
      <c r="G99" s="6"/>
      <c r="H99" s="6"/>
      <c r="I99" s="6"/>
    </row>
    <row r="100" spans="1:9" ht="15" customHeight="1" x14ac:dyDescent="0.2">
      <c r="A100" s="1"/>
    </row>
    <row r="101" spans="1:9" ht="15" customHeight="1" x14ac:dyDescent="0.2">
      <c r="A101" s="46" t="s">
        <v>479</v>
      </c>
      <c r="B101" s="74">
        <f t="shared" ref="B101:I101" ca="1" si="52">B102/B103-1</f>
        <v>-0.10712809917355359</v>
      </c>
      <c r="C101" s="74">
        <f t="shared" ca="1" si="52"/>
        <v>-9.7222222222222099E-2</v>
      </c>
      <c r="D101" s="74">
        <f t="shared" ca="1" si="52"/>
        <v>3.1642512077294516E-3</v>
      </c>
      <c r="E101" s="74">
        <f t="shared" ca="1" si="52"/>
        <v>2.9938271604937894E-2</v>
      </c>
      <c r="F101" s="74">
        <f t="shared" ca="1" si="52"/>
        <v>5.2830188679245271E-2</v>
      </c>
      <c r="G101" s="74">
        <f t="shared" ca="1" si="52"/>
        <v>5.7474747474747456E-2</v>
      </c>
      <c r="H101" s="74">
        <f t="shared" ca="1" si="52"/>
        <v>-5.750000000000044E-2</v>
      </c>
      <c r="I101" s="74">
        <f t="shared" ca="1" si="52"/>
        <v>0.125</v>
      </c>
    </row>
    <row r="102" spans="1:9" ht="15" customHeight="1" x14ac:dyDescent="0.2">
      <c r="A102" s="46" t="s">
        <v>473</v>
      </c>
      <c r="B102" s="75">
        <f t="shared" ref="B102:I102" ca="1" si="53">B118/(B115-B116)</f>
        <v>668147.37343803211</v>
      </c>
      <c r="C102" s="75">
        <f t="shared" ca="1" si="53"/>
        <v>632532.04752255394</v>
      </c>
      <c r="D102" s="75">
        <f t="shared" ca="1" si="53"/>
        <v>610138.48435684142</v>
      </c>
      <c r="E102" s="75">
        <f t="shared" ca="1" si="53"/>
        <v>584131.2926788443</v>
      </c>
      <c r="F102" s="75">
        <f t="shared" ca="1" si="53"/>
        <v>584116.11995270546</v>
      </c>
      <c r="G102" s="75">
        <f t="shared" ca="1" si="53"/>
        <v>578727.13555804885</v>
      </c>
      <c r="H102" s="75">
        <f t="shared" ca="1" si="53"/>
        <v>491225.49649208976</v>
      </c>
      <c r="I102" s="75">
        <f t="shared" ca="1" si="53"/>
        <v>623856.72140012693</v>
      </c>
    </row>
    <row r="103" spans="1:9" ht="15" customHeight="1" x14ac:dyDescent="0.2">
      <c r="A103" s="46" t="s">
        <v>477</v>
      </c>
      <c r="B103" s="75">
        <f t="shared" ref="B103:I103" ca="1" si="54">B120*(1-B123)*(1-B104)/(B105-B125)</f>
        <v>748312.68944581167</v>
      </c>
      <c r="C103" s="75">
        <f t="shared" ca="1" si="54"/>
        <v>700650.88340959814</v>
      </c>
      <c r="D103" s="75">
        <f t="shared" ca="1" si="54"/>
        <v>608213.94265423983</v>
      </c>
      <c r="E103" s="75">
        <f t="shared" ca="1" si="54"/>
        <v>567151.74955932156</v>
      </c>
      <c r="F103" s="75">
        <f t="shared" ca="1" si="54"/>
        <v>554805.63364683499</v>
      </c>
      <c r="G103" s="75">
        <f t="shared" ca="1" si="54"/>
        <v>547272.7712317016</v>
      </c>
      <c r="H103" s="75">
        <f t="shared" ca="1" si="54"/>
        <v>521194.16073431302</v>
      </c>
      <c r="I103" s="75">
        <f t="shared" ca="1" si="54"/>
        <v>554539.30791122396</v>
      </c>
    </row>
    <row r="104" spans="1:9" ht="15" customHeight="1" x14ac:dyDescent="0.2">
      <c r="A104" s="46" t="s">
        <v>478</v>
      </c>
      <c r="B104" s="76">
        <f t="shared" ref="B104:I104" si="55">B125/B105</f>
        <v>0.30232558139534882</v>
      </c>
      <c r="C104" s="76">
        <f t="shared" si="55"/>
        <v>0.30769230769230771</v>
      </c>
      <c r="D104" s="76">
        <f t="shared" si="55"/>
        <v>0.35530085959885382</v>
      </c>
      <c r="E104" s="76">
        <f t="shared" si="55"/>
        <v>0.36619718309859156</v>
      </c>
      <c r="F104" s="76">
        <f t="shared" si="55"/>
        <v>0.375</v>
      </c>
      <c r="G104" s="76">
        <f t="shared" si="55"/>
        <v>0.37673130193905813</v>
      </c>
      <c r="H104" s="76">
        <f t="shared" si="55"/>
        <v>0.40318302387267907</v>
      </c>
      <c r="I104" s="76">
        <f t="shared" si="55"/>
        <v>0.4</v>
      </c>
    </row>
    <row r="105" spans="1:9" ht="15" customHeight="1" x14ac:dyDescent="0.2">
      <c r="A105" s="46" t="s">
        <v>472</v>
      </c>
      <c r="B105" s="76">
        <f t="shared" ref="B105:I105" si="56">B800</f>
        <v>6.4500000000000002E-2</v>
      </c>
      <c r="C105" s="76">
        <f t="shared" si="56"/>
        <v>6.5000000000000002E-2</v>
      </c>
      <c r="D105" s="76">
        <f t="shared" si="56"/>
        <v>6.9800000000000001E-2</v>
      </c>
      <c r="E105" s="76">
        <f t="shared" si="56"/>
        <v>7.0999999999999994E-2</v>
      </c>
      <c r="F105" s="76">
        <f t="shared" si="56"/>
        <v>7.1999999999999995E-2</v>
      </c>
      <c r="G105" s="76">
        <f t="shared" si="56"/>
        <v>7.22E-2</v>
      </c>
      <c r="H105" s="76">
        <f t="shared" si="56"/>
        <v>7.5399999999999995E-2</v>
      </c>
      <c r="I105" s="76">
        <f t="shared" si="56"/>
        <v>7.4999999999999997E-2</v>
      </c>
    </row>
    <row r="106" spans="1:9" ht="15" customHeight="1" x14ac:dyDescent="0.2">
      <c r="A106" s="46"/>
      <c r="B106" s="46"/>
      <c r="C106" s="46"/>
      <c r="D106" s="46"/>
      <c r="E106" s="46"/>
      <c r="F106" s="46"/>
      <c r="G106" s="46"/>
      <c r="H106" s="46"/>
      <c r="I106" s="46"/>
    </row>
    <row r="107" spans="1:9" ht="15" customHeight="1" x14ac:dyDescent="0.2">
      <c r="A107" s="46" t="s">
        <v>471</v>
      </c>
      <c r="B107" s="67" t="str">
        <f t="shared" ref="B107:I107" si="57">IF(B116&gt;B125,"NOPE. NOT POSSIBLE. NO WAY.. GROWTH &gt; RISK FREE RATE"," ")</f>
        <v xml:space="preserve"> </v>
      </c>
      <c r="C107" s="67" t="str">
        <f t="shared" si="57"/>
        <v xml:space="preserve"> </v>
      </c>
      <c r="D107" s="67" t="str">
        <f t="shared" si="57"/>
        <v xml:space="preserve"> </v>
      </c>
      <c r="E107" s="67" t="str">
        <f t="shared" si="57"/>
        <v xml:space="preserve"> </v>
      </c>
      <c r="F107" s="67" t="str">
        <f t="shared" si="57"/>
        <v xml:space="preserve"> </v>
      </c>
      <c r="G107" s="67" t="str">
        <f t="shared" si="57"/>
        <v xml:space="preserve"> </v>
      </c>
      <c r="H107" s="67" t="str">
        <f t="shared" si="57"/>
        <v xml:space="preserve"> </v>
      </c>
      <c r="I107" s="67" t="str">
        <f t="shared" si="57"/>
        <v xml:space="preserve"> </v>
      </c>
    </row>
    <row r="108" spans="1:9" ht="15" customHeight="1" x14ac:dyDescent="0.2">
      <c r="A108" s="47">
        <v>0.05</v>
      </c>
      <c r="B108" s="77" t="str">
        <f t="shared" ref="B108:I108" ca="1" si="58">IF(B113&lt;B115,"You are destroying value forever. Is that intentional?",(IF((B113&gt;B115+$A108),"Your ROIC exceeds your cost of capital by more than "&amp;TEXT($A108,"0.0%")&amp;" in perpetuity. Tough to do!","We can live with this ROIC. Can you?")))</f>
        <v>We can live with this ROIC. Can you?</v>
      </c>
      <c r="C108" s="77" t="str">
        <f t="shared" ca="1" si="58"/>
        <v>We can live with this ROIC. Can you?</v>
      </c>
      <c r="D108" s="77" t="str">
        <f t="shared" ca="1" si="58"/>
        <v>We can live with this ROIC. Can you?</v>
      </c>
      <c r="E108" s="77" t="str">
        <f t="shared" ca="1" si="58"/>
        <v>We can live with this ROIC. Can you?</v>
      </c>
      <c r="F108" s="77" t="str">
        <f t="shared" ca="1" si="58"/>
        <v>We can live with this ROIC. Can you?</v>
      </c>
      <c r="G108" s="77" t="str">
        <f t="shared" ca="1" si="58"/>
        <v>We can live with this ROIC. Can you?</v>
      </c>
      <c r="H108" s="77" t="str">
        <f t="shared" ca="1" si="58"/>
        <v>We can live with this ROIC. Can you?</v>
      </c>
      <c r="I108" s="77" t="str">
        <f t="shared" ca="1" si="58"/>
        <v>We can live with this ROIC. Can you?</v>
      </c>
    </row>
    <row r="109" spans="1:9" ht="15" customHeight="1" x14ac:dyDescent="0.2">
      <c r="A109" s="46" t="s">
        <v>470</v>
      </c>
      <c r="B109" s="67" t="str">
        <f t="shared" ref="B109:I109" ca="1" si="59">IF((1-B119/B120)&lt;B123,"Your effective tax in perpetuity &lt; marginal tax rate. Can you defer taxes forever?"," ")</f>
        <v xml:space="preserve"> </v>
      </c>
      <c r="C109" s="67" t="str">
        <f t="shared" ca="1" si="59"/>
        <v xml:space="preserve"> </v>
      </c>
      <c r="D109" s="67" t="str">
        <f t="shared" ca="1" si="59"/>
        <v xml:space="preserve"> </v>
      </c>
      <c r="E109" s="67" t="str">
        <f t="shared" ca="1" si="59"/>
        <v xml:space="preserve"> </v>
      </c>
      <c r="F109" s="67" t="str">
        <f t="shared" ca="1" si="59"/>
        <v xml:space="preserve"> </v>
      </c>
      <c r="G109" s="67" t="str">
        <f t="shared" ca="1" si="59"/>
        <v xml:space="preserve"> </v>
      </c>
      <c r="H109" s="67" t="str">
        <f t="shared" ca="1" si="59"/>
        <v xml:space="preserve"> </v>
      </c>
      <c r="I109" s="67" t="str">
        <f t="shared" ca="1" si="59"/>
        <v xml:space="preserve"> </v>
      </c>
    </row>
    <row r="110" spans="1:9" ht="15" customHeight="1" x14ac:dyDescent="0.2">
      <c r="A110" s="46" t="s">
        <v>469</v>
      </c>
      <c r="B110" s="67" t="str">
        <f t="shared" ref="B110:I110" ca="1" si="60">IF(B115=B122,"The cost of capital in stable growth = cost of capital in high growth. Why is it not changing as your growth changes?"," ")</f>
        <v xml:space="preserve"> </v>
      </c>
      <c r="C110" s="67" t="str">
        <f t="shared" ca="1" si="60"/>
        <v xml:space="preserve"> </v>
      </c>
      <c r="D110" s="67" t="str">
        <f t="shared" ca="1" si="60"/>
        <v xml:space="preserve"> </v>
      </c>
      <c r="E110" s="67" t="str">
        <f t="shared" ca="1" si="60"/>
        <v xml:space="preserve"> </v>
      </c>
      <c r="F110" s="67" t="str">
        <f t="shared" ca="1" si="60"/>
        <v xml:space="preserve"> </v>
      </c>
      <c r="G110" s="67" t="str">
        <f t="shared" ca="1" si="60"/>
        <v xml:space="preserve"> </v>
      </c>
      <c r="H110" s="67" t="str">
        <f t="shared" ca="1" si="60"/>
        <v xml:space="preserve"> </v>
      </c>
      <c r="I110" s="67" t="str">
        <f t="shared" ca="1" si="60"/>
        <v xml:space="preserve"> </v>
      </c>
    </row>
    <row r="112" spans="1:9" ht="15" customHeight="1" x14ac:dyDescent="0.2">
      <c r="A112" s="46" t="s">
        <v>468</v>
      </c>
      <c r="B112" s="76">
        <f t="shared" ref="B112:I112" ca="1" si="61">1-B118/B119</f>
        <v>0.16249999999999998</v>
      </c>
      <c r="C112" s="76">
        <f t="shared" ca="1" si="61"/>
        <v>0.16666666666666663</v>
      </c>
      <c r="D112" s="76">
        <f t="shared" ca="1" si="61"/>
        <v>0.20666666666666667</v>
      </c>
      <c r="E112" s="76">
        <f t="shared" ca="1" si="61"/>
        <v>0.21666666666666667</v>
      </c>
      <c r="F112" s="76">
        <f t="shared" ca="1" si="61"/>
        <v>0.22499999999999998</v>
      </c>
      <c r="G112" s="76">
        <f t="shared" ca="1" si="61"/>
        <v>0.22666666666666668</v>
      </c>
      <c r="H112" s="76">
        <f t="shared" ca="1" si="61"/>
        <v>0.38000000000000012</v>
      </c>
      <c r="I112" s="76">
        <f t="shared" ca="1" si="61"/>
        <v>0.25</v>
      </c>
    </row>
    <row r="113" spans="1:9" ht="15" customHeight="1" x14ac:dyDescent="0.2">
      <c r="A113" s="46" t="s">
        <v>467</v>
      </c>
      <c r="B113" s="76">
        <f t="shared" ref="B113:I113" ca="1" si="62">IF(B112&gt;0,IF(B116&gt;0,B116/B112,"Why are you investing with no growth?"),IF(B116&gt;0,"Miracles can happen but you cannot grow without reinvesting","Not meaningful"))</f>
        <v>0.12000000000000001</v>
      </c>
      <c r="C113" s="76">
        <f t="shared" ca="1" si="62"/>
        <v>0.12000000000000002</v>
      </c>
      <c r="D113" s="76">
        <f t="shared" ca="1" si="62"/>
        <v>0.12</v>
      </c>
      <c r="E113" s="76">
        <f t="shared" ca="1" si="62"/>
        <v>0.12</v>
      </c>
      <c r="F113" s="76">
        <f t="shared" ca="1" si="62"/>
        <v>0.12000000000000001</v>
      </c>
      <c r="G113" s="76">
        <f t="shared" ca="1" si="62"/>
        <v>0.11999999999999998</v>
      </c>
      <c r="H113" s="76">
        <f t="shared" ca="1" si="62"/>
        <v>7.9999999999999974E-2</v>
      </c>
      <c r="I113" s="76">
        <f t="shared" ca="1" si="62"/>
        <v>0.12</v>
      </c>
    </row>
    <row r="115" spans="1:9" ht="15" customHeight="1" x14ac:dyDescent="0.2">
      <c r="A115" s="46" t="s">
        <v>466</v>
      </c>
      <c r="B115" s="71">
        <f t="shared" ref="B115:I115" si="63">B146</f>
        <v>0.08</v>
      </c>
      <c r="C115" s="71">
        <f t="shared" si="63"/>
        <v>0.08</v>
      </c>
      <c r="D115" s="71">
        <f t="shared" si="63"/>
        <v>0.08</v>
      </c>
      <c r="E115" s="71">
        <f t="shared" si="63"/>
        <v>0.08</v>
      </c>
      <c r="F115" s="71">
        <f t="shared" si="63"/>
        <v>0.08</v>
      </c>
      <c r="G115" s="71">
        <f t="shared" si="63"/>
        <v>0.08</v>
      </c>
      <c r="H115" s="71">
        <f t="shared" si="63"/>
        <v>0.08</v>
      </c>
      <c r="I115" s="71">
        <f t="shared" si="63"/>
        <v>0.08</v>
      </c>
    </row>
    <row r="116" spans="1:9" ht="15" customHeight="1" x14ac:dyDescent="0.2">
      <c r="A116" s="46" t="s">
        <v>459</v>
      </c>
      <c r="B116" s="78">
        <f t="shared" ref="B116:I116" si="64">B802</f>
        <v>1.95E-2</v>
      </c>
      <c r="C116" s="78">
        <f t="shared" si="64"/>
        <v>0.02</v>
      </c>
      <c r="D116" s="78">
        <f t="shared" si="64"/>
        <v>2.4799999999999999E-2</v>
      </c>
      <c r="E116" s="78">
        <f t="shared" si="64"/>
        <v>2.5999999999999999E-2</v>
      </c>
      <c r="F116" s="78">
        <f t="shared" si="64"/>
        <v>2.7E-2</v>
      </c>
      <c r="G116" s="78">
        <f t="shared" si="64"/>
        <v>2.7199999999999998E-2</v>
      </c>
      <c r="H116" s="78">
        <f t="shared" si="64"/>
        <v>3.04E-2</v>
      </c>
      <c r="I116" s="78">
        <f t="shared" si="64"/>
        <v>0.03</v>
      </c>
    </row>
    <row r="117" spans="1:9" ht="15" customHeight="1" x14ac:dyDescent="0.2">
      <c r="A117" s="46"/>
    </row>
    <row r="118" spans="1:9" ht="15" customHeight="1" x14ac:dyDescent="0.2">
      <c r="A118" s="46" t="s">
        <v>465</v>
      </c>
      <c r="B118" s="45">
        <f t="shared" ref="B118:I118" ca="1" si="65">B145</f>
        <v>40422.916093000938</v>
      </c>
      <c r="C118" s="45">
        <f t="shared" ca="1" si="65"/>
        <v>37951.922851353236</v>
      </c>
      <c r="D118" s="45">
        <f t="shared" ca="1" si="65"/>
        <v>33679.644336497644</v>
      </c>
      <c r="E118" s="45">
        <f t="shared" ca="1" si="65"/>
        <v>31543.089804657597</v>
      </c>
      <c r="F118" s="45">
        <f t="shared" ca="1" si="65"/>
        <v>30958.154357493393</v>
      </c>
      <c r="G118" s="45">
        <f t="shared" ca="1" si="65"/>
        <v>30556.79275746498</v>
      </c>
      <c r="H118" s="45">
        <f t="shared" ca="1" si="65"/>
        <v>24364.784626007655</v>
      </c>
      <c r="I118" s="45">
        <f t="shared" ca="1" si="65"/>
        <v>31192.836070006346</v>
      </c>
    </row>
    <row r="119" spans="1:9" ht="15" customHeight="1" x14ac:dyDescent="0.2">
      <c r="A119" s="46" t="s">
        <v>464</v>
      </c>
      <c r="B119" s="45">
        <f t="shared" ref="B119:I119" ca="1" si="66">B150</f>
        <v>48266.168469254852</v>
      </c>
      <c r="C119" s="45">
        <f t="shared" ca="1" si="66"/>
        <v>45542.307421623882</v>
      </c>
      <c r="D119" s="45">
        <f t="shared" ca="1" si="66"/>
        <v>42453.333197265936</v>
      </c>
      <c r="E119" s="45">
        <f t="shared" ca="1" si="66"/>
        <v>40267.774218711827</v>
      </c>
      <c r="F119" s="45">
        <f t="shared" ca="1" si="66"/>
        <v>39946.00562257212</v>
      </c>
      <c r="G119" s="45">
        <f t="shared" ca="1" si="66"/>
        <v>39513.094082928852</v>
      </c>
      <c r="H119" s="45">
        <f t="shared" ca="1" si="66"/>
        <v>39298.039719367196</v>
      </c>
      <c r="I119" s="45">
        <f t="shared" ca="1" si="66"/>
        <v>41590.448093341794</v>
      </c>
    </row>
    <row r="120" spans="1:9" ht="15" customHeight="1" x14ac:dyDescent="0.2">
      <c r="A120" s="46" t="s">
        <v>463</v>
      </c>
      <c r="B120" s="45">
        <f t="shared" ref="B120:I120" ca="1" si="67">B153</f>
        <v>75415.888233210702</v>
      </c>
      <c r="C120" s="45">
        <f t="shared" ca="1" si="67"/>
        <v>71159.85534628731</v>
      </c>
      <c r="D120" s="45">
        <f t="shared" ca="1" si="67"/>
        <v>66333.333120728028</v>
      </c>
      <c r="E120" s="45">
        <f t="shared" ca="1" si="67"/>
        <v>64948.022933406173</v>
      </c>
      <c r="F120" s="45">
        <f t="shared" ca="1" si="67"/>
        <v>64429.041326729224</v>
      </c>
      <c r="G120" s="45">
        <f t="shared" ca="1" si="67"/>
        <v>63730.796907949756</v>
      </c>
      <c r="H120" s="45">
        <f t="shared" ca="1" si="67"/>
        <v>63383.935031237415</v>
      </c>
      <c r="I120" s="45">
        <f t="shared" ca="1" si="67"/>
        <v>67081.367892486771</v>
      </c>
    </row>
    <row r="122" spans="1:9" ht="15" customHeight="1" x14ac:dyDescent="0.2">
      <c r="A122" s="46" t="s">
        <v>462</v>
      </c>
      <c r="B122" s="71">
        <f t="shared" ref="B122:I122" ca="1" si="68">B$221</f>
        <v>8.5616478250876329E-2</v>
      </c>
      <c r="C122" s="71">
        <f t="shared" ca="1" si="68"/>
        <v>8.6399225155159756E-2</v>
      </c>
      <c r="D122" s="71">
        <f t="shared" ca="1" si="68"/>
        <v>9.239676427316143E-2</v>
      </c>
      <c r="E122" s="71">
        <f t="shared" ca="1" si="68"/>
        <v>0.10740672303923111</v>
      </c>
      <c r="F122" s="71">
        <f t="shared" ca="1" si="68"/>
        <v>0.10008009908896695</v>
      </c>
      <c r="G122" s="71">
        <f t="shared" ca="1" si="68"/>
        <v>0.10029247285368061</v>
      </c>
      <c r="H122" s="71">
        <f t="shared" ca="1" si="68"/>
        <v>0.10154649937414874</v>
      </c>
      <c r="I122" s="71">
        <f t="shared" ca="1" si="68"/>
        <v>0.11800171037140457</v>
      </c>
    </row>
    <row r="123" spans="1:9" ht="15" customHeight="1" x14ac:dyDescent="0.2">
      <c r="A123" s="46" t="s">
        <v>23</v>
      </c>
      <c r="B123" s="44">
        <f t="shared" ref="B123:I123" si="69">B$547</f>
        <v>0.36</v>
      </c>
      <c r="C123" s="44">
        <f t="shared" si="69"/>
        <v>0.36</v>
      </c>
      <c r="D123" s="44">
        <f t="shared" si="69"/>
        <v>0.36</v>
      </c>
      <c r="E123" s="44">
        <f t="shared" si="69"/>
        <v>0.38</v>
      </c>
      <c r="F123" s="44">
        <f t="shared" si="69"/>
        <v>0.38</v>
      </c>
      <c r="G123" s="44">
        <f t="shared" si="69"/>
        <v>0.38</v>
      </c>
      <c r="H123" s="44">
        <f t="shared" si="69"/>
        <v>0.38</v>
      </c>
      <c r="I123" s="44">
        <f t="shared" si="69"/>
        <v>0.38</v>
      </c>
    </row>
    <row r="124" spans="1:9" ht="15" customHeight="1" x14ac:dyDescent="0.2">
      <c r="A124" s="46" t="s">
        <v>461</v>
      </c>
      <c r="B124" s="44">
        <f t="shared" ref="B124:I124" ca="1" si="70">B$318</f>
        <v>0.26906916612798965</v>
      </c>
      <c r="C124" s="44">
        <f t="shared" ca="1" si="70"/>
        <v>0.26179554390563564</v>
      </c>
      <c r="D124" s="44">
        <f t="shared" ca="1" si="70"/>
        <v>0.26194211994421202</v>
      </c>
      <c r="E124" s="44">
        <f t="shared" ca="1" si="70"/>
        <v>0.2620963710886734</v>
      </c>
      <c r="F124" s="44">
        <f t="shared" ca="1" si="70"/>
        <v>0.2611</v>
      </c>
      <c r="G124" s="44">
        <f t="shared" ca="1" si="70"/>
        <v>0.26184425998080074</v>
      </c>
      <c r="H124" s="44">
        <f t="shared" ca="1" si="70"/>
        <v>0.26150000000000001</v>
      </c>
      <c r="I124" s="44">
        <f t="shared" ca="1" si="70"/>
        <v>0.2620963710886734</v>
      </c>
    </row>
    <row r="125" spans="1:9" ht="15" customHeight="1" x14ac:dyDescent="0.2">
      <c r="A125" s="46" t="s">
        <v>460</v>
      </c>
      <c r="B125" s="71">
        <f t="shared" ref="B125:I125" si="71">B564</f>
        <v>1.95E-2</v>
      </c>
      <c r="C125" s="71">
        <f t="shared" si="71"/>
        <v>0.02</v>
      </c>
      <c r="D125" s="71">
        <f t="shared" si="71"/>
        <v>2.4799999999999999E-2</v>
      </c>
      <c r="E125" s="71">
        <f t="shared" si="71"/>
        <v>2.5999999999999999E-2</v>
      </c>
      <c r="F125" s="71">
        <f t="shared" si="71"/>
        <v>2.7E-2</v>
      </c>
      <c r="G125" s="71">
        <f t="shared" si="71"/>
        <v>2.7199999999999998E-2</v>
      </c>
      <c r="H125" s="71">
        <f t="shared" si="71"/>
        <v>3.04E-2</v>
      </c>
      <c r="I125" s="71">
        <f t="shared" si="71"/>
        <v>0.03</v>
      </c>
    </row>
    <row r="127" spans="1:9" ht="15" customHeight="1" x14ac:dyDescent="0.2">
      <c r="A127" s="35" t="s">
        <v>409</v>
      </c>
      <c r="B127" s="35"/>
      <c r="C127" s="35"/>
      <c r="D127" s="35"/>
      <c r="E127" s="35"/>
      <c r="F127" s="35"/>
      <c r="G127" s="35"/>
      <c r="H127" s="35"/>
      <c r="I127" s="35"/>
    </row>
    <row r="128" spans="1:9" ht="15" customHeight="1" x14ac:dyDescent="0.2">
      <c r="A128" s="3" t="s">
        <v>410</v>
      </c>
      <c r="B128" s="79">
        <f t="shared" ref="B128:I128" ca="1" si="72">B11</f>
        <v>0.9438111246924028</v>
      </c>
      <c r="C128" s="79">
        <f t="shared" ca="1" si="72"/>
        <v>1.0644273253468428</v>
      </c>
      <c r="D128" s="79">
        <f t="shared" ca="1" si="72"/>
        <v>0.93947649581844384</v>
      </c>
      <c r="E128" s="79">
        <f t="shared" ca="1" si="72"/>
        <v>0.94726886166582824</v>
      </c>
      <c r="F128" s="79">
        <f t="shared" ca="1" si="72"/>
        <v>0.80652807625270451</v>
      </c>
      <c r="G128" s="79">
        <f t="shared" ca="1" si="72"/>
        <v>0.80568794218047002</v>
      </c>
      <c r="H128" s="79">
        <f t="shared" ca="1" si="72"/>
        <v>0.8235015521741943</v>
      </c>
      <c r="I128" s="79">
        <f t="shared" ca="1" si="72"/>
        <v>0.80096289818353139</v>
      </c>
    </row>
    <row r="129" spans="1:9" ht="15" customHeight="1" x14ac:dyDescent="0.2">
      <c r="A129" s="42" t="s">
        <v>475</v>
      </c>
      <c r="B129" s="37">
        <f t="shared" ref="B129:I129" ca="1" si="73">(1/OFFSET(B$206,B$160,0))^(1/B$160)-1</f>
        <v>8.392964131570424E-2</v>
      </c>
      <c r="C129" s="37">
        <f t="shared" ca="1" si="73"/>
        <v>8.4477000517778622E-2</v>
      </c>
      <c r="D129" s="37">
        <f t="shared" ca="1" si="73"/>
        <v>8.8668540059216205E-2</v>
      </c>
      <c r="E129" s="37">
        <f t="shared" ca="1" si="73"/>
        <v>9.914008101365468E-2</v>
      </c>
      <c r="F129" s="37">
        <f t="shared" ca="1" si="73"/>
        <v>9.4032031842942621E-2</v>
      </c>
      <c r="G129" s="37">
        <f t="shared" ca="1" si="73"/>
        <v>9.4180184783962728E-2</v>
      </c>
      <c r="H129" s="37">
        <f t="shared" ca="1" si="73"/>
        <v>9.5054892121895218E-2</v>
      </c>
      <c r="I129" s="37">
        <f t="shared" ca="1" si="73"/>
        <v>0.10651582313775276</v>
      </c>
    </row>
    <row r="131" spans="1:9" ht="15" customHeight="1" x14ac:dyDescent="0.2">
      <c r="A131" s="42" t="s">
        <v>413</v>
      </c>
      <c r="B131" s="37">
        <f t="shared" ref="B131:I131" ca="1" si="74">OFFSET(B$234,B$160,0)</f>
        <v>1.0419813513516898</v>
      </c>
      <c r="C131" s="37">
        <f t="shared" ca="1" si="74"/>
        <v>0.95429141813518825</v>
      </c>
      <c r="D131" s="37">
        <f t="shared" ca="1" si="74"/>
        <v>0.81158691987504616</v>
      </c>
      <c r="E131" s="37">
        <f t="shared" ca="1" si="74"/>
        <v>1.7652580158106443</v>
      </c>
      <c r="F131" s="37">
        <f t="shared" ca="1" si="74"/>
        <v>1.1185574937074616</v>
      </c>
      <c r="G131" s="37">
        <f t="shared" ca="1" si="74"/>
        <v>1.0859583862410107</v>
      </c>
      <c r="H131" s="37">
        <f t="shared" ca="1" si="74"/>
        <v>0.92012035956375948</v>
      </c>
      <c r="I131" s="37">
        <f t="shared" ca="1" si="74"/>
        <v>0.95096880442781673</v>
      </c>
    </row>
    <row r="132" spans="1:9" ht="15" customHeight="1" x14ac:dyDescent="0.2">
      <c r="A132" s="42" t="s">
        <v>415</v>
      </c>
      <c r="B132" s="37">
        <f t="shared" ref="B132:I132" ca="1" si="75">IF(B135=0,#N/A,B134/B135)</f>
        <v>-7.8870953152142667E-2</v>
      </c>
      <c r="C132" s="37">
        <f t="shared" ca="1" si="75"/>
        <v>-6.3745974305039921E-2</v>
      </c>
      <c r="D132" s="37">
        <f t="shared" ca="1" si="75"/>
        <v>-1.7313275593977943E-2</v>
      </c>
      <c r="E132" s="37">
        <f t="shared" ca="1" si="75"/>
        <v>-5.5984047392487163E-2</v>
      </c>
      <c r="F132" s="37">
        <f t="shared" ca="1" si="75"/>
        <v>-3.6942120271695078E-2</v>
      </c>
      <c r="G132" s="37">
        <f t="shared" ca="1" si="75"/>
        <v>-1.7531668604968777E-2</v>
      </c>
      <c r="H132" s="37">
        <f t="shared" ca="1" si="75"/>
        <v>-2.4024794999768593E-2</v>
      </c>
      <c r="I132" s="37">
        <f t="shared" ca="1" si="75"/>
        <v>3.8054057789917071E-2</v>
      </c>
    </row>
    <row r="134" spans="1:9" ht="15" customHeight="1" x14ac:dyDescent="0.2">
      <c r="A134" s="42" t="s">
        <v>476</v>
      </c>
      <c r="B134" s="70">
        <f t="shared" ref="B134:I134" ca="1" si="76">OFFSET(B$304,B$160,0)-B304</f>
        <v>-3301.9177522632745</v>
      </c>
      <c r="C134" s="70">
        <f t="shared" ca="1" si="76"/>
        <v>-2526.1973835045283</v>
      </c>
      <c r="D134" s="70">
        <f t="shared" ca="1" si="76"/>
        <v>-658.91995905613294</v>
      </c>
      <c r="E134" s="70">
        <f t="shared" ca="1" si="76"/>
        <v>-1579.8585870800962</v>
      </c>
      <c r="F134" s="70">
        <f t="shared" ca="1" si="76"/>
        <v>-1129.4603131234544</v>
      </c>
      <c r="G134" s="70">
        <f t="shared" ca="1" si="76"/>
        <v>-530.82232464108529</v>
      </c>
      <c r="H134" s="70">
        <f t="shared" ca="1" si="76"/>
        <v>-736.88114214348752</v>
      </c>
      <c r="I134" s="70">
        <f t="shared" ca="1" si="76"/>
        <v>1303.3681683375107</v>
      </c>
    </row>
    <row r="135" spans="1:9" ht="15" customHeight="1" x14ac:dyDescent="0.2">
      <c r="A135" s="42" t="s">
        <v>414</v>
      </c>
      <c r="B135" s="70">
        <f t="shared" ref="B135:I135" ca="1" si="77">+B$136-B$137</f>
        <v>41864.813601198024</v>
      </c>
      <c r="C135" s="70">
        <f t="shared" ca="1" si="77"/>
        <v>39629.128129975114</v>
      </c>
      <c r="D135" s="70">
        <f t="shared" ca="1" si="77"/>
        <v>38058.653631397421</v>
      </c>
      <c r="E135" s="70">
        <f t="shared" ca="1" si="77"/>
        <v>28219.799401143457</v>
      </c>
      <c r="F135" s="70">
        <f t="shared" ca="1" si="77"/>
        <v>30573.781494313494</v>
      </c>
      <c r="G135" s="70">
        <f t="shared" ca="1" si="77"/>
        <v>30277.912308394938</v>
      </c>
      <c r="H135" s="70">
        <f t="shared" ca="1" si="77"/>
        <v>30671.693229872937</v>
      </c>
      <c r="I135" s="70">
        <f t="shared" ca="1" si="77"/>
        <v>34250.438561189534</v>
      </c>
    </row>
    <row r="136" spans="1:9" ht="15" customHeight="1" x14ac:dyDescent="0.2">
      <c r="A136" s="42" t="s">
        <v>412</v>
      </c>
      <c r="B136" s="70">
        <f t="shared" ref="B136:I136" ca="1" si="78">OFFSET(B$248,B$160,0)</f>
        <v>45435.535185892368</v>
      </c>
      <c r="C136" s="70">
        <f t="shared" ca="1" si="78"/>
        <v>46787.93097484071</v>
      </c>
      <c r="D136" s="70">
        <f t="shared" ca="1" si="78"/>
        <v>51043.170050627741</v>
      </c>
      <c r="E136" s="70">
        <f t="shared" ca="1" si="78"/>
        <v>22233.204971494335</v>
      </c>
      <c r="F136" s="70">
        <f t="shared" ca="1" si="78"/>
        <v>34773.195603513646</v>
      </c>
      <c r="G136" s="70">
        <f t="shared" ca="1" si="78"/>
        <v>35421.980884795979</v>
      </c>
      <c r="H136" s="70">
        <f t="shared" ca="1" si="78"/>
        <v>41449.60505180675</v>
      </c>
      <c r="I136" s="70">
        <f t="shared" ca="1" si="78"/>
        <v>42460.988868161563</v>
      </c>
    </row>
    <row r="137" spans="1:9" ht="15" customHeight="1" x14ac:dyDescent="0.2">
      <c r="A137" s="42" t="s">
        <v>411</v>
      </c>
      <c r="B137" s="70">
        <f t="shared" ref="B137:I137" ca="1" si="79">B$248</f>
        <v>3570.7215846943436</v>
      </c>
      <c r="C137" s="70">
        <f t="shared" ca="1" si="79"/>
        <v>7158.8028448655969</v>
      </c>
      <c r="D137" s="70">
        <f t="shared" ca="1" si="79"/>
        <v>12984.51641923032</v>
      </c>
      <c r="E137" s="70">
        <f t="shared" ca="1" si="79"/>
        <v>-5986.5944296491216</v>
      </c>
      <c r="F137" s="70">
        <f t="shared" ca="1" si="79"/>
        <v>4199.4141092001519</v>
      </c>
      <c r="G137" s="70">
        <f t="shared" ca="1" si="79"/>
        <v>5144.0685764010414</v>
      </c>
      <c r="H137" s="70">
        <f t="shared" ca="1" si="79"/>
        <v>10777.911821933812</v>
      </c>
      <c r="I137" s="70">
        <f t="shared" ca="1" si="79"/>
        <v>8210.5503069720289</v>
      </c>
    </row>
    <row r="139" spans="1:9" ht="15" customHeight="1" x14ac:dyDescent="0.2">
      <c r="A139" s="3" t="s">
        <v>408</v>
      </c>
      <c r="B139" s="45">
        <f t="shared" ref="B139:I139" ca="1" si="80">+B$149+SUM(OFFSET(B$277,0,0,B$160,1))</f>
        <v>49708.065977451937</v>
      </c>
      <c r="C139" s="45">
        <f t="shared" ca="1" si="80"/>
        <v>47219.512700245759</v>
      </c>
      <c r="D139" s="45">
        <f t="shared" ca="1" si="80"/>
        <v>46832.342492165713</v>
      </c>
      <c r="E139" s="45">
        <f t="shared" ca="1" si="80"/>
        <v>36944.483815197687</v>
      </c>
      <c r="F139" s="45">
        <f t="shared" ca="1" si="80"/>
        <v>39561.632759392225</v>
      </c>
      <c r="G139" s="45">
        <f t="shared" ca="1" si="80"/>
        <v>39234.21363385881</v>
      </c>
      <c r="H139" s="45">
        <f t="shared" ca="1" si="80"/>
        <v>45604.948323232486</v>
      </c>
      <c r="I139" s="45">
        <f t="shared" ca="1" si="80"/>
        <v>44648.050584524986</v>
      </c>
    </row>
    <row r="140" spans="1:9" ht="15" customHeight="1" x14ac:dyDescent="0.2">
      <c r="A140" s="42" t="s">
        <v>407</v>
      </c>
      <c r="B140" s="70">
        <f t="shared" ref="B140:I140" ca="1" si="81">+B$153-B$346</f>
        <v>6127.6659312974953</v>
      </c>
      <c r="C140" s="70">
        <f t="shared" ca="1" si="81"/>
        <v>7254.0932018955064</v>
      </c>
      <c r="D140" s="70">
        <f t="shared" ca="1" si="81"/>
        <v>9312.210173131818</v>
      </c>
      <c r="E140" s="70">
        <f t="shared" ca="1" si="81"/>
        <v>9619.3861297000331</v>
      </c>
      <c r="F140" s="70">
        <f t="shared" ca="1" si="81"/>
        <v>10260.305590379241</v>
      </c>
      <c r="G140" s="70">
        <f t="shared" ca="1" si="81"/>
        <v>10899.642979999888</v>
      </c>
      <c r="H140" s="70">
        <f t="shared" ca="1" si="81"/>
        <v>10742.761508979136</v>
      </c>
      <c r="I140" s="70">
        <f t="shared" ca="1" si="81"/>
        <v>14126.339458636052</v>
      </c>
    </row>
    <row r="143" spans="1:9" ht="15" customHeight="1" x14ac:dyDescent="0.2">
      <c r="A143" s="35" t="s">
        <v>495</v>
      </c>
      <c r="B143" s="35"/>
      <c r="C143" s="35"/>
      <c r="D143" s="35"/>
      <c r="E143" s="35"/>
      <c r="F143" s="35"/>
      <c r="G143" s="35"/>
      <c r="H143" s="35"/>
      <c r="I143" s="35"/>
    </row>
    <row r="145" spans="1:9" ht="15" customHeight="1" x14ac:dyDescent="0.2">
      <c r="A145" s="3" t="s">
        <v>403</v>
      </c>
      <c r="B145" s="70">
        <f t="shared" ref="B145:I145" ca="1" si="82">+B150-B149</f>
        <v>40422.916093000938</v>
      </c>
      <c r="C145" s="70">
        <f t="shared" ca="1" si="82"/>
        <v>37951.922851353236</v>
      </c>
      <c r="D145" s="70">
        <f t="shared" ca="1" si="82"/>
        <v>33679.644336497644</v>
      </c>
      <c r="E145" s="70">
        <f t="shared" ca="1" si="82"/>
        <v>31543.089804657597</v>
      </c>
      <c r="F145" s="70">
        <f t="shared" ca="1" si="82"/>
        <v>30958.154357493393</v>
      </c>
      <c r="G145" s="70">
        <f t="shared" ca="1" si="82"/>
        <v>30556.79275746498</v>
      </c>
      <c r="H145" s="70">
        <f t="shared" ca="1" si="82"/>
        <v>24364.784626007655</v>
      </c>
      <c r="I145" s="70">
        <f t="shared" ca="1" si="82"/>
        <v>31192.836070006346</v>
      </c>
    </row>
    <row r="146" spans="1:9" ht="15" customHeight="1" x14ac:dyDescent="0.2">
      <c r="A146" s="3" t="s">
        <v>7</v>
      </c>
      <c r="B146" s="8">
        <f t="shared" ref="B146:I146" si="83">IF(B799="Yes",B800,B801)</f>
        <v>0.08</v>
      </c>
      <c r="C146" s="8">
        <f t="shared" si="83"/>
        <v>0.08</v>
      </c>
      <c r="D146" s="8">
        <f t="shared" si="83"/>
        <v>0.08</v>
      </c>
      <c r="E146" s="8">
        <f t="shared" si="83"/>
        <v>0.08</v>
      </c>
      <c r="F146" s="8">
        <f t="shared" si="83"/>
        <v>0.08</v>
      </c>
      <c r="G146" s="8">
        <f t="shared" si="83"/>
        <v>0.08</v>
      </c>
      <c r="H146" s="8">
        <f t="shared" si="83"/>
        <v>0.08</v>
      </c>
      <c r="I146" s="8">
        <f t="shared" si="83"/>
        <v>0.08</v>
      </c>
    </row>
    <row r="147" spans="1:9" ht="15" customHeight="1" x14ac:dyDescent="0.2">
      <c r="A147" s="3" t="s">
        <v>399</v>
      </c>
      <c r="B147" s="8">
        <f t="shared" ref="B147:I147" ca="1" si="84">IF(B$797="No",B$798,OFFSET(B$220,B$160,0))</f>
        <v>0.12</v>
      </c>
      <c r="C147" s="8">
        <f t="shared" ca="1" si="84"/>
        <v>0.12</v>
      </c>
      <c r="D147" s="8">
        <f t="shared" ca="1" si="84"/>
        <v>0.12</v>
      </c>
      <c r="E147" s="8">
        <f t="shared" ca="1" si="84"/>
        <v>0.12</v>
      </c>
      <c r="F147" s="8">
        <f t="shared" ca="1" si="84"/>
        <v>0.12</v>
      </c>
      <c r="G147" s="8">
        <f t="shared" ca="1" si="84"/>
        <v>0.12</v>
      </c>
      <c r="H147" s="8">
        <f t="shared" ca="1" si="84"/>
        <v>7.9999999999999974E-2</v>
      </c>
      <c r="I147" s="8">
        <f t="shared" ca="1" si="84"/>
        <v>0.12</v>
      </c>
    </row>
    <row r="148" spans="1:9" ht="15" customHeight="1" x14ac:dyDescent="0.2">
      <c r="A148" s="3" t="s">
        <v>458</v>
      </c>
      <c r="B148" s="72">
        <f t="shared" ref="B148:I148" ca="1" si="85">B$149/B$150</f>
        <v>0.16250000000000001</v>
      </c>
      <c r="C148" s="72">
        <f t="shared" ca="1" si="85"/>
        <v>0.16666666666666669</v>
      </c>
      <c r="D148" s="72">
        <f t="shared" ca="1" si="85"/>
        <v>0.20666666666666669</v>
      </c>
      <c r="E148" s="72">
        <f t="shared" ca="1" si="85"/>
        <v>0.21666666666666665</v>
      </c>
      <c r="F148" s="72">
        <f t="shared" ca="1" si="85"/>
        <v>0.22500000000000001</v>
      </c>
      <c r="G148" s="72">
        <f t="shared" ca="1" si="85"/>
        <v>0.22666666666666663</v>
      </c>
      <c r="H148" s="72">
        <f t="shared" ca="1" si="85"/>
        <v>0.38000000000000012</v>
      </c>
      <c r="I148" s="72">
        <f t="shared" ca="1" si="85"/>
        <v>0.25</v>
      </c>
    </row>
    <row r="149" spans="1:9" ht="15" customHeight="1" x14ac:dyDescent="0.2">
      <c r="A149" s="3" t="s">
        <v>3</v>
      </c>
      <c r="B149" s="70">
        <f t="shared" ref="B149:I149" ca="1" si="86">(B$156/B$147)*B$150</f>
        <v>7843.252376253914</v>
      </c>
      <c r="C149" s="70">
        <f t="shared" ca="1" si="86"/>
        <v>7590.3845702706476</v>
      </c>
      <c r="D149" s="70">
        <f t="shared" ca="1" si="86"/>
        <v>8773.688860768294</v>
      </c>
      <c r="E149" s="70">
        <f t="shared" ca="1" si="86"/>
        <v>8724.6844140542289</v>
      </c>
      <c r="F149" s="70">
        <f t="shared" ca="1" si="86"/>
        <v>8987.851265078727</v>
      </c>
      <c r="G149" s="70">
        <f t="shared" ca="1" si="86"/>
        <v>8956.3013254638718</v>
      </c>
      <c r="H149" s="70">
        <f t="shared" ca="1" si="86"/>
        <v>14933.255093359539</v>
      </c>
      <c r="I149" s="70">
        <f t="shared" ca="1" si="86"/>
        <v>10397.612023335449</v>
      </c>
    </row>
    <row r="150" spans="1:9" ht="15" customHeight="1" x14ac:dyDescent="0.2">
      <c r="A150" s="3" t="str">
        <f>A303</f>
        <v>EBIT(1-t)</v>
      </c>
      <c r="B150" s="70">
        <f t="shared" ref="B150:I150" ca="1" si="87">B153*(1-B151)</f>
        <v>48266.168469254852</v>
      </c>
      <c r="C150" s="70">
        <f t="shared" ca="1" si="87"/>
        <v>45542.307421623882</v>
      </c>
      <c r="D150" s="70">
        <f t="shared" ca="1" si="87"/>
        <v>42453.333197265936</v>
      </c>
      <c r="E150" s="70">
        <f t="shared" ca="1" si="87"/>
        <v>40267.774218711827</v>
      </c>
      <c r="F150" s="70">
        <f t="shared" ca="1" si="87"/>
        <v>39946.00562257212</v>
      </c>
      <c r="G150" s="70">
        <f t="shared" ca="1" si="87"/>
        <v>39513.094082928852</v>
      </c>
      <c r="H150" s="70">
        <f t="shared" ca="1" si="87"/>
        <v>39298.039719367196</v>
      </c>
      <c r="I150" s="70">
        <f t="shared" ca="1" si="87"/>
        <v>41590.448093341794</v>
      </c>
    </row>
    <row r="151" spans="1:9" ht="15" customHeight="1" x14ac:dyDescent="0.2">
      <c r="A151" s="3" t="s">
        <v>396</v>
      </c>
      <c r="B151" s="72">
        <f t="shared" ref="B151:I151" si="88">IF(B803="Yes",B$547,B$817)</f>
        <v>0.36</v>
      </c>
      <c r="C151" s="72">
        <f t="shared" si="88"/>
        <v>0.36</v>
      </c>
      <c r="D151" s="72">
        <f t="shared" si="88"/>
        <v>0.36</v>
      </c>
      <c r="E151" s="72">
        <f t="shared" si="88"/>
        <v>0.38</v>
      </c>
      <c r="F151" s="72">
        <f t="shared" si="88"/>
        <v>0.38</v>
      </c>
      <c r="G151" s="72">
        <f t="shared" si="88"/>
        <v>0.38</v>
      </c>
      <c r="H151" s="72">
        <f t="shared" si="88"/>
        <v>0.38</v>
      </c>
      <c r="I151" s="72">
        <f t="shared" si="88"/>
        <v>0.38</v>
      </c>
    </row>
    <row r="152" spans="1:9" ht="15" customHeight="1" x14ac:dyDescent="0.2">
      <c r="A152" s="3" t="s">
        <v>358</v>
      </c>
      <c r="B152" s="70">
        <f t="shared" ref="B152:I152" ca="1" si="89">IF(B$153&lt;0,OFFSET(B$332,B$160,0)-B$153,IF(OFFSET(B$332,B$160,0)&gt;B$153,OFFSET(B$332,B$160,0)-B$153,0))</f>
        <v>0</v>
      </c>
      <c r="C152" s="70">
        <f t="shared" ca="1" si="89"/>
        <v>0</v>
      </c>
      <c r="D152" s="70">
        <f t="shared" ca="1" si="89"/>
        <v>0</v>
      </c>
      <c r="E152" s="70">
        <f t="shared" ca="1" si="89"/>
        <v>0</v>
      </c>
      <c r="F152" s="70">
        <f t="shared" ca="1" si="89"/>
        <v>0</v>
      </c>
      <c r="G152" s="70">
        <f t="shared" ca="1" si="89"/>
        <v>0</v>
      </c>
      <c r="H152" s="70">
        <f t="shared" ca="1" si="89"/>
        <v>0</v>
      </c>
      <c r="I152" s="70">
        <f t="shared" ca="1" si="89"/>
        <v>0</v>
      </c>
    </row>
    <row r="153" spans="1:9" ht="15" customHeight="1" x14ac:dyDescent="0.2">
      <c r="A153" s="3" t="s">
        <v>395</v>
      </c>
      <c r="B153" s="70">
        <f t="shared" ref="B153:I153" ca="1" si="90">B154*B155</f>
        <v>75415.888233210702</v>
      </c>
      <c r="C153" s="70">
        <f t="shared" ca="1" si="90"/>
        <v>71159.85534628731</v>
      </c>
      <c r="D153" s="70">
        <f t="shared" ca="1" si="90"/>
        <v>66333.333120728028</v>
      </c>
      <c r="E153" s="70">
        <f t="shared" ca="1" si="90"/>
        <v>64948.022933406173</v>
      </c>
      <c r="F153" s="70">
        <f t="shared" ca="1" si="90"/>
        <v>64429.041326729224</v>
      </c>
      <c r="G153" s="70">
        <f t="shared" ca="1" si="90"/>
        <v>63730.796907949756</v>
      </c>
      <c r="H153" s="70">
        <f t="shared" ca="1" si="90"/>
        <v>63383.935031237415</v>
      </c>
      <c r="I153" s="70">
        <f t="shared" ca="1" si="90"/>
        <v>67081.367892486771</v>
      </c>
    </row>
    <row r="154" spans="1:9" ht="15" customHeight="1" x14ac:dyDescent="0.2">
      <c r="A154" s="3" t="s">
        <v>394</v>
      </c>
      <c r="B154" s="72">
        <f t="shared" ref="B154:I154" ca="1" si="91">OFFSET(B360,B160,0)</f>
        <v>0.25</v>
      </c>
      <c r="C154" s="72">
        <f t="shared" ca="1" si="91"/>
        <v>0.25</v>
      </c>
      <c r="D154" s="72">
        <f t="shared" ca="1" si="91"/>
        <v>0.25</v>
      </c>
      <c r="E154" s="72">
        <f t="shared" ca="1" si="91"/>
        <v>0.25</v>
      </c>
      <c r="F154" s="72">
        <f t="shared" ca="1" si="91"/>
        <v>0.25</v>
      </c>
      <c r="G154" s="72">
        <f t="shared" ca="1" si="91"/>
        <v>0.25</v>
      </c>
      <c r="H154" s="72">
        <f t="shared" ca="1" si="91"/>
        <v>0.25</v>
      </c>
      <c r="I154" s="72">
        <f t="shared" ca="1" si="91"/>
        <v>0.25</v>
      </c>
    </row>
    <row r="155" spans="1:9" ht="15" customHeight="1" x14ac:dyDescent="0.2">
      <c r="A155" s="3" t="s">
        <v>18</v>
      </c>
      <c r="B155" s="70">
        <f t="shared" ref="B155:I155" ca="1" si="92">OFFSET(B374,B160,0)*(1+B156)</f>
        <v>301663.55293284281</v>
      </c>
      <c r="C155" s="70">
        <f t="shared" ca="1" si="92"/>
        <v>284639.42138514924</v>
      </c>
      <c r="D155" s="70">
        <f t="shared" ca="1" si="92"/>
        <v>265333.33248291211</v>
      </c>
      <c r="E155" s="70">
        <f t="shared" ca="1" si="92"/>
        <v>259792.09173362469</v>
      </c>
      <c r="F155" s="70">
        <f t="shared" ca="1" si="92"/>
        <v>257716.1653069169</v>
      </c>
      <c r="G155" s="70">
        <f t="shared" ca="1" si="92"/>
        <v>254923.18763179902</v>
      </c>
      <c r="H155" s="70">
        <f t="shared" ca="1" si="92"/>
        <v>253535.74012494966</v>
      </c>
      <c r="I155" s="70">
        <f t="shared" ca="1" si="92"/>
        <v>268325.47156994708</v>
      </c>
    </row>
    <row r="156" spans="1:9" ht="15" customHeight="1" x14ac:dyDescent="0.2">
      <c r="A156" s="3" t="s">
        <v>393</v>
      </c>
      <c r="B156" s="72">
        <f t="shared" ref="B156:I156" ca="1" si="93">OFFSET(B388,B160,0)</f>
        <v>1.95E-2</v>
      </c>
      <c r="C156" s="72">
        <f t="shared" ca="1" si="93"/>
        <v>0.02</v>
      </c>
      <c r="D156" s="72">
        <f t="shared" ca="1" si="93"/>
        <v>2.4799999999999999E-2</v>
      </c>
      <c r="E156" s="72">
        <f t="shared" ca="1" si="93"/>
        <v>2.5999999999999999E-2</v>
      </c>
      <c r="F156" s="72">
        <f t="shared" ca="1" si="93"/>
        <v>2.7E-2</v>
      </c>
      <c r="G156" s="72">
        <f t="shared" ca="1" si="93"/>
        <v>2.7199999999999998E-2</v>
      </c>
      <c r="H156" s="72">
        <f t="shared" ca="1" si="93"/>
        <v>3.04E-2</v>
      </c>
      <c r="I156" s="72">
        <f t="shared" ca="1" si="93"/>
        <v>0.03</v>
      </c>
    </row>
    <row r="158" spans="1:9" ht="15" customHeight="1" x14ac:dyDescent="0.2">
      <c r="A158" s="6" t="s">
        <v>499</v>
      </c>
      <c r="B158" s="6"/>
      <c r="C158" s="6"/>
      <c r="D158" s="6"/>
      <c r="E158" s="6"/>
      <c r="F158" s="6"/>
      <c r="G158" s="6"/>
      <c r="H158" s="6"/>
      <c r="I158" s="6"/>
    </row>
    <row r="159" spans="1:9" ht="15" customHeight="1" x14ac:dyDescent="0.2">
      <c r="A159" s="1"/>
    </row>
    <row r="160" spans="1:9" ht="15" customHeight="1" x14ac:dyDescent="0.2">
      <c r="A160" s="3" t="s">
        <v>494</v>
      </c>
      <c r="B160" s="3">
        <f t="shared" ref="B160:I160" si="94">B796</f>
        <v>10</v>
      </c>
      <c r="C160" s="3">
        <f t="shared" si="94"/>
        <v>10</v>
      </c>
      <c r="D160" s="3">
        <f t="shared" si="94"/>
        <v>10</v>
      </c>
      <c r="E160" s="3">
        <f t="shared" si="94"/>
        <v>10</v>
      </c>
      <c r="F160" s="3">
        <f t="shared" si="94"/>
        <v>10</v>
      </c>
      <c r="G160" s="3">
        <f t="shared" si="94"/>
        <v>10</v>
      </c>
      <c r="H160" s="3">
        <f t="shared" si="94"/>
        <v>10</v>
      </c>
      <c r="I160" s="3">
        <f t="shared" si="94"/>
        <v>10</v>
      </c>
    </row>
    <row r="161" spans="1:9" ht="15" customHeight="1" x14ac:dyDescent="0.2">
      <c r="A161" s="3" t="s">
        <v>491</v>
      </c>
      <c r="B161" s="3">
        <f t="shared" ref="B161:I161" si="95">+B807</f>
        <v>5</v>
      </c>
      <c r="C161" s="3">
        <f t="shared" si="95"/>
        <v>5</v>
      </c>
      <c r="D161" s="3">
        <f t="shared" si="95"/>
        <v>5</v>
      </c>
      <c r="E161" s="3">
        <f t="shared" si="95"/>
        <v>5</v>
      </c>
      <c r="F161" s="3">
        <f t="shared" si="95"/>
        <v>5</v>
      </c>
      <c r="G161" s="3">
        <f t="shared" si="95"/>
        <v>5</v>
      </c>
      <c r="H161" s="3">
        <f t="shared" si="95"/>
        <v>5</v>
      </c>
      <c r="I161" s="3">
        <f t="shared" si="95"/>
        <v>5</v>
      </c>
    </row>
    <row r="163" spans="1:9" ht="15" customHeight="1" x14ac:dyDescent="0.2">
      <c r="A163" s="35" t="s">
        <v>511</v>
      </c>
      <c r="B163" s="80"/>
      <c r="C163" s="80"/>
      <c r="D163" s="80"/>
      <c r="E163" s="80"/>
      <c r="F163" s="80"/>
      <c r="G163" s="80"/>
      <c r="H163" s="80"/>
      <c r="I163" s="80"/>
    </row>
    <row r="164" spans="1:9" ht="15" customHeight="1" x14ac:dyDescent="0.2">
      <c r="A164" s="3">
        <v>0</v>
      </c>
      <c r="B164" s="70" t="e">
        <f t="shared" ref="B164:I174" si="96">IF($A164&gt;B$160,"",IF($A164=0,#N/A,B192*B206))</f>
        <v>#N/A</v>
      </c>
      <c r="C164" s="81" t="e">
        <f t="shared" si="96"/>
        <v>#N/A</v>
      </c>
      <c r="D164" s="81" t="e">
        <f t="shared" si="96"/>
        <v>#N/A</v>
      </c>
      <c r="E164" s="81" t="e">
        <f t="shared" si="96"/>
        <v>#N/A</v>
      </c>
      <c r="F164" s="81" t="e">
        <f t="shared" si="96"/>
        <v>#N/A</v>
      </c>
      <c r="G164" s="81" t="e">
        <f t="shared" si="96"/>
        <v>#N/A</v>
      </c>
      <c r="H164" s="81" t="e">
        <f t="shared" si="96"/>
        <v>#N/A</v>
      </c>
      <c r="I164" s="81" t="e">
        <f t="shared" si="96"/>
        <v>#N/A</v>
      </c>
    </row>
    <row r="165" spans="1:9" ht="15" customHeight="1" x14ac:dyDescent="0.2">
      <c r="A165" s="3">
        <f t="shared" ref="A165:A174" si="97">A164+1</f>
        <v>1</v>
      </c>
      <c r="B165" s="70">
        <f t="shared" ca="1" si="96"/>
        <v>43470.556146460469</v>
      </c>
      <c r="C165" s="81">
        <f t="shared" ca="1" si="96"/>
        <v>40496.263894781412</v>
      </c>
      <c r="D165" s="81">
        <f t="shared" ca="1" si="96"/>
        <v>35924.036985104402</v>
      </c>
      <c r="E165" s="81">
        <f t="shared" ca="1" si="96"/>
        <v>35175.138196620581</v>
      </c>
      <c r="F165" s="81">
        <f t="shared" ca="1" si="96"/>
        <v>34517.031081855697</v>
      </c>
      <c r="G165" s="81">
        <f t="shared" ca="1" si="96"/>
        <v>33627.739991202696</v>
      </c>
      <c r="H165" s="81">
        <f t="shared" ca="1" si="96"/>
        <v>33479.067660644258</v>
      </c>
      <c r="I165" s="81">
        <f t="shared" ca="1" si="96"/>
        <v>33115.878190225718</v>
      </c>
    </row>
    <row r="166" spans="1:9" ht="15" customHeight="1" x14ac:dyDescent="0.2">
      <c r="A166" s="3">
        <f t="shared" si="97"/>
        <v>2</v>
      </c>
      <c r="B166" s="70">
        <f t="shared" ca="1" si="96"/>
        <v>40554.112192557797</v>
      </c>
      <c r="C166" s="81">
        <f t="shared" ca="1" si="96"/>
        <v>37822.601463519735</v>
      </c>
      <c r="D166" s="81">
        <f t="shared" ca="1" si="96"/>
        <v>33443.5273528588</v>
      </c>
      <c r="E166" s="81">
        <f t="shared" ca="1" si="96"/>
        <v>32331.671212061148</v>
      </c>
      <c r="F166" s="81">
        <f t="shared" ca="1" si="96"/>
        <v>31960.947458379414</v>
      </c>
      <c r="G166" s="81">
        <f t="shared" ca="1" si="96"/>
        <v>31169.550226246491</v>
      </c>
      <c r="H166" s="81">
        <f t="shared" ca="1" si="96"/>
        <v>30955.899465019214</v>
      </c>
      <c r="I166" s="81">
        <f t="shared" ca="1" si="96"/>
        <v>30411.444031815281</v>
      </c>
    </row>
    <row r="167" spans="1:9" ht="15" customHeight="1" x14ac:dyDescent="0.2">
      <c r="A167" s="3">
        <f t="shared" si="97"/>
        <v>3</v>
      </c>
      <c r="B167" s="70">
        <f t="shared" ca="1" si="96"/>
        <v>37806.008818496222</v>
      </c>
      <c r="C167" s="81">
        <f t="shared" ca="1" si="96"/>
        <v>35303.450716840896</v>
      </c>
      <c r="D167" s="81">
        <f t="shared" ca="1" si="96"/>
        <v>31118.324624661589</v>
      </c>
      <c r="E167" s="81">
        <f t="shared" ca="1" si="96"/>
        <v>29704.037066163582</v>
      </c>
      <c r="F167" s="81">
        <f t="shared" ca="1" si="96"/>
        <v>29581.106564056448</v>
      </c>
      <c r="G167" s="81">
        <f t="shared" ca="1" si="96"/>
        <v>28879.788634659748</v>
      </c>
      <c r="H167" s="81">
        <f t="shared" ca="1" si="96"/>
        <v>28610.170286000361</v>
      </c>
      <c r="I167" s="81">
        <f t="shared" ca="1" si="96"/>
        <v>27913.485197691076</v>
      </c>
    </row>
    <row r="168" spans="1:9" ht="15" customHeight="1" x14ac:dyDescent="0.2">
      <c r="A168" s="3">
        <f t="shared" si="97"/>
        <v>4</v>
      </c>
      <c r="B168" s="70">
        <f t="shared" ca="1" si="96"/>
        <v>35217.248284880043</v>
      </c>
      <c r="C168" s="81">
        <f t="shared" ca="1" si="96"/>
        <v>32930.490477944812</v>
      </c>
      <c r="D168" s="81">
        <f t="shared" ca="1" si="96"/>
        <v>28939.236975020929</v>
      </c>
      <c r="E168" s="81">
        <f t="shared" ca="1" si="96"/>
        <v>27276.495847267881</v>
      </c>
      <c r="F168" s="81">
        <f t="shared" ca="1" si="96"/>
        <v>27365.881738940996</v>
      </c>
      <c r="G168" s="81">
        <f t="shared" ca="1" si="96"/>
        <v>26747.37774872949</v>
      </c>
      <c r="H168" s="81">
        <f t="shared" ca="1" si="96"/>
        <v>26429.92884363353</v>
      </c>
      <c r="I168" s="81">
        <f t="shared" ca="1" si="96"/>
        <v>25606.889563157551</v>
      </c>
    </row>
    <row r="169" spans="1:9" ht="15" customHeight="1" x14ac:dyDescent="0.2">
      <c r="A169" s="3">
        <f t="shared" si="97"/>
        <v>5</v>
      </c>
      <c r="B169" s="70">
        <f t="shared" ca="1" si="96"/>
        <v>32779.291782678003</v>
      </c>
      <c r="C169" s="81">
        <f t="shared" ca="1" si="96"/>
        <v>30695.828510567811</v>
      </c>
      <c r="D169" s="81">
        <f t="shared" ca="1" si="96"/>
        <v>26897.597044649945</v>
      </c>
      <c r="E169" s="81">
        <f t="shared" ca="1" si="96"/>
        <v>25034.424120744672</v>
      </c>
      <c r="F169" s="81">
        <f t="shared" ca="1" si="96"/>
        <v>25304.390603831835</v>
      </c>
      <c r="G169" s="81">
        <f t="shared" ca="1" si="96"/>
        <v>24761.948382722669</v>
      </c>
      <c r="H169" s="81">
        <f t="shared" ca="1" si="96"/>
        <v>24404.00543719887</v>
      </c>
      <c r="I169" s="81">
        <f t="shared" ca="1" si="96"/>
        <v>23477.619497334756</v>
      </c>
    </row>
    <row r="170" spans="1:9" ht="15" customHeight="1" x14ac:dyDescent="0.2">
      <c r="A170" s="3">
        <f t="shared" si="97"/>
        <v>6</v>
      </c>
      <c r="B170" s="70">
        <f t="shared" ca="1" si="96"/>
        <v>29871.948374796855</v>
      </c>
      <c r="C170" s="81">
        <f t="shared" ca="1" si="96"/>
        <v>27963.108818531349</v>
      </c>
      <c r="D170" s="81">
        <f t="shared" ca="1" si="96"/>
        <v>24427.605375790794</v>
      </c>
      <c r="E170" s="81">
        <f t="shared" ca="1" si="96"/>
        <v>22343.750734224635</v>
      </c>
      <c r="F170" s="81">
        <f t="shared" ca="1" si="96"/>
        <v>22720.134367497729</v>
      </c>
      <c r="G170" s="81">
        <f t="shared" ca="1" si="96"/>
        <v>22265.429405753945</v>
      </c>
      <c r="H170" s="81">
        <f t="shared" ca="1" si="96"/>
        <v>21871.335831879867</v>
      </c>
      <c r="I170" s="81">
        <f t="shared" ca="1" si="96"/>
        <v>20980.778841091957</v>
      </c>
    </row>
    <row r="171" spans="1:9" ht="15" customHeight="1" x14ac:dyDescent="0.2">
      <c r="A171" s="3">
        <f t="shared" si="97"/>
        <v>7</v>
      </c>
      <c r="B171" s="70">
        <f t="shared" ca="1" si="96"/>
        <v>27125.619568406753</v>
      </c>
      <c r="C171" s="81">
        <f t="shared" ca="1" si="96"/>
        <v>25388.826464230446</v>
      </c>
      <c r="D171" s="81">
        <f t="shared" ca="1" si="96"/>
        <v>22152.058414941683</v>
      </c>
      <c r="E171" s="81">
        <f t="shared" ca="1" si="96"/>
        <v>19961.879102624614</v>
      </c>
      <c r="F171" s="81">
        <f t="shared" ca="1" si="96"/>
        <v>20396.973320976718</v>
      </c>
      <c r="G171" s="81">
        <f t="shared" ca="1" si="96"/>
        <v>20020.620522951944</v>
      </c>
      <c r="H171" s="81">
        <f t="shared" ca="1" si="96"/>
        <v>19613.514938669239</v>
      </c>
      <c r="I171" s="81">
        <f t="shared" ca="1" si="96"/>
        <v>18785.129834542695</v>
      </c>
    </row>
    <row r="172" spans="1:9" ht="15" customHeight="1" x14ac:dyDescent="0.2">
      <c r="A172" s="3">
        <f t="shared" si="97"/>
        <v>8</v>
      </c>
      <c r="B172" s="70">
        <f t="shared" ca="1" si="96"/>
        <v>24544.273896856183</v>
      </c>
      <c r="C172" s="81">
        <f t="shared" ca="1" si="96"/>
        <v>22974.838714224683</v>
      </c>
      <c r="D172" s="81">
        <f t="shared" ca="1" si="96"/>
        <v>20058.944300165072</v>
      </c>
      <c r="E172" s="81">
        <f t="shared" ca="1" si="96"/>
        <v>17850.787385757209</v>
      </c>
      <c r="F172" s="81">
        <f t="shared" ca="1" si="96"/>
        <v>18307.902242585926</v>
      </c>
      <c r="G172" s="81">
        <f t="shared" ca="1" si="96"/>
        <v>18001.293744428051</v>
      </c>
      <c r="H172" s="81">
        <f t="shared" ca="1" si="96"/>
        <v>17598.352781914069</v>
      </c>
      <c r="I172" s="81">
        <f t="shared" ca="1" si="96"/>
        <v>16851.297805751998</v>
      </c>
    </row>
    <row r="173" spans="1:9" ht="15" customHeight="1" x14ac:dyDescent="0.2">
      <c r="A173" s="3">
        <f t="shared" si="97"/>
        <v>9</v>
      </c>
      <c r="B173" s="70">
        <f t="shared" ca="1" si="96"/>
        <v>22129.936165574276</v>
      </c>
      <c r="C173" s="81">
        <f t="shared" ca="1" si="96"/>
        <v>20721.404125161927</v>
      </c>
      <c r="D173" s="81">
        <f t="shared" ca="1" si="96"/>
        <v>18136.730013498152</v>
      </c>
      <c r="E173" s="81">
        <f t="shared" ca="1" si="96"/>
        <v>15977.422530062291</v>
      </c>
      <c r="F173" s="81">
        <f t="shared" ca="1" si="96"/>
        <v>16428.821187375779</v>
      </c>
      <c r="G173" s="81">
        <f t="shared" ca="1" si="96"/>
        <v>16184.074304400368</v>
      </c>
      <c r="H173" s="81">
        <f t="shared" ca="1" si="96"/>
        <v>15797.663326303735</v>
      </c>
      <c r="I173" s="81">
        <f t="shared" ca="1" si="96"/>
        <v>15145.427655838852</v>
      </c>
    </row>
    <row r="174" spans="1:9" ht="15" customHeight="1" x14ac:dyDescent="0.2">
      <c r="A174" s="3">
        <f t="shared" si="97"/>
        <v>10</v>
      </c>
      <c r="B174" s="70">
        <f t="shared" ca="1" si="96"/>
        <v>19882.815005308203</v>
      </c>
      <c r="C174" s="81">
        <f t="shared" ca="1" si="96"/>
        <v>18627.304325327827</v>
      </c>
      <c r="D174" s="81">
        <f t="shared" ca="1" si="96"/>
        <v>16374.36126425184</v>
      </c>
      <c r="E174" s="81">
        <f t="shared" ca="1" si="96"/>
        <v>14313.020202469092</v>
      </c>
      <c r="F174" s="81">
        <f t="shared" ca="1" si="96"/>
        <v>14738.212864324227</v>
      </c>
      <c r="G174" s="81">
        <f t="shared" ca="1" si="96"/>
        <v>14548.119310017995</v>
      </c>
      <c r="H174" s="81">
        <f t="shared" ca="1" si="96"/>
        <v>14186.741343597696</v>
      </c>
      <c r="I174" s="81">
        <f t="shared" ca="1" si="96"/>
        <v>13638.372358260536</v>
      </c>
    </row>
    <row r="175" spans="1:9" ht="15" customHeight="1" x14ac:dyDescent="0.2">
      <c r="C175" s="41"/>
      <c r="D175" s="41"/>
      <c r="E175" s="41"/>
      <c r="F175" s="41"/>
      <c r="G175" s="41"/>
      <c r="H175" s="41"/>
      <c r="I175" s="41"/>
    </row>
    <row r="176" spans="1:9" ht="15" customHeight="1" x14ac:dyDescent="0.2">
      <c r="C176" s="41"/>
      <c r="D176" s="41"/>
      <c r="E176" s="41"/>
      <c r="F176" s="41"/>
      <c r="G176" s="41"/>
      <c r="H176" s="41"/>
      <c r="I176" s="41"/>
    </row>
    <row r="177" spans="1:9" ht="15" customHeight="1" x14ac:dyDescent="0.2">
      <c r="A177" s="35" t="s">
        <v>510</v>
      </c>
      <c r="B177" s="82"/>
      <c r="C177" s="83"/>
      <c r="D177" s="83"/>
      <c r="E177" s="83"/>
      <c r="F177" s="83"/>
      <c r="G177" s="83"/>
      <c r="H177" s="83"/>
      <c r="I177" s="83"/>
    </row>
    <row r="178" spans="1:9" ht="15" customHeight="1" x14ac:dyDescent="0.2">
      <c r="A178" s="3">
        <f t="shared" ref="A178:A188" si="98">A164</f>
        <v>0</v>
      </c>
      <c r="B178" s="8" t="e">
        <f t="shared" ref="B178:I188" ca="1" si="99">IF($A178&gt;B$160,"",IF($A178=0,#N/A,B192/OFFSET(B192,-1,0)-1))</f>
        <v>#N/A</v>
      </c>
      <c r="C178" s="83" t="e">
        <f t="shared" ca="1" si="99"/>
        <v>#N/A</v>
      </c>
      <c r="D178" s="83" t="e">
        <f t="shared" ca="1" si="99"/>
        <v>#N/A</v>
      </c>
      <c r="E178" s="83" t="e">
        <f t="shared" ca="1" si="99"/>
        <v>#N/A</v>
      </c>
      <c r="F178" s="83" t="e">
        <f t="shared" ca="1" si="99"/>
        <v>#N/A</v>
      </c>
      <c r="G178" s="83" t="e">
        <f t="shared" ca="1" si="99"/>
        <v>#N/A</v>
      </c>
      <c r="H178" s="83" t="e">
        <f t="shared" ca="1" si="99"/>
        <v>#N/A</v>
      </c>
      <c r="I178" s="83" t="e">
        <f t="shared" ca="1" si="99"/>
        <v>#N/A</v>
      </c>
    </row>
    <row r="179" spans="1:9" ht="15" customHeight="1" x14ac:dyDescent="0.2">
      <c r="A179" s="3">
        <f t="shared" si="98"/>
        <v>1</v>
      </c>
      <c r="B179" s="8">
        <f t="shared" ca="1" si="99"/>
        <v>1.5613299587391216E-2</v>
      </c>
      <c r="C179" s="83">
        <f t="shared" ca="1" si="99"/>
        <v>1.7288444510881851E-2</v>
      </c>
      <c r="D179" s="83">
        <f t="shared" ca="1" si="99"/>
        <v>1.9349288023805089E-2</v>
      </c>
      <c r="E179" s="83">
        <f t="shared" ca="1" si="99"/>
        <v>1.9713322206589279E-2</v>
      </c>
      <c r="F179" s="83">
        <f t="shared" ca="1" si="99"/>
        <v>2.0493572496813162E-2</v>
      </c>
      <c r="G179" s="83">
        <f t="shared" ca="1" si="99"/>
        <v>2.1627355521506519E-2</v>
      </c>
      <c r="H179" s="83">
        <f t="shared" ca="1" si="99"/>
        <v>2.041415155992099E-2</v>
      </c>
      <c r="I179" s="83">
        <f t="shared" ca="1" si="99"/>
        <v>2.8974178307822784E-2</v>
      </c>
    </row>
    <row r="180" spans="1:9" ht="15" customHeight="1" x14ac:dyDescent="0.2">
      <c r="A180" s="3">
        <f t="shared" si="98"/>
        <v>2</v>
      </c>
      <c r="B180" s="8">
        <f t="shared" ca="1" si="99"/>
        <v>1.2782360288719152E-2</v>
      </c>
      <c r="C180" s="83">
        <f t="shared" ca="1" si="99"/>
        <v>1.4672490037171304E-2</v>
      </c>
      <c r="D180" s="83">
        <f t="shared" ca="1" si="99"/>
        <v>1.6968139780400238E-2</v>
      </c>
      <c r="E180" s="83">
        <f t="shared" ca="1" si="99"/>
        <v>1.7886834365595794E-2</v>
      </c>
      <c r="F180" s="83">
        <f t="shared" ca="1" si="99"/>
        <v>1.861606126007076E-2</v>
      </c>
      <c r="G180" s="83">
        <f t="shared" ca="1" si="99"/>
        <v>1.9861028577768947E-2</v>
      </c>
      <c r="H180" s="83">
        <f t="shared" ca="1" si="99"/>
        <v>1.8527846602936382E-2</v>
      </c>
      <c r="I180" s="83">
        <f t="shared" ca="1" si="99"/>
        <v>2.6699224073996497E-2</v>
      </c>
    </row>
    <row r="181" spans="1:9" ht="15" customHeight="1" x14ac:dyDescent="0.2">
      <c r="A181" s="3">
        <f t="shared" si="98"/>
        <v>3</v>
      </c>
      <c r="B181" s="8">
        <f t="shared" ca="1" si="99"/>
        <v>1.2050910037905593E-2</v>
      </c>
      <c r="C181" s="83">
        <f t="shared" ca="1" si="99"/>
        <v>1.4040283322969582E-2</v>
      </c>
      <c r="D181" s="83">
        <f t="shared" ca="1" si="99"/>
        <v>1.6446524043951971E-2</v>
      </c>
      <c r="E181" s="83">
        <f t="shared" ca="1" si="99"/>
        <v>1.740643509343176E-2</v>
      </c>
      <c r="F181" s="83">
        <f t="shared" ca="1" si="99"/>
        <v>1.8167145467925305E-2</v>
      </c>
      <c r="G181" s="83">
        <f t="shared" ca="1" si="99"/>
        <v>1.9463348738476771E-2</v>
      </c>
      <c r="H181" s="83">
        <f t="shared" ca="1" si="99"/>
        <v>1.807518016574039E-2</v>
      </c>
      <c r="I181" s="83">
        <f t="shared" ca="1" si="99"/>
        <v>2.6170416662806506E-2</v>
      </c>
    </row>
    <row r="182" spans="1:9" ht="15" customHeight="1" x14ac:dyDescent="0.2">
      <c r="A182" s="3">
        <f t="shared" si="98"/>
        <v>4</v>
      </c>
      <c r="B182" s="8">
        <f t="shared" ca="1" si="99"/>
        <v>1.1279059904714117E-2</v>
      </c>
      <c r="C182" s="83">
        <f t="shared" ca="1" si="99"/>
        <v>1.3375707269104309E-2</v>
      </c>
      <c r="D182" s="83">
        <f t="shared" ca="1" si="99"/>
        <v>1.5900734160776864E-2</v>
      </c>
      <c r="E182" s="83">
        <f t="shared" ca="1" si="99"/>
        <v>1.6904699348915253E-2</v>
      </c>
      <c r="F182" s="83">
        <f t="shared" ca="1" si="99"/>
        <v>1.7698977211720646E-2</v>
      </c>
      <c r="G182" s="83">
        <f t="shared" ca="1" si="99"/>
        <v>1.9049646720097124E-2</v>
      </c>
      <c r="H182" s="83">
        <f t="shared" ca="1" si="99"/>
        <v>1.7603016877478339E-2</v>
      </c>
      <c r="I182" s="83">
        <f t="shared" ca="1" si="99"/>
        <v>2.5617049470765707E-2</v>
      </c>
    </row>
    <row r="183" spans="1:9" ht="15" customHeight="1" x14ac:dyDescent="0.2">
      <c r="A183" s="3">
        <f t="shared" si="98"/>
        <v>5</v>
      </c>
      <c r="B183" s="8">
        <f t="shared" ca="1" si="99"/>
        <v>1.046336774548462E-2</v>
      </c>
      <c r="C183" s="83">
        <f t="shared" ca="1" si="99"/>
        <v>1.2676210568782542E-2</v>
      </c>
      <c r="D183" s="83">
        <f t="shared" ca="1" si="99"/>
        <v>1.5329049748648238E-2</v>
      </c>
      <c r="E183" s="83">
        <f t="shared" ca="1" si="99"/>
        <v>1.6380173390381225E-2</v>
      </c>
      <c r="F183" s="83">
        <f t="shared" ca="1" si="99"/>
        <v>1.7210290843216791E-2</v>
      </c>
      <c r="G183" s="83">
        <f t="shared" ca="1" si="99"/>
        <v>1.8618934336293469E-2</v>
      </c>
      <c r="H183" s="83">
        <f t="shared" ca="1" si="99"/>
        <v>1.7110069387474613E-2</v>
      </c>
      <c r="I183" s="83">
        <f t="shared" ca="1" si="99"/>
        <v>2.5037370850155227E-2</v>
      </c>
    </row>
    <row r="184" spans="1:9" ht="15" customHeight="1" x14ac:dyDescent="0.2">
      <c r="A184" s="3">
        <f t="shared" si="98"/>
        <v>6</v>
      </c>
      <c r="B184" s="8">
        <f t="shared" ca="1" si="99"/>
        <v>-1.1695414951378047E-2</v>
      </c>
      <c r="C184" s="83">
        <f t="shared" ca="1" si="99"/>
        <v>-1.1484205514706303E-2</v>
      </c>
      <c r="D184" s="83">
        <f t="shared" ca="1" si="99"/>
        <v>-1.0169110120158642E-2</v>
      </c>
      <c r="E184" s="83">
        <f t="shared" ca="1" si="99"/>
        <v>-1.6508394016349515E-2</v>
      </c>
      <c r="F184" s="83">
        <f t="shared" ca="1" si="99"/>
        <v>-1.5873428990708982E-2</v>
      </c>
      <c r="G184" s="83">
        <f t="shared" ca="1" si="99"/>
        <v>-1.4289187652206325E-2</v>
      </c>
      <c r="H184" s="83">
        <f t="shared" ca="1" si="99"/>
        <v>-1.6635062664716815E-2</v>
      </c>
      <c r="I184" s="83">
        <f t="shared" ca="1" si="99"/>
        <v>-7.6896196510639614E-3</v>
      </c>
    </row>
    <row r="185" spans="1:9" ht="15" customHeight="1" x14ac:dyDescent="0.2">
      <c r="A185" s="3">
        <f t="shared" si="98"/>
        <v>7</v>
      </c>
      <c r="B185" s="8">
        <f t="shared" ca="1" si="99"/>
        <v>-1.6231581664025274E-2</v>
      </c>
      <c r="C185" s="83">
        <f t="shared" ca="1" si="99"/>
        <v>-1.5938676556777054E-2</v>
      </c>
      <c r="D185" s="83">
        <f t="shared" ca="1" si="99"/>
        <v>-1.3861939172644444E-2</v>
      </c>
      <c r="E185" s="83">
        <f t="shared" ca="1" si="99"/>
        <v>-2.0438264536562833E-2</v>
      </c>
      <c r="F185" s="83">
        <f t="shared" ca="1" si="99"/>
        <v>-1.9615167163812064E-2</v>
      </c>
      <c r="G185" s="83">
        <f t="shared" ca="1" si="99"/>
        <v>-1.7938055206656922E-2</v>
      </c>
      <c r="H185" s="83">
        <f t="shared" ca="1" si="99"/>
        <v>-1.9897190964999534E-2</v>
      </c>
      <c r="I185" s="83">
        <f t="shared" ca="1" si="99"/>
        <v>-1.2607653120620066E-2</v>
      </c>
    </row>
    <row r="186" spans="1:9" ht="15" customHeight="1" x14ac:dyDescent="0.2">
      <c r="A186" s="3">
        <f t="shared" si="98"/>
        <v>8</v>
      </c>
      <c r="B186" s="8">
        <f t="shared" ca="1" si="99"/>
        <v>-2.0742855519780057E-2</v>
      </c>
      <c r="C186" s="83">
        <f t="shared" ca="1" si="99"/>
        <v>-2.0370858308954354E-2</v>
      </c>
      <c r="D186" s="83">
        <f t="shared" ca="1" si="99"/>
        <v>-1.7557382788319864E-2</v>
      </c>
      <c r="E186" s="83">
        <f t="shared" ca="1" si="99"/>
        <v>-2.441333749873742E-2</v>
      </c>
      <c r="F186" s="83">
        <f t="shared" ca="1" si="99"/>
        <v>-2.3404899100204268E-2</v>
      </c>
      <c r="G186" s="83">
        <f t="shared" ca="1" si="99"/>
        <v>-2.1633044421233372E-2</v>
      </c>
      <c r="H186" s="83">
        <f t="shared" ca="1" si="99"/>
        <v>-2.3229940005456862E-2</v>
      </c>
      <c r="I186" s="83">
        <f t="shared" ca="1" si="99"/>
        <v>-1.7544565930330269E-2</v>
      </c>
    </row>
    <row r="187" spans="1:9" ht="15" customHeight="1" x14ac:dyDescent="0.2">
      <c r="A187" s="3">
        <f t="shared" si="98"/>
        <v>9</v>
      </c>
      <c r="B187" s="8">
        <f t="shared" ca="1" si="99"/>
        <v>-2.5223169347120655E-2</v>
      </c>
      <c r="C187" s="83">
        <f t="shared" ca="1" si="99"/>
        <v>-2.4775019316753299E-2</v>
      </c>
      <c r="D187" s="83">
        <f t="shared" ca="1" si="99"/>
        <v>-2.125279007085612E-2</v>
      </c>
      <c r="E187" s="83">
        <f t="shared" ca="1" si="99"/>
        <v>-2.8435344810756047E-2</v>
      </c>
      <c r="F187" s="83">
        <f t="shared" ca="1" si="99"/>
        <v>-2.7244895790864976E-2</v>
      </c>
      <c r="G187" s="83">
        <f t="shared" ca="1" si="99"/>
        <v>-2.537653817911012E-2</v>
      </c>
      <c r="H187" s="83">
        <f t="shared" ca="1" si="99"/>
        <v>-2.6638829595073243E-2</v>
      </c>
      <c r="I187" s="83">
        <f t="shared" ca="1" si="99"/>
        <v>-2.2498297209546436E-2</v>
      </c>
    </row>
    <row r="188" spans="1:9" ht="15" customHeight="1" x14ac:dyDescent="0.2">
      <c r="A188" s="3">
        <f t="shared" si="98"/>
        <v>10</v>
      </c>
      <c r="B188" s="8">
        <f t="shared" ca="1" si="99"/>
        <v>-2.9665515296997347E-2</v>
      </c>
      <c r="C188" s="83">
        <f t="shared" ca="1" si="99"/>
        <v>-2.9144523708918846E-2</v>
      </c>
      <c r="D188" s="83">
        <f t="shared" ca="1" si="99"/>
        <v>-2.4944951364962442E-2</v>
      </c>
      <c r="E188" s="83">
        <f t="shared" ca="1" si="99"/>
        <v>-3.2505913292239064E-2</v>
      </c>
      <c r="F188" s="83">
        <f t="shared" ca="1" si="99"/>
        <v>-3.1137431473093002E-2</v>
      </c>
      <c r="G188" s="83">
        <f t="shared" ca="1" si="99"/>
        <v>-2.9170988757297511E-2</v>
      </c>
      <c r="H188" s="83">
        <f t="shared" ca="1" si="99"/>
        <v>-3.0129941712689345E-2</v>
      </c>
      <c r="I188" s="83">
        <f t="shared" ca="1" si="99"/>
        <v>-2.7466078764510904E-2</v>
      </c>
    </row>
    <row r="189" spans="1:9" ht="15" customHeight="1" x14ac:dyDescent="0.2">
      <c r="C189" s="41"/>
      <c r="D189" s="41"/>
      <c r="E189" s="41"/>
      <c r="F189" s="41"/>
      <c r="G189" s="41"/>
      <c r="H189" s="41"/>
      <c r="I189" s="41"/>
    </row>
    <row r="190" spans="1:9" ht="15" customHeight="1" x14ac:dyDescent="0.2">
      <c r="C190" s="41"/>
      <c r="D190" s="41"/>
      <c r="E190" s="41"/>
      <c r="F190" s="41"/>
      <c r="G190" s="41"/>
      <c r="H190" s="41"/>
      <c r="I190" s="41"/>
    </row>
    <row r="191" spans="1:9" ht="15" customHeight="1" x14ac:dyDescent="0.2">
      <c r="A191" s="35" t="str">
        <f>+A145</f>
        <v>FCFF</v>
      </c>
      <c r="B191" s="80"/>
      <c r="C191" s="81"/>
      <c r="D191" s="81"/>
      <c r="E191" s="81"/>
      <c r="F191" s="81"/>
      <c r="G191" s="81"/>
      <c r="H191" s="81"/>
      <c r="I191" s="81"/>
    </row>
    <row r="192" spans="1:9" ht="15" customHeight="1" x14ac:dyDescent="0.2">
      <c r="A192" s="3">
        <f t="shared" ref="A192:A202" si="100">A164</f>
        <v>0</v>
      </c>
      <c r="B192" s="70">
        <f t="shared" ref="B192:I202" ca="1" si="101">IF($A192&gt;B$160,"",IF($A192=0,B$304*(1-B$815),+B304-B276))</f>
        <v>46466.851202618192</v>
      </c>
      <c r="C192" s="81">
        <f t="shared" ca="1" si="101"/>
        <v>43247.428941476377</v>
      </c>
      <c r="D192" s="81">
        <f t="shared" ca="1" si="101"/>
        <v>38498.385414324206</v>
      </c>
      <c r="E192" s="81">
        <f t="shared" ca="1" si="101"/>
        <v>38200.132992751023</v>
      </c>
      <c r="F192" s="81">
        <f t="shared" ca="1" si="101"/>
        <v>37208.954564878804</v>
      </c>
      <c r="G192" s="81">
        <f t="shared" ca="1" si="101"/>
        <v>36217.069748013535</v>
      </c>
      <c r="H192" s="81">
        <f t="shared" ca="1" si="101"/>
        <v>36140.962693937465</v>
      </c>
      <c r="I192" s="81">
        <f t="shared" ca="1" si="101"/>
        <v>35981.086054083316</v>
      </c>
    </row>
    <row r="193" spans="1:9" ht="15" customHeight="1" x14ac:dyDescent="0.2">
      <c r="A193" s="3">
        <f t="shared" si="100"/>
        <v>1</v>
      </c>
      <c r="B193" s="70">
        <f t="shared" ca="1" si="101"/>
        <v>47192.352071327405</v>
      </c>
      <c r="C193" s="81">
        <f t="shared" ca="1" si="101"/>
        <v>43995.109716969397</v>
      </c>
      <c r="D193" s="81">
        <f t="shared" ca="1" si="101"/>
        <v>39243.301762157425</v>
      </c>
      <c r="E193" s="81">
        <f t="shared" ca="1" si="101"/>
        <v>38953.184522771684</v>
      </c>
      <c r="F193" s="81">
        <f t="shared" ca="1" si="101"/>
        <v>37971.498972784771</v>
      </c>
      <c r="G193" s="81">
        <f t="shared" ca="1" si="101"/>
        <v>37000.349191401023</v>
      </c>
      <c r="H193" s="81">
        <f t="shared" ca="1" si="101"/>
        <v>36878.749783892956</v>
      </c>
      <c r="I193" s="81">
        <f t="shared" ca="1" si="101"/>
        <v>37023.608457123446</v>
      </c>
    </row>
    <row r="194" spans="1:9" ht="15" customHeight="1" x14ac:dyDescent="0.2">
      <c r="A194" s="3">
        <f t="shared" si="100"/>
        <v>2</v>
      </c>
      <c r="B194" s="70">
        <f t="shared" ca="1" si="101"/>
        <v>47795.581718375193</v>
      </c>
      <c r="C194" s="81">
        <f t="shared" ca="1" si="101"/>
        <v>44640.627525975891</v>
      </c>
      <c r="D194" s="81">
        <f t="shared" ca="1" si="101"/>
        <v>39909.18759190214</v>
      </c>
      <c r="E194" s="81">
        <f t="shared" ca="1" si="101"/>
        <v>39649.933682342991</v>
      </c>
      <c r="F194" s="81">
        <f t="shared" ca="1" si="101"/>
        <v>38678.378723798851</v>
      </c>
      <c r="G194" s="81">
        <f t="shared" ca="1" si="101"/>
        <v>37735.214184078868</v>
      </c>
      <c r="H194" s="81">
        <f t="shared" ca="1" si="101"/>
        <v>37562.033602796997</v>
      </c>
      <c r="I194" s="81">
        <f t="shared" ca="1" si="101"/>
        <v>38012.110075348101</v>
      </c>
    </row>
    <row r="195" spans="1:9" ht="15" customHeight="1" x14ac:dyDescent="0.2">
      <c r="A195" s="3">
        <f t="shared" si="100"/>
        <v>3</v>
      </c>
      <c r="B195" s="70">
        <f t="shared" ca="1" si="101"/>
        <v>48371.561973872696</v>
      </c>
      <c r="C195" s="81">
        <f t="shared" ca="1" si="101"/>
        <v>45267.394584155743</v>
      </c>
      <c r="D195" s="81">
        <f t="shared" ca="1" si="101"/>
        <v>40565.555005206945</v>
      </c>
      <c r="E195" s="81">
        <f t="shared" ca="1" si="101"/>
        <v>40340.09767944357</v>
      </c>
      <c r="F195" s="81">
        <f t="shared" ca="1" si="101"/>
        <v>39381.054456537611</v>
      </c>
      <c r="G195" s="81">
        <f t="shared" ca="1" si="101"/>
        <v>38469.66781746471</v>
      </c>
      <c r="H195" s="81">
        <f t="shared" ca="1" si="101"/>
        <v>38240.974127559151</v>
      </c>
      <c r="I195" s="81">
        <f t="shared" ca="1" si="101"/>
        <v>39006.902834252425</v>
      </c>
    </row>
    <row r="196" spans="1:9" ht="15" customHeight="1" x14ac:dyDescent="0.2">
      <c r="A196" s="3">
        <f t="shared" si="100"/>
        <v>4</v>
      </c>
      <c r="B196" s="70">
        <f t="shared" ca="1" si="101"/>
        <v>48917.147719060595</v>
      </c>
      <c r="C196" s="81">
        <f t="shared" ca="1" si="101"/>
        <v>45872.878002948448</v>
      </c>
      <c r="D196" s="81">
        <f t="shared" ca="1" si="101"/>
        <v>41210.577111429113</v>
      </c>
      <c r="E196" s="81">
        <f t="shared" ca="1" si="101"/>
        <v>41022.034902420441</v>
      </c>
      <c r="F196" s="81">
        <f t="shared" ca="1" si="101"/>
        <v>40078.058841937396</v>
      </c>
      <c r="G196" s="81">
        <f t="shared" ca="1" si="101"/>
        <v>39202.501398826898</v>
      </c>
      <c r="H196" s="81">
        <f t="shared" ca="1" si="101"/>
        <v>38914.130640537791</v>
      </c>
      <c r="I196" s="81">
        <f t="shared" ca="1" si="101"/>
        <v>40006.144593858822</v>
      </c>
    </row>
    <row r="197" spans="1:9" ht="15" customHeight="1" x14ac:dyDescent="0.2">
      <c r="A197" s="3">
        <f t="shared" si="100"/>
        <v>5</v>
      </c>
      <c r="B197" s="70">
        <f t="shared" ca="1" si="101"/>
        <v>49428.98582470532</v>
      </c>
      <c r="C197" s="81">
        <f t="shared" ca="1" si="101"/>
        <v>46454.3722639099</v>
      </c>
      <c r="D197" s="81">
        <f t="shared" ca="1" si="101"/>
        <v>41842.296098140716</v>
      </c>
      <c r="E197" s="81">
        <f t="shared" ca="1" si="101"/>
        <v>41693.982946948359</v>
      </c>
      <c r="F197" s="81">
        <f t="shared" ca="1" si="101"/>
        <v>40767.813891038699</v>
      </c>
      <c r="G197" s="81">
        <f t="shared" ca="1" si="101"/>
        <v>39932.410198190111</v>
      </c>
      <c r="H197" s="81">
        <f t="shared" ca="1" si="101"/>
        <v>39579.954115950641</v>
      </c>
      <c r="I197" s="81">
        <f t="shared" ca="1" si="101"/>
        <v>41007.793272340197</v>
      </c>
    </row>
    <row r="198" spans="1:9" ht="15" customHeight="1" x14ac:dyDescent="0.2">
      <c r="A198" s="3">
        <f t="shared" si="100"/>
        <v>6</v>
      </c>
      <c r="B198" s="70">
        <f t="shared" ca="1" si="101"/>
        <v>48850.893324859608</v>
      </c>
      <c r="C198" s="81">
        <f t="shared" ca="1" si="101"/>
        <v>45920.880705774485</v>
      </c>
      <c r="D198" s="81">
        <f t="shared" ca="1" si="101"/>
        <v>41416.797181438436</v>
      </c>
      <c r="E198" s="81">
        <f t="shared" ca="1" si="101"/>
        <v>41005.682248349178</v>
      </c>
      <c r="F198" s="81">
        <f t="shared" ca="1" si="101"/>
        <v>40120.688892132857</v>
      </c>
      <c r="G198" s="81">
        <f t="shared" ca="1" si="101"/>
        <v>39361.808495463294</v>
      </c>
      <c r="H198" s="81">
        <f t="shared" ca="1" si="101"/>
        <v>38921.539098965186</v>
      </c>
      <c r="I198" s="81">
        <f t="shared" ca="1" si="101"/>
        <v>40692.458939346441</v>
      </c>
    </row>
    <row r="199" spans="1:9" ht="15" customHeight="1" x14ac:dyDescent="0.2">
      <c r="A199" s="3">
        <f t="shared" si="100"/>
        <v>7</v>
      </c>
      <c r="B199" s="70">
        <f t="shared" ca="1" si="101"/>
        <v>48057.966060496561</v>
      </c>
      <c r="C199" s="81">
        <f t="shared" ca="1" si="101"/>
        <v>45188.9626410028</v>
      </c>
      <c r="D199" s="81">
        <f t="shared" ca="1" si="101"/>
        <v>40842.680058183585</v>
      </c>
      <c r="E199" s="81">
        <f t="shared" ca="1" si="101"/>
        <v>40167.597267055178</v>
      </c>
      <c r="F199" s="81">
        <f t="shared" ca="1" si="101"/>
        <v>39333.714872786375</v>
      </c>
      <c r="G199" s="81">
        <f t="shared" ca="1" si="101"/>
        <v>38655.734201637817</v>
      </c>
      <c r="H199" s="81">
        <f t="shared" ca="1" si="101"/>
        <v>38147.109802861378</v>
      </c>
      <c r="I199" s="81">
        <f t="shared" ca="1" si="101"/>
        <v>40179.422532414086</v>
      </c>
    </row>
    <row r="200" spans="1:9" ht="15" customHeight="1" x14ac:dyDescent="0.2">
      <c r="A200" s="3">
        <f t="shared" si="100"/>
        <v>8</v>
      </c>
      <c r="B200" s="70">
        <f t="shared" ca="1" si="101"/>
        <v>47061.106613929187</v>
      </c>
      <c r="C200" s="81">
        <f t="shared" ca="1" si="101"/>
        <v>44268.424685914302</v>
      </c>
      <c r="D200" s="81">
        <f t="shared" ca="1" si="101"/>
        <v>40125.589490301179</v>
      </c>
      <c r="E200" s="81">
        <f t="shared" ca="1" si="101"/>
        <v>39186.972158461198</v>
      </c>
      <c r="F200" s="81">
        <f t="shared" ca="1" si="101"/>
        <v>38413.113244952605</v>
      </c>
      <c r="G200" s="81">
        <f t="shared" ca="1" si="101"/>
        <v>37819.492986518395</v>
      </c>
      <c r="H200" s="81">
        <f t="shared" ca="1" si="101"/>
        <v>37260.954730759331</v>
      </c>
      <c r="I200" s="81">
        <f t="shared" ca="1" si="101"/>
        <v>39474.492004751548</v>
      </c>
    </row>
    <row r="201" spans="1:9" ht="15" customHeight="1" x14ac:dyDescent="0.2">
      <c r="A201" s="3">
        <f t="shared" si="100"/>
        <v>9</v>
      </c>
      <c r="B201" s="70">
        <f t="shared" ca="1" si="101"/>
        <v>45874.076352143151</v>
      </c>
      <c r="C201" s="81">
        <f t="shared" ca="1" si="101"/>
        <v>43171.673609198537</v>
      </c>
      <c r="D201" s="81">
        <f t="shared" ca="1" si="101"/>
        <v>39272.808760394459</v>
      </c>
      <c r="E201" s="81">
        <f t="shared" ca="1" si="101"/>
        <v>38072.677093045859</v>
      </c>
      <c r="F201" s="81">
        <f t="shared" ca="1" si="101"/>
        <v>37366.551977591174</v>
      </c>
      <c r="G201" s="81">
        <f t="shared" ca="1" si="101"/>
        <v>36859.765178831425</v>
      </c>
      <c r="H201" s="81">
        <f t="shared" ca="1" si="101"/>
        <v>36268.366507136896</v>
      </c>
      <c r="I201" s="81">
        <f t="shared" ca="1" si="101"/>
        <v>38586.383151432783</v>
      </c>
    </row>
    <row r="202" spans="1:9" ht="15" customHeight="1" x14ac:dyDescent="0.2">
      <c r="A202" s="3">
        <f t="shared" si="100"/>
        <v>10</v>
      </c>
      <c r="B202" s="70">
        <f t="shared" ca="1" si="101"/>
        <v>44513.198238383025</v>
      </c>
      <c r="C202" s="81">
        <f t="shared" ca="1" si="101"/>
        <v>41913.455744141545</v>
      </c>
      <c r="D202" s="81">
        <f t="shared" ca="1" si="101"/>
        <v>38293.150455900948</v>
      </c>
      <c r="E202" s="81">
        <f t="shared" ca="1" si="101"/>
        <v>36835.089952655893</v>
      </c>
      <c r="F202" s="81">
        <f t="shared" ca="1" si="101"/>
        <v>36203.053526003161</v>
      </c>
      <c r="G202" s="81">
        <f t="shared" ca="1" si="101"/>
        <v>35784.529383203109</v>
      </c>
      <c r="H202" s="81">
        <f t="shared" ca="1" si="101"/>
        <v>35175.602738262409</v>
      </c>
      <c r="I202" s="81">
        <f t="shared" ca="1" si="101"/>
        <v>37526.566512557933</v>
      </c>
    </row>
    <row r="203" spans="1:9" ht="15" customHeight="1" x14ac:dyDescent="0.2">
      <c r="B203" s="70"/>
      <c r="C203" s="81"/>
      <c r="D203" s="81"/>
      <c r="E203" s="81"/>
      <c r="F203" s="81"/>
      <c r="G203" s="81"/>
      <c r="H203" s="81"/>
      <c r="I203" s="81"/>
    </row>
    <row r="204" spans="1:9" ht="15" customHeight="1" x14ac:dyDescent="0.2">
      <c r="C204" s="41"/>
      <c r="D204" s="41"/>
      <c r="E204" s="41"/>
      <c r="F204" s="41"/>
      <c r="G204" s="41"/>
      <c r="H204" s="41"/>
      <c r="I204" s="41"/>
    </row>
    <row r="205" spans="1:9" ht="15" customHeight="1" x14ac:dyDescent="0.2">
      <c r="A205" s="35" t="s">
        <v>509</v>
      </c>
      <c r="B205" s="84"/>
      <c r="C205" s="85"/>
      <c r="D205" s="85"/>
      <c r="E205" s="85"/>
      <c r="F205" s="85"/>
      <c r="G205" s="85"/>
      <c r="H205" s="85"/>
      <c r="I205" s="85"/>
    </row>
    <row r="206" spans="1:9" ht="15" customHeight="1" x14ac:dyDescent="0.2">
      <c r="A206" s="3">
        <f t="shared" ref="A206:A216" si="102">A192</f>
        <v>0</v>
      </c>
      <c r="B206" s="8" t="e">
        <f t="shared" ref="B206:I216" ca="1" si="103">IF($A206&gt;B$160,"",IF($A206=0,#N/A,IF($A206=1,1/(1+B220),OFFSET(B206,-1,0)/(1+B220))))</f>
        <v>#N/A</v>
      </c>
      <c r="C206" s="83" t="e">
        <f t="shared" ca="1" si="103"/>
        <v>#N/A</v>
      </c>
      <c r="D206" s="83" t="e">
        <f t="shared" ca="1" si="103"/>
        <v>#N/A</v>
      </c>
      <c r="E206" s="83" t="e">
        <f t="shared" ca="1" si="103"/>
        <v>#N/A</v>
      </c>
      <c r="F206" s="83" t="e">
        <f t="shared" ca="1" si="103"/>
        <v>#N/A</v>
      </c>
      <c r="G206" s="83" t="e">
        <f t="shared" ca="1" si="103"/>
        <v>#N/A</v>
      </c>
      <c r="H206" s="83" t="e">
        <f t="shared" ca="1" si="103"/>
        <v>#N/A</v>
      </c>
      <c r="I206" s="83" t="e">
        <f t="shared" ca="1" si="103"/>
        <v>#N/A</v>
      </c>
    </row>
    <row r="207" spans="1:9" ht="15" customHeight="1" x14ac:dyDescent="0.2">
      <c r="A207" s="3">
        <f t="shared" si="102"/>
        <v>1</v>
      </c>
      <c r="B207" s="86">
        <f t="shared" ca="1" si="103"/>
        <v>0.92113561283739909</v>
      </c>
      <c r="C207" s="85">
        <f t="shared" ca="1" si="103"/>
        <v>0.92047193779724923</v>
      </c>
      <c r="D207" s="85">
        <f t="shared" ca="1" si="103"/>
        <v>0.91541831018271225</v>
      </c>
      <c r="E207" s="85">
        <f t="shared" ca="1" si="103"/>
        <v>0.90301059149753238</v>
      </c>
      <c r="F207" s="85">
        <f t="shared" ca="1" si="103"/>
        <v>0.90902471631670412</v>
      </c>
      <c r="G207" s="85">
        <f t="shared" ca="1" si="103"/>
        <v>0.90884926023935653</v>
      </c>
      <c r="H207" s="85">
        <f t="shared" ca="1" si="103"/>
        <v>0.90781460480166465</v>
      </c>
      <c r="I207" s="85">
        <f t="shared" ca="1" si="103"/>
        <v>0.8944530144482481</v>
      </c>
    </row>
    <row r="208" spans="1:9" ht="15" customHeight="1" x14ac:dyDescent="0.2">
      <c r="A208" s="3">
        <f t="shared" si="102"/>
        <v>2</v>
      </c>
      <c r="B208" s="86">
        <f t="shared" ca="1" si="103"/>
        <v>0.84849081723733089</v>
      </c>
      <c r="C208" s="85">
        <f t="shared" ca="1" si="103"/>
        <v>0.84726858827222307</v>
      </c>
      <c r="D208" s="85">
        <f t="shared" ca="1" si="103"/>
        <v>0.83799068261777232</v>
      </c>
      <c r="E208" s="85">
        <f t="shared" ca="1" si="103"/>
        <v>0.81542812835672329</v>
      </c>
      <c r="F208" s="85">
        <f t="shared" ca="1" si="103"/>
        <v>0.82632593487466444</v>
      </c>
      <c r="G208" s="85">
        <f t="shared" ca="1" si="103"/>
        <v>0.82600697783762567</v>
      </c>
      <c r="H208" s="85">
        <f t="shared" ca="1" si="103"/>
        <v>0.82412735669120252</v>
      </c>
      <c r="I208" s="85">
        <f t="shared" ca="1" si="103"/>
        <v>0.80004619505555785</v>
      </c>
    </row>
    <row r="209" spans="1:9" ht="15" customHeight="1" x14ac:dyDescent="0.2">
      <c r="A209" s="3">
        <f t="shared" si="102"/>
        <v>3</v>
      </c>
      <c r="B209" s="86">
        <f t="shared" ca="1" si="103"/>
        <v>0.78157510892281445</v>
      </c>
      <c r="C209" s="85">
        <f t="shared" ca="1" si="103"/>
        <v>0.77988695928167295</v>
      </c>
      <c r="D209" s="85">
        <f t="shared" ca="1" si="103"/>
        <v>0.76711201463081868</v>
      </c>
      <c r="E209" s="85">
        <f t="shared" ca="1" si="103"/>
        <v>0.73634023651113045</v>
      </c>
      <c r="F209" s="85">
        <f t="shared" ca="1" si="103"/>
        <v>0.75115069853457717</v>
      </c>
      <c r="G209" s="85">
        <f t="shared" ca="1" si="103"/>
        <v>0.75071583076027271</v>
      </c>
      <c r="H209" s="85">
        <f t="shared" ca="1" si="103"/>
        <v>0.74815485062086451</v>
      </c>
      <c r="I209" s="85">
        <f t="shared" ca="1" si="103"/>
        <v>0.71560373086529472</v>
      </c>
    </row>
    <row r="210" spans="1:9" ht="15" customHeight="1" x14ac:dyDescent="0.2">
      <c r="A210" s="3">
        <f t="shared" si="102"/>
        <v>4</v>
      </c>
      <c r="B210" s="86">
        <f t="shared" ca="1" si="103"/>
        <v>0.71993666693607372</v>
      </c>
      <c r="C210" s="85">
        <f t="shared" ca="1" si="103"/>
        <v>0.71786406067280595</v>
      </c>
      <c r="D210" s="85">
        <f t="shared" ca="1" si="103"/>
        <v>0.70222838415420008</v>
      </c>
      <c r="E210" s="85">
        <f t="shared" ca="1" si="103"/>
        <v>0.66492303251534879</v>
      </c>
      <c r="F210" s="85">
        <f t="shared" ca="1" si="103"/>
        <v>0.68281455064648822</v>
      </c>
      <c r="G210" s="85">
        <f t="shared" ca="1" si="103"/>
        <v>0.68228752743644783</v>
      </c>
      <c r="H210" s="85">
        <f t="shared" ca="1" si="103"/>
        <v>0.67918590004682855</v>
      </c>
      <c r="I210" s="85">
        <f t="shared" ca="1" si="103"/>
        <v>0.64007391422287563</v>
      </c>
    </row>
    <row r="211" spans="1:9" ht="15" customHeight="1" x14ac:dyDescent="0.2">
      <c r="A211" s="3">
        <f t="shared" si="102"/>
        <v>5</v>
      </c>
      <c r="B211" s="86">
        <f t="shared" ca="1" si="103"/>
        <v>0.66315930290227476</v>
      </c>
      <c r="C211" s="85">
        <f t="shared" ca="1" si="103"/>
        <v>0.66077372300249981</v>
      </c>
      <c r="D211" s="85">
        <f t="shared" ca="1" si="103"/>
        <v>0.64283272078477438</v>
      </c>
      <c r="E211" s="85">
        <f t="shared" ca="1" si="103"/>
        <v>0.60043254089201803</v>
      </c>
      <c r="F211" s="85">
        <f t="shared" ca="1" si="103"/>
        <v>0.62069530319834176</v>
      </c>
      <c r="G211" s="85">
        <f t="shared" ca="1" si="103"/>
        <v>0.62009651458115533</v>
      </c>
      <c r="H211" s="85">
        <f t="shared" ca="1" si="103"/>
        <v>0.61657487943787448</v>
      </c>
      <c r="I211" s="85">
        <f t="shared" ca="1" si="103"/>
        <v>0.57251604204634043</v>
      </c>
    </row>
    <row r="212" spans="1:9" ht="15" customHeight="1" x14ac:dyDescent="0.2">
      <c r="A212" s="3">
        <f t="shared" si="102"/>
        <v>6</v>
      </c>
      <c r="B212" s="86">
        <f t="shared" ca="1" si="103"/>
        <v>0.61149236670346407</v>
      </c>
      <c r="C212" s="85">
        <f t="shared" ca="1" si="103"/>
        <v>0.60894103921258258</v>
      </c>
      <c r="D212" s="85">
        <f t="shared" ca="1" si="103"/>
        <v>0.58979947842848635</v>
      </c>
      <c r="E212" s="85">
        <f t="shared" ca="1" si="103"/>
        <v>0.54489401246638591</v>
      </c>
      <c r="F212" s="85">
        <f t="shared" ca="1" si="103"/>
        <v>0.5662947221216047</v>
      </c>
      <c r="G212" s="85">
        <f t="shared" ca="1" si="103"/>
        <v>0.5656607319839021</v>
      </c>
      <c r="H212" s="85">
        <f t="shared" ca="1" si="103"/>
        <v>0.56193399177427095</v>
      </c>
      <c r="I212" s="85">
        <f t="shared" ca="1" si="103"/>
        <v>0.5155937829258378</v>
      </c>
    </row>
    <row r="213" spans="1:9" ht="15" customHeight="1" x14ac:dyDescent="0.2">
      <c r="A213" s="3">
        <f t="shared" si="102"/>
        <v>7</v>
      </c>
      <c r="B213" s="86">
        <f t="shared" ca="1" si="103"/>
        <v>0.56443544727341044</v>
      </c>
      <c r="C213" s="85">
        <f t="shared" ca="1" si="103"/>
        <v>0.56183689512698753</v>
      </c>
      <c r="D213" s="85">
        <f t="shared" ca="1" si="103"/>
        <v>0.54237524039520291</v>
      </c>
      <c r="E213" s="85">
        <f t="shared" ca="1" si="103"/>
        <v>0.49696472930426011</v>
      </c>
      <c r="F213" s="85">
        <f t="shared" ca="1" si="103"/>
        <v>0.51856208819698013</v>
      </c>
      <c r="G213" s="85">
        <f t="shared" ca="1" si="103"/>
        <v>0.5179211037234337</v>
      </c>
      <c r="H213" s="85">
        <f t="shared" ca="1" si="103"/>
        <v>0.51415467751106136</v>
      </c>
      <c r="I213" s="85">
        <f t="shared" ca="1" si="103"/>
        <v>0.46753110549033156</v>
      </c>
    </row>
    <row r="214" spans="1:9" ht="15" customHeight="1" x14ac:dyDescent="0.2">
      <c r="A214" s="3">
        <f t="shared" si="102"/>
        <v>8</v>
      </c>
      <c r="B214" s="86">
        <f t="shared" ca="1" si="103"/>
        <v>0.52154051748522945</v>
      </c>
      <c r="C214" s="85">
        <f t="shared" ca="1" si="103"/>
        <v>0.51898929942124206</v>
      </c>
      <c r="D214" s="85">
        <f t="shared" ca="1" si="103"/>
        <v>0.49990404016403428</v>
      </c>
      <c r="E214" s="85">
        <f t="shared" ca="1" si="103"/>
        <v>0.45552862092977225</v>
      </c>
      <c r="F214" s="85">
        <f t="shared" ca="1" si="103"/>
        <v>0.4766055311851492</v>
      </c>
      <c r="G214" s="85">
        <f t="shared" ca="1" si="103"/>
        <v>0.47597924569864047</v>
      </c>
      <c r="H214" s="85">
        <f t="shared" ca="1" si="103"/>
        <v>0.47230010366284131</v>
      </c>
      <c r="I214" s="85">
        <f t="shared" ca="1" si="103"/>
        <v>0.42689080846749355</v>
      </c>
    </row>
    <row r="215" spans="1:9" ht="15" customHeight="1" x14ac:dyDescent="0.2">
      <c r="A215" s="3">
        <f t="shared" si="102"/>
        <v>9</v>
      </c>
      <c r="B215" s="86">
        <f t="shared" ca="1" si="103"/>
        <v>0.48240614144900179</v>
      </c>
      <c r="C215" s="85">
        <f t="shared" ca="1" si="103"/>
        <v>0.47997685502622817</v>
      </c>
      <c r="D215" s="85">
        <f t="shared" ca="1" si="103"/>
        <v>0.46181392637718705</v>
      </c>
      <c r="E215" s="85">
        <f t="shared" ca="1" si="103"/>
        <v>0.41965587266204185</v>
      </c>
      <c r="F215" s="85">
        <f t="shared" ca="1" si="103"/>
        <v>0.4396665016678068</v>
      </c>
      <c r="G215" s="85">
        <f t="shared" ca="1" si="103"/>
        <v>0.43907155202645964</v>
      </c>
      <c r="H215" s="85">
        <f t="shared" ca="1" si="103"/>
        <v>0.43557691861294795</v>
      </c>
      <c r="I215" s="85">
        <f t="shared" ca="1" si="103"/>
        <v>0.39250705608764669</v>
      </c>
    </row>
    <row r="216" spans="1:9" ht="15" customHeight="1" x14ac:dyDescent="0.2">
      <c r="A216" s="3">
        <f t="shared" si="102"/>
        <v>10</v>
      </c>
      <c r="B216" s="86">
        <f t="shared" ca="1" si="103"/>
        <v>0.44667235319352017</v>
      </c>
      <c r="C216" s="85">
        <f t="shared" ca="1" si="103"/>
        <v>0.44442301391317418</v>
      </c>
      <c r="D216" s="85">
        <f t="shared" ca="1" si="103"/>
        <v>0.42760548738628429</v>
      </c>
      <c r="E216" s="85">
        <f t="shared" ca="1" si="103"/>
        <v>0.38857025246485355</v>
      </c>
      <c r="F216" s="85">
        <f t="shared" ca="1" si="103"/>
        <v>0.40709861265537661</v>
      </c>
      <c r="G216" s="85">
        <f t="shared" ca="1" si="103"/>
        <v>0.40654773335783295</v>
      </c>
      <c r="H216" s="85">
        <f t="shared" ca="1" si="103"/>
        <v>0.40331196167865546</v>
      </c>
      <c r="I216" s="85">
        <f t="shared" ca="1" si="103"/>
        <v>0.36343245934041357</v>
      </c>
    </row>
    <row r="217" spans="1:9" ht="15" customHeight="1" x14ac:dyDescent="0.2">
      <c r="B217" s="86"/>
      <c r="C217" s="85"/>
      <c r="D217" s="85"/>
      <c r="E217" s="85"/>
      <c r="F217" s="85"/>
      <c r="G217" s="85"/>
      <c r="H217" s="85"/>
      <c r="I217" s="85"/>
    </row>
    <row r="218" spans="1:9" ht="15" customHeight="1" x14ac:dyDescent="0.2">
      <c r="C218" s="41"/>
      <c r="D218" s="41"/>
      <c r="E218" s="41"/>
      <c r="F218" s="41"/>
      <c r="G218" s="41"/>
      <c r="H218" s="41"/>
      <c r="I218" s="41"/>
    </row>
    <row r="219" spans="1:9" ht="15" customHeight="1" x14ac:dyDescent="0.2">
      <c r="A219" s="35" t="str">
        <f>+A146</f>
        <v>Cost of capital</v>
      </c>
      <c r="B219" s="82"/>
      <c r="C219" s="83"/>
      <c r="D219" s="83"/>
      <c r="E219" s="83"/>
      <c r="F219" s="83"/>
      <c r="G219" s="83"/>
      <c r="H219" s="83"/>
      <c r="I219" s="83"/>
    </row>
    <row r="220" spans="1:9" ht="15" customHeight="1" x14ac:dyDescent="0.2">
      <c r="A220" s="3">
        <f t="shared" ref="A220:A230" si="104">A206</f>
        <v>0</v>
      </c>
      <c r="B220" s="8" t="e">
        <f t="shared" ref="B220:I230" ca="1" si="105">IF($A220&gt;B$160,"",IF($A220=0,#N/A,IF($A220=1,B$808,IF(AND($A220&gt;1,$A220&lt;=B$161),OFFSET(B220,-1,0),OFFSET(B220,-1,0)-(OFFSET(B$220,B$161,0)-B$146)/B$161))))</f>
        <v>#N/A</v>
      </c>
      <c r="C220" s="83" t="e">
        <f t="shared" ca="1" si="105"/>
        <v>#N/A</v>
      </c>
      <c r="D220" s="83" t="e">
        <f t="shared" ca="1" si="105"/>
        <v>#N/A</v>
      </c>
      <c r="E220" s="83" t="e">
        <f t="shared" ca="1" si="105"/>
        <v>#N/A</v>
      </c>
      <c r="F220" s="83" t="e">
        <f t="shared" ca="1" si="105"/>
        <v>#N/A</v>
      </c>
      <c r="G220" s="83" t="e">
        <f t="shared" ca="1" si="105"/>
        <v>#N/A</v>
      </c>
      <c r="H220" s="83" t="e">
        <f t="shared" ca="1" si="105"/>
        <v>#N/A</v>
      </c>
      <c r="I220" s="83" t="e">
        <f t="shared" ca="1" si="105"/>
        <v>#N/A</v>
      </c>
    </row>
    <row r="221" spans="1:9" ht="15" customHeight="1" x14ac:dyDescent="0.2">
      <c r="A221" s="3">
        <f t="shared" si="104"/>
        <v>1</v>
      </c>
      <c r="B221" s="8">
        <f t="shared" ca="1" si="105"/>
        <v>8.5616478250876329E-2</v>
      </c>
      <c r="C221" s="83">
        <f t="shared" ca="1" si="105"/>
        <v>8.6399225155159756E-2</v>
      </c>
      <c r="D221" s="83">
        <f t="shared" ca="1" si="105"/>
        <v>9.239676427316143E-2</v>
      </c>
      <c r="E221" s="83">
        <f t="shared" ca="1" si="105"/>
        <v>0.10740672303923111</v>
      </c>
      <c r="F221" s="83">
        <f t="shared" ca="1" si="105"/>
        <v>0.10008009908896695</v>
      </c>
      <c r="G221" s="83">
        <f t="shared" ca="1" si="105"/>
        <v>0.10029247285368061</v>
      </c>
      <c r="H221" s="83">
        <f t="shared" ca="1" si="105"/>
        <v>0.10154649937414874</v>
      </c>
      <c r="I221" s="83">
        <f t="shared" ca="1" si="105"/>
        <v>0.11800171037140457</v>
      </c>
    </row>
    <row r="222" spans="1:9" ht="15" customHeight="1" x14ac:dyDescent="0.2">
      <c r="A222" s="3">
        <f t="shared" si="104"/>
        <v>2</v>
      </c>
      <c r="B222" s="8">
        <f t="shared" ca="1" si="105"/>
        <v>8.5616478250876329E-2</v>
      </c>
      <c r="C222" s="83">
        <f t="shared" ca="1" si="105"/>
        <v>8.6399225155159756E-2</v>
      </c>
      <c r="D222" s="83">
        <f t="shared" ca="1" si="105"/>
        <v>9.239676427316143E-2</v>
      </c>
      <c r="E222" s="83">
        <f t="shared" ca="1" si="105"/>
        <v>0.10740672303923111</v>
      </c>
      <c r="F222" s="83">
        <f t="shared" ca="1" si="105"/>
        <v>0.10008009908896695</v>
      </c>
      <c r="G222" s="83">
        <f t="shared" ca="1" si="105"/>
        <v>0.10029247285368061</v>
      </c>
      <c r="H222" s="83">
        <f t="shared" ca="1" si="105"/>
        <v>0.10154649937414874</v>
      </c>
      <c r="I222" s="83">
        <f t="shared" ca="1" si="105"/>
        <v>0.11800171037140457</v>
      </c>
    </row>
    <row r="223" spans="1:9" ht="15" customHeight="1" x14ac:dyDescent="0.2">
      <c r="A223" s="3">
        <f t="shared" si="104"/>
        <v>3</v>
      </c>
      <c r="B223" s="8">
        <f t="shared" ca="1" si="105"/>
        <v>8.5616478250876329E-2</v>
      </c>
      <c r="C223" s="83">
        <f t="shared" ca="1" si="105"/>
        <v>8.6399225155159756E-2</v>
      </c>
      <c r="D223" s="83">
        <f t="shared" ca="1" si="105"/>
        <v>9.239676427316143E-2</v>
      </c>
      <c r="E223" s="83">
        <f t="shared" ca="1" si="105"/>
        <v>0.10740672303923111</v>
      </c>
      <c r="F223" s="83">
        <f t="shared" ca="1" si="105"/>
        <v>0.10008009908896695</v>
      </c>
      <c r="G223" s="83">
        <f t="shared" ca="1" si="105"/>
        <v>0.10029247285368061</v>
      </c>
      <c r="H223" s="83">
        <f t="shared" ca="1" si="105"/>
        <v>0.10154649937414874</v>
      </c>
      <c r="I223" s="83">
        <f t="shared" ca="1" si="105"/>
        <v>0.11800171037140457</v>
      </c>
    </row>
    <row r="224" spans="1:9" ht="15" customHeight="1" x14ac:dyDescent="0.2">
      <c r="A224" s="3">
        <f t="shared" si="104"/>
        <v>4</v>
      </c>
      <c r="B224" s="8">
        <f t="shared" ca="1" si="105"/>
        <v>8.5616478250876329E-2</v>
      </c>
      <c r="C224" s="83">
        <f t="shared" ca="1" si="105"/>
        <v>8.6399225155159756E-2</v>
      </c>
      <c r="D224" s="83">
        <f t="shared" ca="1" si="105"/>
        <v>9.239676427316143E-2</v>
      </c>
      <c r="E224" s="83">
        <f t="shared" ca="1" si="105"/>
        <v>0.10740672303923111</v>
      </c>
      <c r="F224" s="83">
        <f t="shared" ca="1" si="105"/>
        <v>0.10008009908896695</v>
      </c>
      <c r="G224" s="83">
        <f t="shared" ca="1" si="105"/>
        <v>0.10029247285368061</v>
      </c>
      <c r="H224" s="83">
        <f t="shared" ca="1" si="105"/>
        <v>0.10154649937414874</v>
      </c>
      <c r="I224" s="83">
        <f t="shared" ca="1" si="105"/>
        <v>0.11800171037140457</v>
      </c>
    </row>
    <row r="225" spans="1:9" ht="15" customHeight="1" x14ac:dyDescent="0.2">
      <c r="A225" s="3">
        <f t="shared" si="104"/>
        <v>5</v>
      </c>
      <c r="B225" s="8">
        <f t="shared" ca="1" si="105"/>
        <v>8.5616478250876329E-2</v>
      </c>
      <c r="C225" s="83">
        <f t="shared" ca="1" si="105"/>
        <v>8.6399225155159756E-2</v>
      </c>
      <c r="D225" s="83">
        <f t="shared" ca="1" si="105"/>
        <v>9.239676427316143E-2</v>
      </c>
      <c r="E225" s="83">
        <f t="shared" ca="1" si="105"/>
        <v>0.10740672303923111</v>
      </c>
      <c r="F225" s="83">
        <f t="shared" ca="1" si="105"/>
        <v>0.10008009908896695</v>
      </c>
      <c r="G225" s="83">
        <f t="shared" ca="1" si="105"/>
        <v>0.10029247285368061</v>
      </c>
      <c r="H225" s="83">
        <f t="shared" ca="1" si="105"/>
        <v>0.10154649937414874</v>
      </c>
      <c r="I225" s="83">
        <f t="shared" ca="1" si="105"/>
        <v>0.11800171037140457</v>
      </c>
    </row>
    <row r="226" spans="1:9" ht="15" customHeight="1" x14ac:dyDescent="0.2">
      <c r="A226" s="3">
        <f t="shared" si="104"/>
        <v>6</v>
      </c>
      <c r="B226" s="8">
        <f t="shared" ca="1" si="105"/>
        <v>8.4493182600701058E-2</v>
      </c>
      <c r="C226" s="83">
        <f t="shared" ca="1" si="105"/>
        <v>8.51193801241278E-2</v>
      </c>
      <c r="D226" s="83">
        <f t="shared" ca="1" si="105"/>
        <v>8.9917411418529145E-2</v>
      </c>
      <c r="E226" s="83">
        <f t="shared" ca="1" si="105"/>
        <v>0.1019253784313849</v>
      </c>
      <c r="F226" s="83">
        <f t="shared" ca="1" si="105"/>
        <v>9.6064079271173566E-2</v>
      </c>
      <c r="G226" s="83">
        <f t="shared" ca="1" si="105"/>
        <v>9.6233978282944485E-2</v>
      </c>
      <c r="H226" s="83">
        <f t="shared" ca="1" si="105"/>
        <v>9.7237199499318985E-2</v>
      </c>
      <c r="I226" s="83">
        <f t="shared" ca="1" si="105"/>
        <v>0.11040136829712366</v>
      </c>
    </row>
    <row r="227" spans="1:9" ht="15" customHeight="1" x14ac:dyDescent="0.2">
      <c r="A227" s="3">
        <f t="shared" si="104"/>
        <v>7</v>
      </c>
      <c r="B227" s="8">
        <f t="shared" ca="1" si="105"/>
        <v>8.3369886950525787E-2</v>
      </c>
      <c r="C227" s="83">
        <f t="shared" ca="1" si="105"/>
        <v>8.3839535093095843E-2</v>
      </c>
      <c r="D227" s="83">
        <f t="shared" ca="1" si="105"/>
        <v>8.7438058563896859E-2</v>
      </c>
      <c r="E227" s="83">
        <f t="shared" ca="1" si="105"/>
        <v>9.644403382353868E-2</v>
      </c>
      <c r="F227" s="83">
        <f t="shared" ca="1" si="105"/>
        <v>9.2048059453380182E-2</v>
      </c>
      <c r="G227" s="83">
        <f t="shared" ca="1" si="105"/>
        <v>9.2175483712208364E-2</v>
      </c>
      <c r="H227" s="83">
        <f t="shared" ca="1" si="105"/>
        <v>9.2927899624489232E-2</v>
      </c>
      <c r="I227" s="83">
        <f t="shared" ca="1" si="105"/>
        <v>0.10280102622284275</v>
      </c>
    </row>
    <row r="228" spans="1:9" ht="15" customHeight="1" x14ac:dyDescent="0.2">
      <c r="A228" s="3">
        <f t="shared" si="104"/>
        <v>8</v>
      </c>
      <c r="B228" s="8">
        <f t="shared" ca="1" si="105"/>
        <v>8.2246591300350516E-2</v>
      </c>
      <c r="C228" s="83">
        <f t="shared" ca="1" si="105"/>
        <v>8.2559690062063887E-2</v>
      </c>
      <c r="D228" s="83">
        <f t="shared" ca="1" si="105"/>
        <v>8.4958705709264573E-2</v>
      </c>
      <c r="E228" s="83">
        <f t="shared" ca="1" si="105"/>
        <v>9.0962689215692463E-2</v>
      </c>
      <c r="F228" s="83">
        <f t="shared" ca="1" si="105"/>
        <v>8.8032039635586798E-2</v>
      </c>
      <c r="G228" s="83">
        <f t="shared" ca="1" si="105"/>
        <v>8.8116989141472243E-2</v>
      </c>
      <c r="H228" s="83">
        <f t="shared" ca="1" si="105"/>
        <v>8.861859974965948E-2</v>
      </c>
      <c r="I228" s="83">
        <f t="shared" ca="1" si="105"/>
        <v>9.5200684148561837E-2</v>
      </c>
    </row>
    <row r="229" spans="1:9" ht="15" customHeight="1" x14ac:dyDescent="0.2">
      <c r="A229" s="3">
        <f t="shared" si="104"/>
        <v>9</v>
      </c>
      <c r="B229" s="8">
        <f t="shared" ca="1" si="105"/>
        <v>8.1123295650175245E-2</v>
      </c>
      <c r="C229" s="83">
        <f t="shared" ca="1" si="105"/>
        <v>8.127984503103193E-2</v>
      </c>
      <c r="D229" s="83">
        <f t="shared" ca="1" si="105"/>
        <v>8.2479352854632287E-2</v>
      </c>
      <c r="E229" s="83">
        <f t="shared" ca="1" si="105"/>
        <v>8.5481344607846246E-2</v>
      </c>
      <c r="F229" s="83">
        <f t="shared" ca="1" si="105"/>
        <v>8.4016019817793414E-2</v>
      </c>
      <c r="G229" s="83">
        <f t="shared" ca="1" si="105"/>
        <v>8.4058494570736123E-2</v>
      </c>
      <c r="H229" s="83">
        <f t="shared" ca="1" si="105"/>
        <v>8.4309299874829727E-2</v>
      </c>
      <c r="I229" s="83">
        <f t="shared" ca="1" si="105"/>
        <v>8.7600342074280926E-2</v>
      </c>
    </row>
    <row r="230" spans="1:9" ht="15" customHeight="1" x14ac:dyDescent="0.2">
      <c r="A230" s="3">
        <f t="shared" si="104"/>
        <v>10</v>
      </c>
      <c r="B230" s="8">
        <f t="shared" ca="1" si="105"/>
        <v>7.9999999999999974E-2</v>
      </c>
      <c r="C230" s="83">
        <f t="shared" ca="1" si="105"/>
        <v>7.9999999999999974E-2</v>
      </c>
      <c r="D230" s="83">
        <f t="shared" ca="1" si="105"/>
        <v>0.08</v>
      </c>
      <c r="E230" s="83">
        <f t="shared" ca="1" si="105"/>
        <v>8.0000000000000029E-2</v>
      </c>
      <c r="F230" s="83">
        <f t="shared" ca="1" si="105"/>
        <v>8.0000000000000029E-2</v>
      </c>
      <c r="G230" s="83">
        <f t="shared" ca="1" si="105"/>
        <v>0.08</v>
      </c>
      <c r="H230" s="83">
        <f t="shared" ca="1" si="105"/>
        <v>7.9999999999999974E-2</v>
      </c>
      <c r="I230" s="83">
        <f t="shared" ca="1" si="105"/>
        <v>8.0000000000000016E-2</v>
      </c>
    </row>
    <row r="231" spans="1:9" ht="15" customHeight="1" x14ac:dyDescent="0.2">
      <c r="C231" s="41"/>
      <c r="D231" s="41"/>
      <c r="E231" s="41"/>
      <c r="F231" s="41"/>
      <c r="G231" s="41"/>
      <c r="H231" s="41"/>
      <c r="I231" s="41"/>
    </row>
    <row r="232" spans="1:9" ht="15" customHeight="1" x14ac:dyDescent="0.2">
      <c r="C232" s="41"/>
      <c r="D232" s="41"/>
      <c r="E232" s="41"/>
      <c r="F232" s="41"/>
      <c r="G232" s="41"/>
      <c r="H232" s="41"/>
      <c r="I232" s="41"/>
    </row>
    <row r="233" spans="1:9" ht="15" customHeight="1" x14ac:dyDescent="0.2">
      <c r="A233" s="35" t="str">
        <f>+A147</f>
        <v>ROIC</v>
      </c>
      <c r="B233" s="82"/>
      <c r="C233" s="83"/>
      <c r="D233" s="83"/>
      <c r="E233" s="83"/>
      <c r="F233" s="83"/>
      <c r="G233" s="83"/>
      <c r="H233" s="83"/>
      <c r="I233" s="83"/>
    </row>
    <row r="234" spans="1:9" ht="15" customHeight="1" x14ac:dyDescent="0.2">
      <c r="A234" s="3">
        <f t="shared" ref="A234:A244" si="106">A220</f>
        <v>0</v>
      </c>
      <c r="B234" s="8">
        <f t="shared" ref="B234:I244" ca="1" si="107">IF($A234&gt;B$160,"",IF(B248=0,0,B304/B248))</f>
        <v>14.183379158356276</v>
      </c>
      <c r="C234" s="83">
        <f t="shared" ca="1" si="107"/>
        <v>6.5898613786984752</v>
      </c>
      <c r="D234" s="83">
        <f t="shared" ca="1" si="107"/>
        <v>3.2411595289582573</v>
      </c>
      <c r="E234" s="83">
        <f t="shared" ca="1" si="107"/>
        <v>-6.8197707995670003</v>
      </c>
      <c r="F234" s="83">
        <f t="shared" ca="1" si="107"/>
        <v>9.5311578698325796</v>
      </c>
      <c r="G234" s="83">
        <f t="shared" ca="1" si="107"/>
        <v>7.5810846890066284</v>
      </c>
      <c r="H234" s="83">
        <f t="shared" ca="1" si="107"/>
        <v>3.6069609112104009</v>
      </c>
      <c r="I234" s="83">
        <f t="shared" ca="1" si="107"/>
        <v>4.7592068971624961</v>
      </c>
    </row>
    <row r="235" spans="1:9" ht="15" customHeight="1" x14ac:dyDescent="0.2">
      <c r="A235" s="3">
        <f t="shared" si="106"/>
        <v>1</v>
      </c>
      <c r="B235" s="8">
        <f t="shared" ca="1" si="107"/>
        <v>6.582495730750404</v>
      </c>
      <c r="C235" s="83">
        <f t="shared" ca="1" si="107"/>
        <v>4.3022821993719997</v>
      </c>
      <c r="D235" s="83">
        <f t="shared" ca="1" si="107"/>
        <v>2.5780125137121814</v>
      </c>
      <c r="E235" s="83">
        <f t="shared" ca="1" si="107"/>
        <v>-12.586260049088077</v>
      </c>
      <c r="F235" s="83">
        <f t="shared" ca="1" si="107"/>
        <v>5.7744822323964975</v>
      </c>
      <c r="G235" s="83">
        <f t="shared" ca="1" si="107"/>
        <v>4.9896381848789595</v>
      </c>
      <c r="H235" s="83">
        <f t="shared" ca="1" si="107"/>
        <v>2.9236660476324734</v>
      </c>
      <c r="I235" s="83">
        <f t="shared" ca="1" si="107"/>
        <v>3.5286066509775953</v>
      </c>
    </row>
    <row r="236" spans="1:9" ht="15" customHeight="1" x14ac:dyDescent="0.2">
      <c r="A236" s="3">
        <f t="shared" si="106"/>
        <v>2</v>
      </c>
      <c r="B236" s="8">
        <f t="shared" ca="1" si="107"/>
        <v>4.2699385236375464</v>
      </c>
      <c r="C236" s="83">
        <f t="shared" ca="1" si="107"/>
        <v>3.187094625640734</v>
      </c>
      <c r="D236" s="83">
        <f t="shared" ca="1" si="107"/>
        <v>2.1382517552349705</v>
      </c>
      <c r="E236" s="83">
        <f t="shared" ca="1" si="107"/>
        <v>-81.337630562630835</v>
      </c>
      <c r="F236" s="83">
        <f t="shared" ca="1" si="107"/>
        <v>4.1408752973547776</v>
      </c>
      <c r="G236" s="83">
        <f t="shared" ca="1" si="107"/>
        <v>3.7196522988938128</v>
      </c>
      <c r="H236" s="83">
        <f t="shared" ca="1" si="107"/>
        <v>2.456792586860109</v>
      </c>
      <c r="I236" s="83">
        <f t="shared" ca="1" si="107"/>
        <v>2.8059890896570061</v>
      </c>
    </row>
    <row r="237" spans="1:9" ht="15" customHeight="1" x14ac:dyDescent="0.2">
      <c r="A237" s="3">
        <f t="shared" si="106"/>
        <v>3</v>
      </c>
      <c r="B237" s="8">
        <f t="shared" ca="1" si="107"/>
        <v>3.1493446132076284</v>
      </c>
      <c r="C237" s="83">
        <f t="shared" ca="1" si="107"/>
        <v>2.5258587278748439</v>
      </c>
      <c r="D237" s="83">
        <f t="shared" ca="1" si="107"/>
        <v>1.8248222778178202</v>
      </c>
      <c r="E237" s="83">
        <f t="shared" ca="1" si="107"/>
        <v>18.199720449571803</v>
      </c>
      <c r="F237" s="83">
        <f t="shared" ca="1" si="107"/>
        <v>3.2259929190673233</v>
      </c>
      <c r="G237" s="83">
        <f t="shared" ca="1" si="107"/>
        <v>2.9648500193575602</v>
      </c>
      <c r="H237" s="83">
        <f t="shared" ca="1" si="107"/>
        <v>2.1171157949571344</v>
      </c>
      <c r="I237" s="83">
        <f t="shared" ca="1" si="107"/>
        <v>2.3298565486493983</v>
      </c>
    </row>
    <row r="238" spans="1:9" ht="15" customHeight="1" x14ac:dyDescent="0.2">
      <c r="A238" s="3">
        <f t="shared" si="106"/>
        <v>4</v>
      </c>
      <c r="B238" s="8">
        <f t="shared" ca="1" si="107"/>
        <v>2.4868509847563738</v>
      </c>
      <c r="C238" s="83">
        <f t="shared" ca="1" si="107"/>
        <v>2.0875545921976033</v>
      </c>
      <c r="D238" s="83">
        <f t="shared" ca="1" si="107"/>
        <v>1.5897683692059579</v>
      </c>
      <c r="E238" s="83">
        <f t="shared" ca="1" si="107"/>
        <v>8.1712310155611512</v>
      </c>
      <c r="F238" s="83">
        <f t="shared" ca="1" si="107"/>
        <v>2.6402805407408305</v>
      </c>
      <c r="G238" s="83">
        <f t="shared" ca="1" si="107"/>
        <v>2.4639994639182574</v>
      </c>
      <c r="H238" s="83">
        <f t="shared" ca="1" si="107"/>
        <v>1.8585193282967003</v>
      </c>
      <c r="I238" s="83">
        <f t="shared" ca="1" si="107"/>
        <v>1.9918812667247563</v>
      </c>
    </row>
    <row r="239" spans="1:9" ht="15" customHeight="1" x14ac:dyDescent="0.2">
      <c r="A239" s="3">
        <f t="shared" si="106"/>
        <v>5</v>
      </c>
      <c r="B239" s="8">
        <f t="shared" ca="1" si="107"/>
        <v>2.0484163771479724</v>
      </c>
      <c r="C239" s="83">
        <f t="shared" ca="1" si="107"/>
        <v>1.7751672683373712</v>
      </c>
      <c r="D239" s="83">
        <f t="shared" ca="1" si="107"/>
        <v>1.4066708833279433</v>
      </c>
      <c r="E239" s="83">
        <f t="shared" ca="1" si="107"/>
        <v>5.2596594585513552</v>
      </c>
      <c r="F239" s="83">
        <f t="shared" ca="1" si="107"/>
        <v>2.2326069355317801</v>
      </c>
      <c r="G239" s="83">
        <f t="shared" ca="1" si="107"/>
        <v>2.1069322198282183</v>
      </c>
      <c r="H239" s="83">
        <f t="shared" ca="1" si="107"/>
        <v>1.6547664737701635</v>
      </c>
      <c r="I239" s="83">
        <f t="shared" ca="1" si="107"/>
        <v>1.739082633191162</v>
      </c>
    </row>
    <row r="240" spans="1:9" ht="15" customHeight="1" x14ac:dyDescent="0.2">
      <c r="A240" s="3">
        <f t="shared" si="106"/>
        <v>6</v>
      </c>
      <c r="B240" s="8">
        <f t="shared" ca="1" si="107"/>
        <v>1.7149487775124441</v>
      </c>
      <c r="C240" s="83">
        <f t="shared" ca="1" si="107"/>
        <v>1.5159579779366927</v>
      </c>
      <c r="D240" s="83">
        <f t="shared" ca="1" si="107"/>
        <v>1.2339211564008852</v>
      </c>
      <c r="E240" s="83">
        <f t="shared" ca="1" si="107"/>
        <v>3.8113704919495253</v>
      </c>
      <c r="F240" s="83">
        <f t="shared" ca="1" si="107"/>
        <v>1.8836135821714202</v>
      </c>
      <c r="G240" s="83">
        <f t="shared" ca="1" si="107"/>
        <v>1.7924094414384517</v>
      </c>
      <c r="H240" s="83">
        <f t="shared" ca="1" si="107"/>
        <v>1.447409993009473</v>
      </c>
      <c r="I240" s="83">
        <f t="shared" ca="1" si="107"/>
        <v>1.5038717565791961</v>
      </c>
    </row>
    <row r="241" spans="1:9" ht="15" customHeight="1" x14ac:dyDescent="0.2">
      <c r="A241" s="3">
        <f t="shared" si="106"/>
        <v>7</v>
      </c>
      <c r="B241" s="8">
        <f t="shared" ca="1" si="107"/>
        <v>1.4760564386978487</v>
      </c>
      <c r="C241" s="83">
        <f t="shared" ca="1" si="107"/>
        <v>1.3228110617196194</v>
      </c>
      <c r="D241" s="83">
        <f t="shared" ca="1" si="107"/>
        <v>1.0967160027135743</v>
      </c>
      <c r="E241" s="83">
        <f t="shared" ca="1" si="107"/>
        <v>2.9786331964746573</v>
      </c>
      <c r="F241" s="83">
        <f t="shared" ca="1" si="107"/>
        <v>1.6222688552453191</v>
      </c>
      <c r="G241" s="83">
        <f t="shared" ca="1" si="107"/>
        <v>1.5537279117235339</v>
      </c>
      <c r="H241" s="83">
        <f t="shared" ca="1" si="107"/>
        <v>1.2792919337191488</v>
      </c>
      <c r="I241" s="83">
        <f t="shared" ca="1" si="107"/>
        <v>1.3211415876984764</v>
      </c>
    </row>
    <row r="242" spans="1:9" ht="15" customHeight="1" x14ac:dyDescent="0.2">
      <c r="A242" s="3">
        <f t="shared" si="106"/>
        <v>8</v>
      </c>
      <c r="B242" s="8">
        <f t="shared" ca="1" si="107"/>
        <v>1.2960362760290027</v>
      </c>
      <c r="C242" s="83">
        <f t="shared" ca="1" si="107"/>
        <v>1.172869233199286</v>
      </c>
      <c r="D242" s="83">
        <f t="shared" ca="1" si="107"/>
        <v>0.98467800990936882</v>
      </c>
      <c r="E242" s="83">
        <f t="shared" ca="1" si="107"/>
        <v>2.4355614135187671</v>
      </c>
      <c r="F242" s="83">
        <f t="shared" ca="1" si="107"/>
        <v>1.4183593785582871</v>
      </c>
      <c r="G242" s="83">
        <f t="shared" ca="1" si="107"/>
        <v>1.3656041801511007</v>
      </c>
      <c r="H242" s="83">
        <f t="shared" ca="1" si="107"/>
        <v>1.1397400619731457</v>
      </c>
      <c r="I242" s="83">
        <f t="shared" ca="1" si="107"/>
        <v>1.1743054019515269</v>
      </c>
    </row>
    <row r="243" spans="1:9" ht="15" customHeight="1" x14ac:dyDescent="0.2">
      <c r="A243" s="3">
        <f t="shared" si="106"/>
        <v>9</v>
      </c>
      <c r="B243" s="8">
        <f t="shared" ca="1" si="107"/>
        <v>1.1552401692719245</v>
      </c>
      <c r="C243" s="83">
        <f t="shared" ca="1" si="107"/>
        <v>1.052794345793074</v>
      </c>
      <c r="D243" s="83">
        <f t="shared" ca="1" si="107"/>
        <v>0.89113087856475459</v>
      </c>
      <c r="E243" s="83">
        <f t="shared" ca="1" si="107"/>
        <v>2.0518647124832299</v>
      </c>
      <c r="F243" s="83">
        <f t="shared" ca="1" si="107"/>
        <v>1.2541524665494366</v>
      </c>
      <c r="G243" s="83">
        <f t="shared" ca="1" si="107"/>
        <v>1.2128899395318409</v>
      </c>
      <c r="H243" s="83">
        <f t="shared" ca="1" si="107"/>
        <v>1.0216522120836988</v>
      </c>
      <c r="I243" s="83">
        <f t="shared" ca="1" si="107"/>
        <v>1.053131175020003</v>
      </c>
    </row>
    <row r="244" spans="1:9" ht="15" customHeight="1" x14ac:dyDescent="0.2">
      <c r="A244" s="3">
        <f t="shared" si="106"/>
        <v>10</v>
      </c>
      <c r="B244" s="8">
        <f t="shared" ca="1" si="107"/>
        <v>1.0419813513516898</v>
      </c>
      <c r="C244" s="83">
        <f t="shared" ca="1" si="107"/>
        <v>0.95429141813518825</v>
      </c>
      <c r="D244" s="83">
        <f t="shared" ca="1" si="107"/>
        <v>0.81158691987504616</v>
      </c>
      <c r="E244" s="83">
        <f t="shared" ca="1" si="107"/>
        <v>1.7652580158106443</v>
      </c>
      <c r="F244" s="83">
        <f t="shared" ca="1" si="107"/>
        <v>1.1185574937074616</v>
      </c>
      <c r="G244" s="83">
        <f t="shared" ca="1" si="107"/>
        <v>1.0859583862410107</v>
      </c>
      <c r="H244" s="83">
        <f t="shared" ca="1" si="107"/>
        <v>0.92012035956375948</v>
      </c>
      <c r="I244" s="83">
        <f t="shared" ca="1" si="107"/>
        <v>0.95096880442781673</v>
      </c>
    </row>
    <row r="245" spans="1:9" ht="15" customHeight="1" x14ac:dyDescent="0.2">
      <c r="C245" s="41"/>
      <c r="D245" s="41"/>
      <c r="E245" s="41"/>
      <c r="F245" s="41"/>
      <c r="G245" s="41"/>
      <c r="H245" s="41"/>
      <c r="I245" s="41"/>
    </row>
    <row r="246" spans="1:9" ht="15" customHeight="1" x14ac:dyDescent="0.2">
      <c r="C246" s="41"/>
      <c r="D246" s="41"/>
      <c r="E246" s="41"/>
      <c r="F246" s="41"/>
      <c r="G246" s="41"/>
      <c r="H246" s="41"/>
      <c r="I246" s="41"/>
    </row>
    <row r="247" spans="1:9" ht="15" customHeight="1" x14ac:dyDescent="0.2">
      <c r="A247" s="35" t="s">
        <v>332</v>
      </c>
      <c r="B247" s="80"/>
      <c r="C247" s="81"/>
      <c r="D247" s="81"/>
      <c r="E247" s="81"/>
      <c r="F247" s="81"/>
      <c r="G247" s="81"/>
      <c r="H247" s="81"/>
      <c r="I247" s="81"/>
    </row>
    <row r="248" spans="1:9" ht="15" customHeight="1" x14ac:dyDescent="0.2">
      <c r="A248" s="3">
        <f t="shared" ref="A248:A258" si="108">A234</f>
        <v>0</v>
      </c>
      <c r="B248" s="70">
        <f t="shared" ref="B248:I258" ca="1" si="109">IF($A248&gt;B$160,"",IF($A248=0,B$585,OFFSET(B248,-1,0)+B276))</f>
        <v>3570.7215846943436</v>
      </c>
      <c r="C248" s="81">
        <f t="shared" ca="1" si="109"/>
        <v>7158.8028448655969</v>
      </c>
      <c r="D248" s="81">
        <f t="shared" ca="1" si="109"/>
        <v>12984.51641923032</v>
      </c>
      <c r="E248" s="81">
        <f t="shared" ca="1" si="109"/>
        <v>-5986.5944296491216</v>
      </c>
      <c r="F248" s="81">
        <f t="shared" ca="1" si="109"/>
        <v>4199.4141092001519</v>
      </c>
      <c r="G248" s="81">
        <f t="shared" ca="1" si="109"/>
        <v>5144.0685764010414</v>
      </c>
      <c r="H248" s="81">
        <f t="shared" ca="1" si="109"/>
        <v>10777.911821933812</v>
      </c>
      <c r="I248" s="81">
        <f t="shared" ca="1" si="109"/>
        <v>8210.5503069720289</v>
      </c>
    </row>
    <row r="249" spans="1:9" ht="15" customHeight="1" x14ac:dyDescent="0.2">
      <c r="A249" s="3">
        <f t="shared" si="108"/>
        <v>1</v>
      </c>
      <c r="B249" s="70">
        <f t="shared" ca="1" si="109"/>
        <v>7814.0015846943425</v>
      </c>
      <c r="C249" s="81">
        <f t="shared" ca="1" si="109"/>
        <v>11154.802844865597</v>
      </c>
      <c r="D249" s="81">
        <f t="shared" ca="1" si="109"/>
        <v>16640.416419230329</v>
      </c>
      <c r="E249" s="81">
        <f t="shared" ca="1" si="109"/>
        <v>-3307.7372867919753</v>
      </c>
      <c r="F249" s="81">
        <f t="shared" ca="1" si="109"/>
        <v>7073.4549255266793</v>
      </c>
      <c r="G249" s="81">
        <f t="shared" ca="1" si="109"/>
        <v>7984.7542906867529</v>
      </c>
      <c r="H249" s="81">
        <f t="shared" ca="1" si="109"/>
        <v>13568.279168872585</v>
      </c>
      <c r="I249" s="81">
        <f t="shared" ca="1" si="109"/>
        <v>11394.836021257746</v>
      </c>
    </row>
    <row r="250" spans="1:9" ht="15" customHeight="1" x14ac:dyDescent="0.2">
      <c r="A250" s="3">
        <f t="shared" si="108"/>
        <v>2</v>
      </c>
      <c r="B250" s="70">
        <f t="shared" ca="1" si="109"/>
        <v>12227.012784694351</v>
      </c>
      <c r="C250" s="81">
        <f t="shared" ca="1" si="109"/>
        <v>15310.642844865593</v>
      </c>
      <c r="D250" s="81">
        <f t="shared" ca="1" si="109"/>
        <v>20442.552419230327</v>
      </c>
      <c r="E250" s="81">
        <f t="shared" ca="1" si="109"/>
        <v>-521.72585822054771</v>
      </c>
      <c r="F250" s="81">
        <f t="shared" ca="1" si="109"/>
        <v>10062.457374506275</v>
      </c>
      <c r="G250" s="81">
        <f t="shared" ca="1" si="109"/>
        <v>10939.067433543903</v>
      </c>
      <c r="H250" s="81">
        <f t="shared" ca="1" si="109"/>
        <v>16470.26120968891</v>
      </c>
      <c r="I250" s="81">
        <f t="shared" ca="1" si="109"/>
        <v>14738.336021257754</v>
      </c>
    </row>
    <row r="251" spans="1:9" ht="15" customHeight="1" x14ac:dyDescent="0.2">
      <c r="A251" s="3">
        <f t="shared" si="108"/>
        <v>3</v>
      </c>
      <c r="B251" s="70">
        <f t="shared" ca="1" si="109"/>
        <v>16816.544432694354</v>
      </c>
      <c r="C251" s="81">
        <f t="shared" ca="1" si="109"/>
        <v>19632.716444865597</v>
      </c>
      <c r="D251" s="81">
        <f t="shared" ca="1" si="109"/>
        <v>24396.773859230336</v>
      </c>
      <c r="E251" s="81">
        <f t="shared" ca="1" si="109"/>
        <v>2375.726027493743</v>
      </c>
      <c r="F251" s="81">
        <f t="shared" ca="1" si="109"/>
        <v>13171.019921445049</v>
      </c>
      <c r="G251" s="81">
        <f t="shared" ca="1" si="109"/>
        <v>14011.553102115338</v>
      </c>
      <c r="H251" s="81">
        <f t="shared" ca="1" si="109"/>
        <v>19488.322532137885</v>
      </c>
      <c r="I251" s="81">
        <f t="shared" ca="1" si="109"/>
        <v>18249.011021257757</v>
      </c>
    </row>
    <row r="252" spans="1:9" ht="15" customHeight="1" x14ac:dyDescent="0.2">
      <c r="A252" s="3">
        <f t="shared" si="108"/>
        <v>4</v>
      </c>
      <c r="B252" s="70">
        <f t="shared" ca="1" si="109"/>
        <v>21589.65734661436</v>
      </c>
      <c r="C252" s="81">
        <f t="shared" ca="1" si="109"/>
        <v>24127.672988865597</v>
      </c>
      <c r="D252" s="81">
        <f t="shared" ca="1" si="109"/>
        <v>28509.164156830346</v>
      </c>
      <c r="E252" s="81">
        <f t="shared" ca="1" si="109"/>
        <v>5389.075988636605</v>
      </c>
      <c r="F252" s="81">
        <f t="shared" ca="1" si="109"/>
        <v>16403.924970261382</v>
      </c>
      <c r="G252" s="81">
        <f t="shared" ca="1" si="109"/>
        <v>17206.938197429627</v>
      </c>
      <c r="H252" s="81">
        <f t="shared" ca="1" si="109"/>
        <v>22627.106307484824</v>
      </c>
      <c r="I252" s="81">
        <f t="shared" ca="1" si="109"/>
        <v>21935.219771257758</v>
      </c>
    </row>
    <row r="253" spans="1:9" ht="15" customHeight="1" x14ac:dyDescent="0.2">
      <c r="A253" s="3">
        <f t="shared" si="108"/>
        <v>5</v>
      </c>
      <c r="B253" s="70">
        <f t="shared" ca="1" si="109"/>
        <v>26553.694777091165</v>
      </c>
      <c r="C253" s="81">
        <f t="shared" ca="1" si="109"/>
        <v>28802.427794625604</v>
      </c>
      <c r="D253" s="81">
        <f t="shared" ca="1" si="109"/>
        <v>32786.050066334356</v>
      </c>
      <c r="E253" s="81">
        <f t="shared" ca="1" si="109"/>
        <v>8522.9599482251797</v>
      </c>
      <c r="F253" s="81">
        <f t="shared" ca="1" si="109"/>
        <v>19766.146221030362</v>
      </c>
      <c r="G253" s="81">
        <f t="shared" ca="1" si="109"/>
        <v>20530.138696556493</v>
      </c>
      <c r="H253" s="81">
        <f t="shared" ca="1" si="109"/>
        <v>25891.441433845637</v>
      </c>
      <c r="I253" s="81">
        <f t="shared" ca="1" si="109"/>
        <v>25805.73895875776</v>
      </c>
    </row>
    <row r="254" spans="1:9" ht="15" customHeight="1" x14ac:dyDescent="0.2">
      <c r="A254" s="3">
        <f t="shared" si="108"/>
        <v>6</v>
      </c>
      <c r="B254" s="70">
        <f t="shared" ca="1" si="109"/>
        <v>31187.127314698213</v>
      </c>
      <c r="C254" s="81">
        <f t="shared" ca="1" si="109"/>
        <v>33177.998292816963</v>
      </c>
      <c r="D254" s="81">
        <f t="shared" ca="1" si="109"/>
        <v>36895.966349931332</v>
      </c>
      <c r="E254" s="81">
        <f t="shared" ca="1" si="109"/>
        <v>11554.052513939236</v>
      </c>
      <c r="F254" s="81">
        <f t="shared" ca="1" si="109"/>
        <v>23035.570165278124</v>
      </c>
      <c r="G254" s="81">
        <f t="shared" ca="1" si="109"/>
        <v>23765.074990426529</v>
      </c>
      <c r="H254" s="81">
        <f t="shared" ca="1" si="109"/>
        <v>29123.394355752942</v>
      </c>
      <c r="I254" s="81">
        <f t="shared" ca="1" si="109"/>
        <v>29544.660493882759</v>
      </c>
    </row>
    <row r="255" spans="1:9" ht="15" customHeight="1" x14ac:dyDescent="0.2">
      <c r="A255" s="3">
        <f t="shared" si="108"/>
        <v>7</v>
      </c>
      <c r="B255" s="70">
        <f t="shared" ca="1" si="109"/>
        <v>35438.736616912356</v>
      </c>
      <c r="C255" s="81">
        <f t="shared" ca="1" si="109"/>
        <v>37207.412547151413</v>
      </c>
      <c r="D255" s="81">
        <f t="shared" ca="1" si="109"/>
        <v>40807.245931580706</v>
      </c>
      <c r="E255" s="81">
        <f t="shared" ca="1" si="109"/>
        <v>14461.267911655817</v>
      </c>
      <c r="F255" s="81">
        <f t="shared" ca="1" si="109"/>
        <v>26191.483906233716</v>
      </c>
      <c r="G255" s="81">
        <f t="shared" ca="1" si="109"/>
        <v>26891.653637004882</v>
      </c>
      <c r="H255" s="81">
        <f t="shared" ca="1" si="109"/>
        <v>32309.259085808495</v>
      </c>
      <c r="I255" s="81">
        <f t="shared" ca="1" si="109"/>
        <v>33115.493121733016</v>
      </c>
    </row>
    <row r="256" spans="1:9" ht="15" customHeight="1" x14ac:dyDescent="0.2">
      <c r="A256" s="3">
        <f t="shared" si="108"/>
        <v>8</v>
      </c>
      <c r="B256" s="70">
        <f t="shared" ca="1" si="109"/>
        <v>39259.952033304813</v>
      </c>
      <c r="C256" s="81">
        <f t="shared" ca="1" si="109"/>
        <v>40845.97361881542</v>
      </c>
      <c r="D256" s="81">
        <f t="shared" ca="1" si="109"/>
        <v>44488.766618922091</v>
      </c>
      <c r="E256" s="81">
        <f t="shared" ca="1" si="109"/>
        <v>17223.717504498207</v>
      </c>
      <c r="F256" s="81">
        <f t="shared" ca="1" si="109"/>
        <v>29213.23141084105</v>
      </c>
      <c r="G256" s="81">
        <f t="shared" ca="1" si="109"/>
        <v>29889.809643306442</v>
      </c>
      <c r="H256" s="81">
        <f t="shared" ca="1" si="109"/>
        <v>35435.046865103155</v>
      </c>
      <c r="I256" s="81">
        <f t="shared" ca="1" si="109"/>
        <v>36481.938091551085</v>
      </c>
    </row>
    <row r="257" spans="1:9" ht="15" customHeight="1" x14ac:dyDescent="0.2">
      <c r="A257" s="3">
        <f t="shared" si="108"/>
        <v>9</v>
      </c>
      <c r="B257" s="70">
        <f t="shared" ca="1" si="109"/>
        <v>42605.753071892017</v>
      </c>
      <c r="C257" s="81">
        <f t="shared" ca="1" si="109"/>
        <v>44052.065717390215</v>
      </c>
      <c r="D257" s="81">
        <f t="shared" ca="1" si="109"/>
        <v>47910.351344481518</v>
      </c>
      <c r="E257" s="81">
        <f t="shared" ca="1" si="109"/>
        <v>19820.951631058782</v>
      </c>
      <c r="F257" s="81">
        <f t="shared" ca="1" si="109"/>
        <v>32080.430607051265</v>
      </c>
      <c r="G257" s="81">
        <f t="shared" ca="1" si="109"/>
        <v>32739.713068886114</v>
      </c>
      <c r="H257" s="81">
        <f t="shared" ca="1" si="109"/>
        <v>38486.58228602491</v>
      </c>
      <c r="I257" s="81">
        <f t="shared" ca="1" si="109"/>
        <v>39608.479561941058</v>
      </c>
    </row>
    <row r="258" spans="1:9" ht="15" customHeight="1" x14ac:dyDescent="0.2">
      <c r="A258" s="3">
        <f t="shared" si="108"/>
        <v>10</v>
      </c>
      <c r="B258" s="70">
        <f t="shared" ca="1" si="109"/>
        <v>45435.535185892368</v>
      </c>
      <c r="C258" s="81">
        <f t="shared" ca="1" si="109"/>
        <v>46787.93097484071</v>
      </c>
      <c r="D258" s="81">
        <f t="shared" ca="1" si="109"/>
        <v>51043.170050627741</v>
      </c>
      <c r="E258" s="81">
        <f t="shared" ca="1" si="109"/>
        <v>22233.204971494335</v>
      </c>
      <c r="F258" s="81">
        <f t="shared" ca="1" si="109"/>
        <v>34773.195603513646</v>
      </c>
      <c r="G258" s="81">
        <f t="shared" ca="1" si="109"/>
        <v>35421.980884795979</v>
      </c>
      <c r="H258" s="81">
        <f t="shared" ca="1" si="109"/>
        <v>41449.60505180675</v>
      </c>
      <c r="I258" s="81">
        <f t="shared" ca="1" si="109"/>
        <v>42460.988868161563</v>
      </c>
    </row>
    <row r="259" spans="1:9" ht="15" customHeight="1" x14ac:dyDescent="0.2">
      <c r="C259" s="41"/>
      <c r="D259" s="41"/>
      <c r="E259" s="41"/>
      <c r="F259" s="41"/>
      <c r="G259" s="41"/>
      <c r="H259" s="41"/>
      <c r="I259" s="41"/>
    </row>
    <row r="260" spans="1:9" ht="15" customHeight="1" x14ac:dyDescent="0.2">
      <c r="C260" s="41"/>
      <c r="D260" s="41"/>
      <c r="E260" s="41"/>
      <c r="F260" s="41"/>
      <c r="G260" s="41"/>
      <c r="H260" s="41"/>
      <c r="I260" s="41"/>
    </row>
    <row r="261" spans="1:9" ht="15" customHeight="1" x14ac:dyDescent="0.2">
      <c r="A261" s="35" t="str">
        <f>A148</f>
        <v>Reinvestment rate</v>
      </c>
      <c r="B261" s="87"/>
      <c r="C261" s="88"/>
      <c r="D261" s="88"/>
      <c r="E261" s="88"/>
      <c r="F261" s="88"/>
      <c r="G261" s="88"/>
      <c r="H261" s="88"/>
      <c r="I261" s="88"/>
    </row>
    <row r="262" spans="1:9" ht="15" customHeight="1" x14ac:dyDescent="0.2">
      <c r="A262" s="3">
        <f t="shared" ref="A262:A272" si="110">A248</f>
        <v>0</v>
      </c>
      <c r="B262" s="79" t="e">
        <f t="shared" ref="B262:I272" si="111">IF($A262&gt;B$160,"",IF($A262=0,#N/A,B276/B304))</f>
        <v>#N/A</v>
      </c>
      <c r="C262" s="88" t="e">
        <f t="shared" si="111"/>
        <v>#N/A</v>
      </c>
      <c r="D262" s="88" t="e">
        <f t="shared" si="111"/>
        <v>#N/A</v>
      </c>
      <c r="E262" s="88" t="e">
        <f t="shared" si="111"/>
        <v>#N/A</v>
      </c>
      <c r="F262" s="88" t="e">
        <f t="shared" si="111"/>
        <v>#N/A</v>
      </c>
      <c r="G262" s="88" t="e">
        <f t="shared" si="111"/>
        <v>#N/A</v>
      </c>
      <c r="H262" s="88" t="e">
        <f t="shared" si="111"/>
        <v>#N/A</v>
      </c>
      <c r="I262" s="88" t="e">
        <f t="shared" si="111"/>
        <v>#N/A</v>
      </c>
    </row>
    <row r="263" spans="1:9" ht="15" customHeight="1" x14ac:dyDescent="0.2">
      <c r="A263" s="3">
        <f t="shared" si="110"/>
        <v>1</v>
      </c>
      <c r="B263" s="79">
        <f t="shared" ca="1" si="111"/>
        <v>8.2496896200589295E-2</v>
      </c>
      <c r="C263" s="88">
        <f t="shared" ca="1" si="111"/>
        <v>8.3265421940994122E-2</v>
      </c>
      <c r="D263" s="88">
        <f t="shared" ca="1" si="111"/>
        <v>8.5220699915796075E-2</v>
      </c>
      <c r="E263" s="88">
        <f t="shared" ca="1" si="111"/>
        <v>6.4346042991900512E-2</v>
      </c>
      <c r="F263" s="88">
        <f t="shared" ca="1" si="111"/>
        <v>7.0363638996214131E-2</v>
      </c>
      <c r="G263" s="88">
        <f t="shared" ca="1" si="111"/>
        <v>7.1300500125317884E-2</v>
      </c>
      <c r="H263" s="88">
        <f t="shared" ca="1" si="111"/>
        <v>7.0341049883614296E-2</v>
      </c>
      <c r="I263" s="88">
        <f t="shared" ca="1" si="111"/>
        <v>7.9195535600817032E-2</v>
      </c>
    </row>
    <row r="264" spans="1:9" ht="15" customHeight="1" x14ac:dyDescent="0.2">
      <c r="A264" s="3">
        <f t="shared" si="110"/>
        <v>2</v>
      </c>
      <c r="B264" s="79">
        <f t="shared" ca="1" si="111"/>
        <v>8.4526530084797907E-2</v>
      </c>
      <c r="C264" s="88">
        <f t="shared" ca="1" si="111"/>
        <v>8.5166820688151512E-2</v>
      </c>
      <c r="D264" s="88">
        <f t="shared" ca="1" si="111"/>
        <v>8.6982861363282385E-2</v>
      </c>
      <c r="E264" s="88">
        <f t="shared" ca="1" si="111"/>
        <v>6.5652159302441754E-2</v>
      </c>
      <c r="F264" s="88">
        <f t="shared" ca="1" si="111"/>
        <v>7.1734828656146263E-2</v>
      </c>
      <c r="G264" s="88">
        <f t="shared" ca="1" si="111"/>
        <v>7.2606229094763358E-2</v>
      </c>
      <c r="H264" s="88">
        <f t="shared" ca="1" si="111"/>
        <v>7.1717598825967316E-2</v>
      </c>
      <c r="I264" s="88">
        <f t="shared" ca="1" si="111"/>
        <v>8.0847555964191978E-2</v>
      </c>
    </row>
    <row r="265" spans="1:9" ht="15" customHeight="1" x14ac:dyDescent="0.2">
      <c r="A265" s="3">
        <f t="shared" si="110"/>
        <v>3</v>
      </c>
      <c r="B265" s="79">
        <f t="shared" ca="1" si="111"/>
        <v>8.665855128989533E-2</v>
      </c>
      <c r="C265" s="88">
        <f t="shared" ca="1" si="111"/>
        <v>8.7157087144986614E-2</v>
      </c>
      <c r="D265" s="88">
        <f t="shared" ca="1" si="111"/>
        <v>8.881943611883801E-2</v>
      </c>
      <c r="E265" s="88">
        <f t="shared" ca="1" si="111"/>
        <v>6.7012398132042753E-2</v>
      </c>
      <c r="F265" s="88">
        <f t="shared" ca="1" si="111"/>
        <v>7.316052170308901E-2</v>
      </c>
      <c r="G265" s="88">
        <f t="shared" ca="1" si="111"/>
        <v>7.3960673935794197E-2</v>
      </c>
      <c r="H265" s="88">
        <f t="shared" ca="1" si="111"/>
        <v>7.3149100300850159E-2</v>
      </c>
      <c r="I265" s="88">
        <f t="shared" ca="1" si="111"/>
        <v>8.256996703071319E-2</v>
      </c>
    </row>
    <row r="266" spans="1:9" ht="15" customHeight="1" x14ac:dyDescent="0.2">
      <c r="A266" s="3">
        <f t="shared" si="110"/>
        <v>4</v>
      </c>
      <c r="B266" s="79">
        <f t="shared" ca="1" si="111"/>
        <v>8.8900907867599369E-2</v>
      </c>
      <c r="C266" s="88">
        <f t="shared" ca="1" si="111"/>
        <v>8.9242600648439613E-2</v>
      </c>
      <c r="D266" s="88">
        <f t="shared" ca="1" si="111"/>
        <v>9.073523938727697E-2</v>
      </c>
      <c r="E266" s="88">
        <f t="shared" ca="1" si="111"/>
        <v>6.8430194728154467E-2</v>
      </c>
      <c r="F266" s="88">
        <f t="shared" ca="1" si="111"/>
        <v>7.4644033713285998E-2</v>
      </c>
      <c r="G266" s="88">
        <f t="shared" ca="1" si="111"/>
        <v>7.5366612808774033E-2</v>
      </c>
      <c r="H266" s="88">
        <f t="shared" ca="1" si="111"/>
        <v>7.4638911926668258E-2</v>
      </c>
      <c r="I266" s="88">
        <f t="shared" ca="1" si="111"/>
        <v>8.4367365634657798E-2</v>
      </c>
    </row>
    <row r="267" spans="1:9" ht="15" customHeight="1" x14ac:dyDescent="0.2">
      <c r="A267" s="3">
        <f t="shared" si="110"/>
        <v>5</v>
      </c>
      <c r="B267" s="79">
        <f t="shared" ca="1" si="111"/>
        <v>9.1262392369482276E-2</v>
      </c>
      <c r="C267" s="88">
        <f t="shared" ca="1" si="111"/>
        <v>9.1430366088395401E-2</v>
      </c>
      <c r="D267" s="88">
        <f t="shared" ca="1" si="111"/>
        <v>9.2735510980985578E-2</v>
      </c>
      <c r="E267" s="88">
        <f t="shared" ca="1" si="111"/>
        <v>6.9909281343288346E-2</v>
      </c>
      <c r="F267" s="88">
        <f t="shared" ca="1" si="111"/>
        <v>7.6188954755299881E-2</v>
      </c>
      <c r="G267" s="88">
        <f t="shared" ca="1" si="111"/>
        <v>7.6827039210730516E-2</v>
      </c>
      <c r="H267" s="88">
        <f t="shared" ca="1" si="111"/>
        <v>7.6190670544187156E-2</v>
      </c>
      <c r="I267" s="88">
        <f t="shared" ca="1" si="111"/>
        <v>8.624475777612127E-2</v>
      </c>
    </row>
    <row r="268" spans="1:9" ht="15" customHeight="1" x14ac:dyDescent="0.2">
      <c r="A268" s="3">
        <f t="shared" si="110"/>
        <v>6</v>
      </c>
      <c r="B268" s="79">
        <f t="shared" ca="1" si="111"/>
        <v>8.6631596507765307E-2</v>
      </c>
      <c r="C268" s="88">
        <f t="shared" ca="1" si="111"/>
        <v>8.6995610892053307E-2</v>
      </c>
      <c r="D268" s="88">
        <f t="shared" ca="1" si="111"/>
        <v>9.0274829233025974E-2</v>
      </c>
      <c r="E268" s="88">
        <f t="shared" ca="1" si="111"/>
        <v>6.8830939107422343E-2</v>
      </c>
      <c r="F268" s="88">
        <f t="shared" ca="1" si="111"/>
        <v>7.5349514682674451E-2</v>
      </c>
      <c r="G268" s="88">
        <f t="shared" ca="1" si="111"/>
        <v>7.5943274770613425E-2</v>
      </c>
      <c r="H268" s="88">
        <f t="shared" ca="1" si="111"/>
        <v>7.6671060141517797E-2</v>
      </c>
      <c r="I268" s="88">
        <f t="shared" ca="1" si="111"/>
        <v>8.4150469672515368E-2</v>
      </c>
    </row>
    <row r="269" spans="1:9" ht="15" customHeight="1" x14ac:dyDescent="0.2">
      <c r="A269" s="3">
        <f t="shared" si="110"/>
        <v>7</v>
      </c>
      <c r="B269" s="79">
        <f t="shared" ca="1" si="111"/>
        <v>8.127784010353363E-2</v>
      </c>
      <c r="C269" s="88">
        <f t="shared" ca="1" si="111"/>
        <v>8.186808481927367E-2</v>
      </c>
      <c r="D269" s="88">
        <f t="shared" ca="1" si="111"/>
        <v>8.7395162643176857E-2</v>
      </c>
      <c r="E269" s="88">
        <f t="shared" ca="1" si="111"/>
        <v>6.7492235435633444E-2</v>
      </c>
      <c r="F269" s="88">
        <f t="shared" ca="1" si="111"/>
        <v>7.4274919407860074E-2</v>
      </c>
      <c r="G269" s="88">
        <f t="shared" ca="1" si="111"/>
        <v>7.4830195684388437E-2</v>
      </c>
      <c r="H269" s="88">
        <f t="shared" ca="1" si="111"/>
        <v>7.7078041589249288E-2</v>
      </c>
      <c r="I269" s="88">
        <f t="shared" ca="1" si="111"/>
        <v>8.1618555475155743E-2</v>
      </c>
    </row>
    <row r="270" spans="1:9" ht="15" customHeight="1" x14ac:dyDescent="0.2">
      <c r="A270" s="3">
        <f t="shared" si="110"/>
        <v>8</v>
      </c>
      <c r="B270" s="79">
        <f t="shared" ca="1" si="111"/>
        <v>7.5099076927254413E-2</v>
      </c>
      <c r="C270" s="88">
        <f t="shared" ca="1" si="111"/>
        <v>7.5950532351921785E-2</v>
      </c>
      <c r="D270" s="88">
        <f t="shared" ca="1" si="111"/>
        <v>8.403934138573442E-2</v>
      </c>
      <c r="E270" s="88">
        <f t="shared" ca="1" si="111"/>
        <v>6.5851911123340948E-2</v>
      </c>
      <c r="F270" s="88">
        <f t="shared" ca="1" si="111"/>
        <v>7.292766163427801E-2</v>
      </c>
      <c r="G270" s="88">
        <f t="shared" ca="1" si="111"/>
        <v>7.3452442271453505E-2</v>
      </c>
      <c r="H270" s="88">
        <f t="shared" ca="1" si="111"/>
        <v>7.7396382699508867E-2</v>
      </c>
      <c r="I270" s="88">
        <f t="shared" ca="1" si="111"/>
        <v>7.8580096691545018E-2</v>
      </c>
    </row>
    <row r="271" spans="1:9" ht="15" customHeight="1" x14ac:dyDescent="0.2">
      <c r="A271" s="3">
        <f t="shared" si="110"/>
        <v>9</v>
      </c>
      <c r="B271" s="79">
        <f t="shared" ca="1" si="111"/>
        <v>6.7976622778368051E-2</v>
      </c>
      <c r="C271" s="88">
        <f t="shared" ca="1" si="111"/>
        <v>6.9129938660184839E-2</v>
      </c>
      <c r="D271" s="88">
        <f t="shared" ca="1" si="111"/>
        <v>8.0141312387658134E-2</v>
      </c>
      <c r="E271" s="88">
        <f t="shared" ca="1" si="111"/>
        <v>6.3861317831165651E-2</v>
      </c>
      <c r="F271" s="88">
        <f t="shared" ca="1" si="111"/>
        <v>7.1263531551520348E-2</v>
      </c>
      <c r="G271" s="88">
        <f t="shared" ca="1" si="111"/>
        <v>7.1768501872188736E-2</v>
      </c>
      <c r="H271" s="88">
        <f t="shared" ca="1" si="111"/>
        <v>7.7607910276708589E-2</v>
      </c>
      <c r="I271" s="88">
        <f t="shared" ca="1" si="111"/>
        <v>7.4953782280571021E-2</v>
      </c>
    </row>
    <row r="272" spans="1:9" ht="15" customHeight="1" x14ac:dyDescent="0.2">
      <c r="A272" s="3">
        <f t="shared" si="110"/>
        <v>10</v>
      </c>
      <c r="B272" s="79">
        <f t="shared" ca="1" si="111"/>
        <v>5.9771947032859152E-2</v>
      </c>
      <c r="C272" s="88">
        <f t="shared" ca="1" si="111"/>
        <v>6.1274509803921635E-2</v>
      </c>
      <c r="D272" s="88">
        <f t="shared" ca="1" si="111"/>
        <v>7.5624512099921784E-2</v>
      </c>
      <c r="E272" s="88">
        <f t="shared" ca="1" si="111"/>
        <v>6.1462844055999381E-2</v>
      </c>
      <c r="F272" s="88">
        <f t="shared" ca="1" si="111"/>
        <v>6.9230192312499828E-2</v>
      </c>
      <c r="G272" s="88">
        <f t="shared" ca="1" si="111"/>
        <v>6.9729429305638121E-2</v>
      </c>
      <c r="H272" s="88">
        <f t="shared" ca="1" si="111"/>
        <v>7.7690863963297274E-2</v>
      </c>
      <c r="I272" s="88">
        <f t="shared" ca="1" si="111"/>
        <v>7.0643253922466856E-2</v>
      </c>
    </row>
    <row r="273" spans="1:9" ht="15" customHeight="1" x14ac:dyDescent="0.2">
      <c r="C273" s="41"/>
      <c r="D273" s="41"/>
      <c r="E273" s="41"/>
      <c r="F273" s="41"/>
      <c r="G273" s="41"/>
      <c r="H273" s="41"/>
      <c r="I273" s="41"/>
    </row>
    <row r="274" spans="1:9" ht="15" customHeight="1" x14ac:dyDescent="0.2">
      <c r="C274" s="41"/>
      <c r="D274" s="41"/>
      <c r="E274" s="41"/>
      <c r="F274" s="41"/>
      <c r="G274" s="41"/>
      <c r="H274" s="41"/>
      <c r="I274" s="41"/>
    </row>
    <row r="275" spans="1:9" ht="15" customHeight="1" x14ac:dyDescent="0.2">
      <c r="A275" s="35" t="str">
        <f>A149</f>
        <v>Reinvestment</v>
      </c>
      <c r="B275" s="80"/>
      <c r="C275" s="81"/>
      <c r="D275" s="81"/>
      <c r="E275" s="81"/>
      <c r="F275" s="81"/>
      <c r="G275" s="81"/>
      <c r="H275" s="81"/>
      <c r="I275" s="81"/>
    </row>
    <row r="276" spans="1:9" ht="15" customHeight="1" x14ac:dyDescent="0.2">
      <c r="A276" s="3">
        <f t="shared" ref="A276:A286" si="112">A262</f>
        <v>0</v>
      </c>
      <c r="B276" s="70">
        <f t="shared" ref="B276:I286" ca="1" si="113">IF($A276&gt;B$160,"",IF($A276=0,+B$304-B$192,(B374-OFFSET(B374,-1,0))/B290))</f>
        <v>4178.0469020284581</v>
      </c>
      <c r="C276" s="81">
        <f t="shared" ca="1" si="113"/>
        <v>3928.0894436201925</v>
      </c>
      <c r="D276" s="81">
        <f t="shared" ca="1" si="113"/>
        <v>3586.5037067790981</v>
      </c>
      <c r="E276" s="81">
        <f t="shared" ca="1" si="113"/>
        <v>2627.0688874205152</v>
      </c>
      <c r="F276" s="81">
        <f t="shared" ca="1" si="113"/>
        <v>2816.3242707101963</v>
      </c>
      <c r="G276" s="81">
        <f t="shared" ca="1" si="113"/>
        <v>2780.5497757405246</v>
      </c>
      <c r="H276" s="81">
        <f t="shared" ca="1" si="113"/>
        <v>2734.5439522502711</v>
      </c>
      <c r="I276" s="81">
        <f t="shared" ca="1" si="113"/>
        <v>3094.6215963576105</v>
      </c>
    </row>
    <row r="277" spans="1:9" ht="15" customHeight="1" x14ac:dyDescent="0.2">
      <c r="A277" s="3">
        <f t="shared" si="112"/>
        <v>1</v>
      </c>
      <c r="B277" s="70">
        <f t="shared" ca="1" si="113"/>
        <v>4243.2799999999988</v>
      </c>
      <c r="C277" s="81">
        <f t="shared" ca="1" si="113"/>
        <v>3996</v>
      </c>
      <c r="D277" s="81">
        <f t="shared" ca="1" si="113"/>
        <v>3655.9000000000087</v>
      </c>
      <c r="E277" s="81">
        <f t="shared" ca="1" si="113"/>
        <v>2678.8571428571463</v>
      </c>
      <c r="F277" s="81">
        <f t="shared" ca="1" si="113"/>
        <v>2874.0408163265279</v>
      </c>
      <c r="G277" s="81">
        <f t="shared" ca="1" si="113"/>
        <v>2840.6857142857111</v>
      </c>
      <c r="H277" s="81">
        <f t="shared" ca="1" si="113"/>
        <v>2790.3673469387732</v>
      </c>
      <c r="I277" s="81">
        <f t="shared" ca="1" si="113"/>
        <v>3184.2857142857183</v>
      </c>
    </row>
    <row r="278" spans="1:9" ht="15" customHeight="1" x14ac:dyDescent="0.2">
      <c r="A278" s="3">
        <f t="shared" si="112"/>
        <v>2</v>
      </c>
      <c r="B278" s="70">
        <f t="shared" ca="1" si="113"/>
        <v>4413.0112000000081</v>
      </c>
      <c r="C278" s="81">
        <f t="shared" ca="1" si="113"/>
        <v>4155.8399999999965</v>
      </c>
      <c r="D278" s="81">
        <f t="shared" ca="1" si="113"/>
        <v>3802.1359999999986</v>
      </c>
      <c r="E278" s="81">
        <f t="shared" ca="1" si="113"/>
        <v>2786.0114285714276</v>
      </c>
      <c r="F278" s="81">
        <f t="shared" ca="1" si="113"/>
        <v>2989.0024489795965</v>
      </c>
      <c r="G278" s="81">
        <f t="shared" ca="1" si="113"/>
        <v>2954.3131428571505</v>
      </c>
      <c r="H278" s="81">
        <f t="shared" ca="1" si="113"/>
        <v>2901.9820408163264</v>
      </c>
      <c r="I278" s="81">
        <f t="shared" ca="1" si="113"/>
        <v>3343.5000000000077</v>
      </c>
    </row>
    <row r="279" spans="1:9" ht="15" customHeight="1" x14ac:dyDescent="0.2">
      <c r="A279" s="3">
        <f t="shared" si="112"/>
        <v>3</v>
      </c>
      <c r="B279" s="70">
        <f t="shared" ca="1" si="113"/>
        <v>4589.5316480000038</v>
      </c>
      <c r="C279" s="81">
        <f t="shared" ca="1" si="113"/>
        <v>4322.0736000000034</v>
      </c>
      <c r="D279" s="81">
        <f t="shared" ca="1" si="113"/>
        <v>3954.2214400000084</v>
      </c>
      <c r="E279" s="81">
        <f t="shared" ca="1" si="113"/>
        <v>2897.4518857142907</v>
      </c>
      <c r="F279" s="81">
        <f t="shared" ca="1" si="113"/>
        <v>3108.5625469387742</v>
      </c>
      <c r="G279" s="81">
        <f t="shared" ca="1" si="113"/>
        <v>3072.4856685714353</v>
      </c>
      <c r="H279" s="81">
        <f t="shared" ca="1" si="113"/>
        <v>3018.0613224489771</v>
      </c>
      <c r="I279" s="81">
        <f t="shared" ca="1" si="113"/>
        <v>3510.6750000000047</v>
      </c>
    </row>
    <row r="280" spans="1:9" ht="15" customHeight="1" x14ac:dyDescent="0.2">
      <c r="A280" s="3">
        <f t="shared" si="112"/>
        <v>4</v>
      </c>
      <c r="B280" s="70">
        <f t="shared" ca="1" si="113"/>
        <v>4773.1129139200057</v>
      </c>
      <c r="C280" s="81">
        <f t="shared" ca="1" si="113"/>
        <v>4494.9565440000006</v>
      </c>
      <c r="D280" s="81">
        <f t="shared" ca="1" si="113"/>
        <v>4112.3902976000099</v>
      </c>
      <c r="E280" s="81">
        <f t="shared" ca="1" si="113"/>
        <v>3013.3499611428624</v>
      </c>
      <c r="F280" s="81">
        <f t="shared" ca="1" si="113"/>
        <v>3232.9050488163339</v>
      </c>
      <c r="G280" s="81">
        <f t="shared" ca="1" si="113"/>
        <v>3195.3850953142887</v>
      </c>
      <c r="H280" s="81">
        <f t="shared" ca="1" si="113"/>
        <v>3138.783775346938</v>
      </c>
      <c r="I280" s="81">
        <f t="shared" ca="1" si="113"/>
        <v>3686.2087500000002</v>
      </c>
    </row>
    <row r="281" spans="1:9" ht="15" customHeight="1" x14ac:dyDescent="0.2">
      <c r="A281" s="3">
        <f t="shared" si="112"/>
        <v>5</v>
      </c>
      <c r="B281" s="70">
        <f t="shared" ca="1" si="113"/>
        <v>4964.0374304768047</v>
      </c>
      <c r="C281" s="81">
        <f t="shared" ca="1" si="113"/>
        <v>4674.754805760007</v>
      </c>
      <c r="D281" s="81">
        <f t="shared" ca="1" si="113"/>
        <v>4276.8859095040098</v>
      </c>
      <c r="E281" s="81">
        <f t="shared" ca="1" si="113"/>
        <v>3133.8839595885752</v>
      </c>
      <c r="F281" s="81">
        <f t="shared" ca="1" si="113"/>
        <v>3362.2212507689787</v>
      </c>
      <c r="G281" s="81">
        <f t="shared" ca="1" si="113"/>
        <v>3323.2004991268655</v>
      </c>
      <c r="H281" s="81">
        <f t="shared" ca="1" si="113"/>
        <v>3264.3351263608138</v>
      </c>
      <c r="I281" s="81">
        <f t="shared" ca="1" si="113"/>
        <v>3870.5191875000032</v>
      </c>
    </row>
    <row r="282" spans="1:9" ht="15" customHeight="1" x14ac:dyDescent="0.2">
      <c r="A282" s="3">
        <f t="shared" si="112"/>
        <v>6</v>
      </c>
      <c r="B282" s="70">
        <f t="shared" ca="1" si="113"/>
        <v>4633.4325376070483</v>
      </c>
      <c r="C282" s="81">
        <f t="shared" ca="1" si="113"/>
        <v>4375.5704981913586</v>
      </c>
      <c r="D282" s="81">
        <f t="shared" ca="1" si="113"/>
        <v>4109.9162835969764</v>
      </c>
      <c r="E282" s="81">
        <f t="shared" ca="1" si="113"/>
        <v>3031.092565714056</v>
      </c>
      <c r="F282" s="81">
        <f t="shared" ca="1" si="113"/>
        <v>3269.4239442477628</v>
      </c>
      <c r="G282" s="81">
        <f t="shared" ca="1" si="113"/>
        <v>3234.9362938700369</v>
      </c>
      <c r="H282" s="81">
        <f t="shared" ca="1" si="113"/>
        <v>3231.9529219073056</v>
      </c>
      <c r="I282" s="81">
        <f t="shared" ca="1" si="113"/>
        <v>3738.9215351250004</v>
      </c>
    </row>
    <row r="283" spans="1:9" ht="15" customHeight="1" x14ac:dyDescent="0.2">
      <c r="A283" s="3">
        <f t="shared" si="112"/>
        <v>7</v>
      </c>
      <c r="B283" s="70">
        <f t="shared" ca="1" si="113"/>
        <v>4251.6093022141431</v>
      </c>
      <c r="C283" s="81">
        <f t="shared" ca="1" si="113"/>
        <v>4029.4142543344497</v>
      </c>
      <c r="D283" s="81">
        <f t="shared" ca="1" si="113"/>
        <v>3911.2795816493744</v>
      </c>
      <c r="E283" s="81">
        <f t="shared" ca="1" si="113"/>
        <v>2907.2153977165808</v>
      </c>
      <c r="F283" s="81">
        <f t="shared" ca="1" si="113"/>
        <v>3155.9137409555901</v>
      </c>
      <c r="G283" s="81">
        <f t="shared" ca="1" si="113"/>
        <v>3126.5786465783531</v>
      </c>
      <c r="H283" s="81">
        <f t="shared" ca="1" si="113"/>
        <v>3185.8647300555531</v>
      </c>
      <c r="I283" s="81">
        <f t="shared" ca="1" si="113"/>
        <v>3570.8326278502536</v>
      </c>
    </row>
    <row r="284" spans="1:9" ht="15" customHeight="1" x14ac:dyDescent="0.2">
      <c r="A284" s="3">
        <f t="shared" si="112"/>
        <v>8</v>
      </c>
      <c r="B284" s="70">
        <f t="shared" ca="1" si="113"/>
        <v>3821.215416392457</v>
      </c>
      <c r="C284" s="81">
        <f t="shared" ca="1" si="113"/>
        <v>3638.5610716640076</v>
      </c>
      <c r="D284" s="81">
        <f t="shared" ca="1" si="113"/>
        <v>3681.5206873413845</v>
      </c>
      <c r="E284" s="81">
        <f t="shared" ca="1" si="113"/>
        <v>2762.4495928423894</v>
      </c>
      <c r="F284" s="81">
        <f t="shared" ca="1" si="113"/>
        <v>3021.7475046073346</v>
      </c>
      <c r="G284" s="81">
        <f t="shared" ca="1" si="113"/>
        <v>2998.1560063015604</v>
      </c>
      <c r="H284" s="81">
        <f t="shared" ca="1" si="113"/>
        <v>3125.787779294662</v>
      </c>
      <c r="I284" s="81">
        <f t="shared" ca="1" si="113"/>
        <v>3366.4449698180665</v>
      </c>
    </row>
    <row r="285" spans="1:9" ht="15" customHeight="1" x14ac:dyDescent="0.2">
      <c r="A285" s="3">
        <f t="shared" si="112"/>
        <v>9</v>
      </c>
      <c r="B285" s="70">
        <f t="shared" ca="1" si="113"/>
        <v>3345.8010385872039</v>
      </c>
      <c r="C285" s="81">
        <f t="shared" ca="1" si="113"/>
        <v>3206.0920985747944</v>
      </c>
      <c r="D285" s="81">
        <f t="shared" ca="1" si="113"/>
        <v>3421.5847255594272</v>
      </c>
      <c r="E285" s="81">
        <f t="shared" ca="1" si="113"/>
        <v>2597.2341265605764</v>
      </c>
      <c r="F285" s="81">
        <f t="shared" ca="1" si="113"/>
        <v>2867.1991962102138</v>
      </c>
      <c r="G285" s="81">
        <f t="shared" ca="1" si="113"/>
        <v>2849.9034255796719</v>
      </c>
      <c r="H285" s="81">
        <f t="shared" ca="1" si="113"/>
        <v>3051.5354209217567</v>
      </c>
      <c r="I285" s="81">
        <f t="shared" ca="1" si="113"/>
        <v>3126.5414703899733</v>
      </c>
    </row>
    <row r="286" spans="1:9" ht="15" customHeight="1" x14ac:dyDescent="0.2">
      <c r="A286" s="3">
        <f t="shared" si="112"/>
        <v>10</v>
      </c>
      <c r="B286" s="70">
        <f t="shared" ca="1" si="113"/>
        <v>2829.7821140003507</v>
      </c>
      <c r="C286" s="81">
        <f t="shared" ca="1" si="113"/>
        <v>2735.8652574504958</v>
      </c>
      <c r="D286" s="81">
        <f t="shared" ca="1" si="113"/>
        <v>3132.8187061462231</v>
      </c>
      <c r="E286" s="81">
        <f t="shared" ca="1" si="113"/>
        <v>2412.2533404355527</v>
      </c>
      <c r="F286" s="81">
        <f t="shared" ca="1" si="113"/>
        <v>2692.7649964623824</v>
      </c>
      <c r="G286" s="81">
        <f t="shared" ca="1" si="113"/>
        <v>2682.2678159098664</v>
      </c>
      <c r="H286" s="81">
        <f t="shared" ca="1" si="113"/>
        <v>2963.0227657818418</v>
      </c>
      <c r="I286" s="81">
        <f t="shared" ca="1" si="113"/>
        <v>2852.5093062205065</v>
      </c>
    </row>
    <row r="287" spans="1:9" ht="15" customHeight="1" x14ac:dyDescent="0.2">
      <c r="C287" s="41"/>
      <c r="D287" s="41"/>
      <c r="E287" s="41"/>
      <c r="F287" s="41"/>
      <c r="G287" s="41"/>
      <c r="H287" s="41"/>
      <c r="I287" s="41"/>
    </row>
    <row r="288" spans="1:9" ht="15" customHeight="1" x14ac:dyDescent="0.2">
      <c r="C288" s="41"/>
      <c r="D288" s="41"/>
      <c r="E288" s="41"/>
      <c r="F288" s="41"/>
      <c r="G288" s="41"/>
      <c r="H288" s="41"/>
      <c r="I288" s="41"/>
    </row>
    <row r="289" spans="1:9" ht="15" customHeight="1" x14ac:dyDescent="0.2">
      <c r="A289" s="35" t="s">
        <v>508</v>
      </c>
      <c r="B289" s="80"/>
      <c r="C289" s="81"/>
      <c r="D289" s="81"/>
      <c r="E289" s="81"/>
      <c r="F289" s="81"/>
      <c r="G289" s="81"/>
      <c r="H289" s="81"/>
      <c r="I289" s="81"/>
    </row>
    <row r="290" spans="1:9" ht="15" customHeight="1" x14ac:dyDescent="0.2">
      <c r="A290" s="3">
        <f t="shared" ref="A290:A300" si="114">A276</f>
        <v>0</v>
      </c>
      <c r="B290" s="89" t="e">
        <f t="shared" ref="B290:I300" ca="1" si="115">IF($A290&gt;B$160,"",IF($A290=0,#N/A,IF($A290=1,B$809,OFFSET(B290,-1,0))))</f>
        <v>#N/A</v>
      </c>
      <c r="C290" s="90" t="e">
        <f t="shared" ca="1" si="115"/>
        <v>#N/A</v>
      </c>
      <c r="D290" s="90" t="e">
        <f t="shared" ca="1" si="115"/>
        <v>#N/A</v>
      </c>
      <c r="E290" s="90" t="e">
        <f t="shared" ca="1" si="115"/>
        <v>#N/A</v>
      </c>
      <c r="F290" s="90" t="e">
        <f t="shared" ca="1" si="115"/>
        <v>#N/A</v>
      </c>
      <c r="G290" s="90" t="e">
        <f t="shared" ca="1" si="115"/>
        <v>#N/A</v>
      </c>
      <c r="H290" s="90" t="e">
        <f t="shared" ca="1" si="115"/>
        <v>#N/A</v>
      </c>
      <c r="I290" s="90" t="e">
        <f t="shared" ca="1" si="115"/>
        <v>#N/A</v>
      </c>
    </row>
    <row r="291" spans="1:9" ht="15" customHeight="1" x14ac:dyDescent="0.2">
      <c r="A291" s="3">
        <f t="shared" si="114"/>
        <v>1</v>
      </c>
      <c r="B291" s="89">
        <f t="shared" ca="1" si="115"/>
        <v>2</v>
      </c>
      <c r="C291" s="90">
        <f t="shared" ca="1" si="115"/>
        <v>2</v>
      </c>
      <c r="D291" s="90">
        <f t="shared" ca="1" si="115"/>
        <v>2</v>
      </c>
      <c r="E291" s="90">
        <f t="shared" ca="1" si="115"/>
        <v>2.66</v>
      </c>
      <c r="F291" s="90">
        <f t="shared" ca="1" si="115"/>
        <v>2.4500000000000002</v>
      </c>
      <c r="G291" s="90">
        <f t="shared" ca="1" si="115"/>
        <v>2.4500000000000002</v>
      </c>
      <c r="H291" s="90">
        <f t="shared" ca="1" si="115"/>
        <v>2.4500000000000002</v>
      </c>
      <c r="I291" s="90">
        <f t="shared" ca="1" si="115"/>
        <v>2.66</v>
      </c>
    </row>
    <row r="292" spans="1:9" ht="15" customHeight="1" x14ac:dyDescent="0.2">
      <c r="A292" s="3">
        <f t="shared" si="114"/>
        <v>2</v>
      </c>
      <c r="B292" s="89">
        <f t="shared" ca="1" si="115"/>
        <v>2</v>
      </c>
      <c r="C292" s="90">
        <f t="shared" ca="1" si="115"/>
        <v>2</v>
      </c>
      <c r="D292" s="90">
        <f t="shared" ca="1" si="115"/>
        <v>2</v>
      </c>
      <c r="E292" s="90">
        <f t="shared" ca="1" si="115"/>
        <v>2.66</v>
      </c>
      <c r="F292" s="90">
        <f t="shared" ca="1" si="115"/>
        <v>2.4500000000000002</v>
      </c>
      <c r="G292" s="90">
        <f t="shared" ca="1" si="115"/>
        <v>2.4500000000000002</v>
      </c>
      <c r="H292" s="90">
        <f t="shared" ca="1" si="115"/>
        <v>2.4500000000000002</v>
      </c>
      <c r="I292" s="90">
        <f t="shared" ca="1" si="115"/>
        <v>2.66</v>
      </c>
    </row>
    <row r="293" spans="1:9" ht="15" customHeight="1" x14ac:dyDescent="0.2">
      <c r="A293" s="3">
        <f t="shared" si="114"/>
        <v>3</v>
      </c>
      <c r="B293" s="89">
        <f t="shared" ca="1" si="115"/>
        <v>2</v>
      </c>
      <c r="C293" s="90">
        <f t="shared" ca="1" si="115"/>
        <v>2</v>
      </c>
      <c r="D293" s="90">
        <f t="shared" ca="1" si="115"/>
        <v>2</v>
      </c>
      <c r="E293" s="90">
        <f t="shared" ca="1" si="115"/>
        <v>2.66</v>
      </c>
      <c r="F293" s="90">
        <f t="shared" ca="1" si="115"/>
        <v>2.4500000000000002</v>
      </c>
      <c r="G293" s="90">
        <f t="shared" ca="1" si="115"/>
        <v>2.4500000000000002</v>
      </c>
      <c r="H293" s="90">
        <f t="shared" ca="1" si="115"/>
        <v>2.4500000000000002</v>
      </c>
      <c r="I293" s="90">
        <f t="shared" ca="1" si="115"/>
        <v>2.66</v>
      </c>
    </row>
    <row r="294" spans="1:9" ht="15" customHeight="1" x14ac:dyDescent="0.2">
      <c r="A294" s="3">
        <f t="shared" si="114"/>
        <v>4</v>
      </c>
      <c r="B294" s="89">
        <f t="shared" ca="1" si="115"/>
        <v>2</v>
      </c>
      <c r="C294" s="90">
        <f t="shared" ca="1" si="115"/>
        <v>2</v>
      </c>
      <c r="D294" s="90">
        <f t="shared" ca="1" si="115"/>
        <v>2</v>
      </c>
      <c r="E294" s="90">
        <f t="shared" ca="1" si="115"/>
        <v>2.66</v>
      </c>
      <c r="F294" s="90">
        <f t="shared" ca="1" si="115"/>
        <v>2.4500000000000002</v>
      </c>
      <c r="G294" s="90">
        <f t="shared" ca="1" si="115"/>
        <v>2.4500000000000002</v>
      </c>
      <c r="H294" s="90">
        <f t="shared" ca="1" si="115"/>
        <v>2.4500000000000002</v>
      </c>
      <c r="I294" s="90">
        <f t="shared" ca="1" si="115"/>
        <v>2.66</v>
      </c>
    </row>
    <row r="295" spans="1:9" ht="15" customHeight="1" x14ac:dyDescent="0.2">
      <c r="A295" s="3">
        <f t="shared" si="114"/>
        <v>5</v>
      </c>
      <c r="B295" s="89">
        <f t="shared" ca="1" si="115"/>
        <v>2</v>
      </c>
      <c r="C295" s="90">
        <f t="shared" ca="1" si="115"/>
        <v>2</v>
      </c>
      <c r="D295" s="90">
        <f t="shared" ca="1" si="115"/>
        <v>2</v>
      </c>
      <c r="E295" s="90">
        <f t="shared" ca="1" si="115"/>
        <v>2.66</v>
      </c>
      <c r="F295" s="90">
        <f t="shared" ca="1" si="115"/>
        <v>2.4500000000000002</v>
      </c>
      <c r="G295" s="90">
        <f t="shared" ca="1" si="115"/>
        <v>2.4500000000000002</v>
      </c>
      <c r="H295" s="90">
        <f t="shared" ca="1" si="115"/>
        <v>2.4500000000000002</v>
      </c>
      <c r="I295" s="90">
        <f t="shared" ca="1" si="115"/>
        <v>2.66</v>
      </c>
    </row>
    <row r="296" spans="1:9" ht="15" customHeight="1" x14ac:dyDescent="0.2">
      <c r="A296" s="3">
        <f t="shared" si="114"/>
        <v>6</v>
      </c>
      <c r="B296" s="89">
        <f t="shared" ca="1" si="115"/>
        <v>2</v>
      </c>
      <c r="C296" s="90">
        <f t="shared" ca="1" si="115"/>
        <v>2</v>
      </c>
      <c r="D296" s="90">
        <f t="shared" ca="1" si="115"/>
        <v>2</v>
      </c>
      <c r="E296" s="90">
        <f t="shared" ca="1" si="115"/>
        <v>2.66</v>
      </c>
      <c r="F296" s="90">
        <f t="shared" ca="1" si="115"/>
        <v>2.4500000000000002</v>
      </c>
      <c r="G296" s="90">
        <f t="shared" ca="1" si="115"/>
        <v>2.4500000000000002</v>
      </c>
      <c r="H296" s="90">
        <f t="shared" ca="1" si="115"/>
        <v>2.4500000000000002</v>
      </c>
      <c r="I296" s="90">
        <f t="shared" ca="1" si="115"/>
        <v>2.66</v>
      </c>
    </row>
    <row r="297" spans="1:9" ht="15" customHeight="1" x14ac:dyDescent="0.2">
      <c r="A297" s="3">
        <f t="shared" si="114"/>
        <v>7</v>
      </c>
      <c r="B297" s="89">
        <f t="shared" ca="1" si="115"/>
        <v>2</v>
      </c>
      <c r="C297" s="90">
        <f t="shared" ca="1" si="115"/>
        <v>2</v>
      </c>
      <c r="D297" s="90">
        <f t="shared" ca="1" si="115"/>
        <v>2</v>
      </c>
      <c r="E297" s="90">
        <f t="shared" ca="1" si="115"/>
        <v>2.66</v>
      </c>
      <c r="F297" s="90">
        <f t="shared" ca="1" si="115"/>
        <v>2.4500000000000002</v>
      </c>
      <c r="G297" s="90">
        <f t="shared" ca="1" si="115"/>
        <v>2.4500000000000002</v>
      </c>
      <c r="H297" s="90">
        <f t="shared" ca="1" si="115"/>
        <v>2.4500000000000002</v>
      </c>
      <c r="I297" s="90">
        <f t="shared" ca="1" si="115"/>
        <v>2.66</v>
      </c>
    </row>
    <row r="298" spans="1:9" ht="15" customHeight="1" x14ac:dyDescent="0.2">
      <c r="A298" s="3">
        <f t="shared" si="114"/>
        <v>8</v>
      </c>
      <c r="B298" s="89">
        <f t="shared" ca="1" si="115"/>
        <v>2</v>
      </c>
      <c r="C298" s="90">
        <f t="shared" ca="1" si="115"/>
        <v>2</v>
      </c>
      <c r="D298" s="90">
        <f t="shared" ca="1" si="115"/>
        <v>2</v>
      </c>
      <c r="E298" s="90">
        <f t="shared" ca="1" si="115"/>
        <v>2.66</v>
      </c>
      <c r="F298" s="90">
        <f t="shared" ca="1" si="115"/>
        <v>2.4500000000000002</v>
      </c>
      <c r="G298" s="90">
        <f t="shared" ca="1" si="115"/>
        <v>2.4500000000000002</v>
      </c>
      <c r="H298" s="90">
        <f t="shared" ca="1" si="115"/>
        <v>2.4500000000000002</v>
      </c>
      <c r="I298" s="90">
        <f t="shared" ca="1" si="115"/>
        <v>2.66</v>
      </c>
    </row>
    <row r="299" spans="1:9" ht="15" customHeight="1" x14ac:dyDescent="0.2">
      <c r="A299" s="3">
        <f t="shared" si="114"/>
        <v>9</v>
      </c>
      <c r="B299" s="89">
        <f t="shared" ca="1" si="115"/>
        <v>2</v>
      </c>
      <c r="C299" s="90">
        <f t="shared" ca="1" si="115"/>
        <v>2</v>
      </c>
      <c r="D299" s="90">
        <f t="shared" ca="1" si="115"/>
        <v>2</v>
      </c>
      <c r="E299" s="90">
        <f t="shared" ca="1" si="115"/>
        <v>2.66</v>
      </c>
      <c r="F299" s="90">
        <f t="shared" ca="1" si="115"/>
        <v>2.4500000000000002</v>
      </c>
      <c r="G299" s="90">
        <f t="shared" ca="1" si="115"/>
        <v>2.4500000000000002</v>
      </c>
      <c r="H299" s="90">
        <f t="shared" ca="1" si="115"/>
        <v>2.4500000000000002</v>
      </c>
      <c r="I299" s="90">
        <f t="shared" ca="1" si="115"/>
        <v>2.66</v>
      </c>
    </row>
    <row r="300" spans="1:9" ht="15" customHeight="1" x14ac:dyDescent="0.2">
      <c r="A300" s="3">
        <f t="shared" si="114"/>
        <v>10</v>
      </c>
      <c r="B300" s="89">
        <f t="shared" ca="1" si="115"/>
        <v>2</v>
      </c>
      <c r="C300" s="90">
        <f t="shared" ca="1" si="115"/>
        <v>2</v>
      </c>
      <c r="D300" s="90">
        <f t="shared" ca="1" si="115"/>
        <v>2</v>
      </c>
      <c r="E300" s="90">
        <f t="shared" ca="1" si="115"/>
        <v>2.66</v>
      </c>
      <c r="F300" s="90">
        <f t="shared" ca="1" si="115"/>
        <v>2.4500000000000002</v>
      </c>
      <c r="G300" s="90">
        <f t="shared" ca="1" si="115"/>
        <v>2.4500000000000002</v>
      </c>
      <c r="H300" s="90">
        <f t="shared" ca="1" si="115"/>
        <v>2.4500000000000002</v>
      </c>
      <c r="I300" s="90">
        <f t="shared" ca="1" si="115"/>
        <v>2.66</v>
      </c>
    </row>
    <row r="301" spans="1:9" ht="15" customHeight="1" x14ac:dyDescent="0.2">
      <c r="C301" s="41"/>
      <c r="D301" s="41"/>
      <c r="E301" s="41"/>
      <c r="F301" s="41"/>
      <c r="G301" s="41"/>
      <c r="H301" s="41"/>
      <c r="I301" s="41"/>
    </row>
    <row r="302" spans="1:9" ht="15" customHeight="1" x14ac:dyDescent="0.2">
      <c r="C302" s="41"/>
      <c r="D302" s="41"/>
      <c r="E302" s="41"/>
      <c r="F302" s="41"/>
      <c r="G302" s="41"/>
      <c r="H302" s="41"/>
      <c r="I302" s="41"/>
    </row>
    <row r="303" spans="1:9" ht="15" customHeight="1" x14ac:dyDescent="0.2">
      <c r="A303" s="35" t="s">
        <v>398</v>
      </c>
      <c r="B303" s="80"/>
      <c r="C303" s="81"/>
      <c r="D303" s="81"/>
      <c r="E303" s="81"/>
      <c r="F303" s="81"/>
      <c r="G303" s="81"/>
      <c r="H303" s="81"/>
      <c r="I303" s="81"/>
    </row>
    <row r="304" spans="1:9" ht="15" customHeight="1" x14ac:dyDescent="0.2">
      <c r="A304" s="3">
        <f t="shared" ref="A304:A314" si="116">A290</f>
        <v>0</v>
      </c>
      <c r="B304" s="70">
        <f t="shared" ref="B304:I314" ca="1" si="117">IF($A304&gt;B$160,"",IF($A304=0,IF(B$346&gt;0,B$346*(1-B$318),B$346),IF(B346&gt;0,IF(B346&lt;OFFSET(B332,-1,0),B346,B346-(B346-OFFSET(B332,-1,0))*B318),B346)))</f>
        <v>50644.898104646651</v>
      </c>
      <c r="C304" s="81">
        <f t="shared" ca="1" si="117"/>
        <v>47175.51838509657</v>
      </c>
      <c r="D304" s="81">
        <f t="shared" ca="1" si="117"/>
        <v>42084.889121103304</v>
      </c>
      <c r="E304" s="81">
        <f t="shared" ca="1" si="117"/>
        <v>40827.201880171539</v>
      </c>
      <c r="F304" s="81">
        <f t="shared" ca="1" si="117"/>
        <v>40025.278835589001</v>
      </c>
      <c r="G304" s="81">
        <f t="shared" ca="1" si="117"/>
        <v>38997.61952375406</v>
      </c>
      <c r="H304" s="81">
        <f t="shared" ca="1" si="117"/>
        <v>38875.506646187736</v>
      </c>
      <c r="I304" s="81">
        <f t="shared" ca="1" si="117"/>
        <v>39075.707650440927</v>
      </c>
    </row>
    <row r="305" spans="1:9" ht="15" customHeight="1" x14ac:dyDescent="0.2">
      <c r="A305" s="3">
        <f t="shared" si="116"/>
        <v>1</v>
      </c>
      <c r="B305" s="70">
        <f t="shared" ca="1" si="117"/>
        <v>51435.632071327404</v>
      </c>
      <c r="C305" s="81">
        <f t="shared" ca="1" si="117"/>
        <v>47991.109716969397</v>
      </c>
      <c r="D305" s="81">
        <f t="shared" ca="1" si="117"/>
        <v>42899.201762157434</v>
      </c>
      <c r="E305" s="81">
        <f t="shared" ca="1" si="117"/>
        <v>41632.041665628829</v>
      </c>
      <c r="F305" s="81">
        <f t="shared" ca="1" si="117"/>
        <v>40845.539789111303</v>
      </c>
      <c r="G305" s="81">
        <f t="shared" ca="1" si="117"/>
        <v>39841.034905686734</v>
      </c>
      <c r="H305" s="81">
        <f t="shared" ca="1" si="117"/>
        <v>39669.117130831728</v>
      </c>
      <c r="I305" s="81">
        <f t="shared" ca="1" si="117"/>
        <v>40207.894171409163</v>
      </c>
    </row>
    <row r="306" spans="1:9" ht="15" customHeight="1" x14ac:dyDescent="0.2">
      <c r="A306" s="3">
        <f t="shared" si="116"/>
        <v>2</v>
      </c>
      <c r="B306" s="70">
        <f t="shared" ca="1" si="117"/>
        <v>52208.592918375201</v>
      </c>
      <c r="C306" s="81">
        <f t="shared" ca="1" si="117"/>
        <v>48796.467525975888</v>
      </c>
      <c r="D306" s="81">
        <f t="shared" ca="1" si="117"/>
        <v>43711.323591902139</v>
      </c>
      <c r="E306" s="81">
        <f t="shared" ca="1" si="117"/>
        <v>42435.945110914421</v>
      </c>
      <c r="F306" s="81">
        <f t="shared" ca="1" si="117"/>
        <v>41667.381172778449</v>
      </c>
      <c r="G306" s="81">
        <f t="shared" ca="1" si="117"/>
        <v>40689.527326936019</v>
      </c>
      <c r="H306" s="81">
        <f t="shared" ca="1" si="117"/>
        <v>40464.015643613326</v>
      </c>
      <c r="I306" s="81">
        <f t="shared" ca="1" si="117"/>
        <v>41355.610075348108</v>
      </c>
    </row>
    <row r="307" spans="1:9" ht="15" customHeight="1" x14ac:dyDescent="0.2">
      <c r="A307" s="3">
        <f t="shared" si="116"/>
        <v>3</v>
      </c>
      <c r="B307" s="70">
        <f t="shared" ca="1" si="117"/>
        <v>52961.0936218727</v>
      </c>
      <c r="C307" s="81">
        <f t="shared" ca="1" si="117"/>
        <v>49589.468184155747</v>
      </c>
      <c r="D307" s="81">
        <f t="shared" ca="1" si="117"/>
        <v>44519.776445206953</v>
      </c>
      <c r="E307" s="81">
        <f t="shared" ca="1" si="117"/>
        <v>43237.54956515786</v>
      </c>
      <c r="F307" s="81">
        <f t="shared" ca="1" si="117"/>
        <v>42489.617003476385</v>
      </c>
      <c r="G307" s="81">
        <f t="shared" ca="1" si="117"/>
        <v>41542.153486036143</v>
      </c>
      <c r="H307" s="81">
        <f t="shared" ca="1" si="117"/>
        <v>41259.03545000813</v>
      </c>
      <c r="I307" s="81">
        <f t="shared" ca="1" si="117"/>
        <v>42517.577834252428</v>
      </c>
    </row>
    <row r="308" spans="1:9" ht="15" customHeight="1" x14ac:dyDescent="0.2">
      <c r="A308" s="3">
        <f t="shared" si="116"/>
        <v>4</v>
      </c>
      <c r="B308" s="70">
        <f t="shared" ca="1" si="117"/>
        <v>53690.2606329806</v>
      </c>
      <c r="C308" s="81">
        <f t="shared" ca="1" si="117"/>
        <v>50367.834546948448</v>
      </c>
      <c r="D308" s="81">
        <f t="shared" ca="1" si="117"/>
        <v>45322.967409029123</v>
      </c>
      <c r="E308" s="81">
        <f t="shared" ca="1" si="117"/>
        <v>44035.384863563304</v>
      </c>
      <c r="F308" s="81">
        <f t="shared" ca="1" si="117"/>
        <v>43310.96389075373</v>
      </c>
      <c r="G308" s="81">
        <f t="shared" ca="1" si="117"/>
        <v>42397.886494141188</v>
      </c>
      <c r="H308" s="81">
        <f t="shared" ca="1" si="117"/>
        <v>42052.914415884727</v>
      </c>
      <c r="I308" s="81">
        <f t="shared" ca="1" si="117"/>
        <v>43692.35334385882</v>
      </c>
    </row>
    <row r="309" spans="1:9" ht="15" customHeight="1" x14ac:dyDescent="0.2">
      <c r="A309" s="3">
        <f t="shared" si="116"/>
        <v>5</v>
      </c>
      <c r="B309" s="70">
        <f t="shared" ca="1" si="117"/>
        <v>54393.023255182125</v>
      </c>
      <c r="C309" s="81">
        <f t="shared" ca="1" si="117"/>
        <v>51129.127069669907</v>
      </c>
      <c r="D309" s="81">
        <f t="shared" ca="1" si="117"/>
        <v>46119.182007644726</v>
      </c>
      <c r="E309" s="81">
        <f t="shared" ca="1" si="117"/>
        <v>44827.866906536932</v>
      </c>
      <c r="F309" s="81">
        <f t="shared" ca="1" si="117"/>
        <v>44130.035141807675</v>
      </c>
      <c r="G309" s="81">
        <f t="shared" ca="1" si="117"/>
        <v>43255.610697316974</v>
      </c>
      <c r="H309" s="81">
        <f t="shared" ca="1" si="117"/>
        <v>42844.289242311454</v>
      </c>
      <c r="I309" s="81">
        <f t="shared" ca="1" si="117"/>
        <v>44878.312459840199</v>
      </c>
    </row>
    <row r="310" spans="1:9" ht="15" customHeight="1" x14ac:dyDescent="0.2">
      <c r="A310" s="3">
        <f t="shared" si="116"/>
        <v>6</v>
      </c>
      <c r="B310" s="70">
        <f t="shared" ca="1" si="117"/>
        <v>53484.325862466656</v>
      </c>
      <c r="C310" s="81">
        <f t="shared" ca="1" si="117"/>
        <v>50296.451203965844</v>
      </c>
      <c r="D310" s="81">
        <f t="shared" ca="1" si="117"/>
        <v>45526.713465035413</v>
      </c>
      <c r="E310" s="81">
        <f t="shared" ca="1" si="117"/>
        <v>44036.774814063232</v>
      </c>
      <c r="F310" s="81">
        <f t="shared" ca="1" si="117"/>
        <v>43390.11283638062</v>
      </c>
      <c r="G310" s="81">
        <f t="shared" ca="1" si="117"/>
        <v>42596.74478933333</v>
      </c>
      <c r="H310" s="81">
        <f t="shared" ca="1" si="117"/>
        <v>42153.492020872494</v>
      </c>
      <c r="I310" s="81">
        <f t="shared" ca="1" si="117"/>
        <v>44431.380474471443</v>
      </c>
    </row>
    <row r="311" spans="1:9" ht="15" customHeight="1" x14ac:dyDescent="0.2">
      <c r="A311" s="3">
        <f t="shared" si="116"/>
        <v>7</v>
      </c>
      <c r="B311" s="70">
        <f t="shared" ca="1" si="117"/>
        <v>52309.575362710704</v>
      </c>
      <c r="C311" s="81">
        <f t="shared" ca="1" si="117"/>
        <v>49218.376895337249</v>
      </c>
      <c r="D311" s="81">
        <f t="shared" ca="1" si="117"/>
        <v>44753.95963983296</v>
      </c>
      <c r="E311" s="81">
        <f t="shared" ca="1" si="117"/>
        <v>43074.812664771758</v>
      </c>
      <c r="F311" s="81">
        <f t="shared" ca="1" si="117"/>
        <v>42489.628613741967</v>
      </c>
      <c r="G311" s="81">
        <f t="shared" ca="1" si="117"/>
        <v>41782.31284821617</v>
      </c>
      <c r="H311" s="81">
        <f t="shared" ca="1" si="117"/>
        <v>41332.974532916931</v>
      </c>
      <c r="I311" s="81">
        <f t="shared" ca="1" si="117"/>
        <v>43750.255160264336</v>
      </c>
    </row>
    <row r="312" spans="1:9" ht="15" customHeight="1" x14ac:dyDescent="0.2">
      <c r="A312" s="3">
        <f t="shared" si="116"/>
        <v>8</v>
      </c>
      <c r="B312" s="70">
        <f t="shared" ca="1" si="117"/>
        <v>50882.322030321644</v>
      </c>
      <c r="C312" s="81">
        <f t="shared" ca="1" si="117"/>
        <v>47906.98575757831</v>
      </c>
      <c r="D312" s="81">
        <f t="shared" ca="1" si="117"/>
        <v>43807.110177642564</v>
      </c>
      <c r="E312" s="81">
        <f t="shared" ca="1" si="117"/>
        <v>41949.421751303584</v>
      </c>
      <c r="F312" s="81">
        <f t="shared" ca="1" si="117"/>
        <v>41434.860749559943</v>
      </c>
      <c r="G312" s="81">
        <f t="shared" ca="1" si="117"/>
        <v>40817.648992819959</v>
      </c>
      <c r="H312" s="81">
        <f t="shared" ca="1" si="117"/>
        <v>40386.742510053991</v>
      </c>
      <c r="I312" s="81">
        <f t="shared" ca="1" si="117"/>
        <v>42840.936974569617</v>
      </c>
    </row>
    <row r="313" spans="1:9" ht="15" customHeight="1" x14ac:dyDescent="0.2">
      <c r="A313" s="3">
        <f t="shared" si="116"/>
        <v>9</v>
      </c>
      <c r="B313" s="70">
        <f t="shared" ca="1" si="117"/>
        <v>49219.877390730355</v>
      </c>
      <c r="C313" s="81">
        <f t="shared" ca="1" si="117"/>
        <v>46377.765707773331</v>
      </c>
      <c r="D313" s="81">
        <f t="shared" ca="1" si="117"/>
        <v>42694.393485953886</v>
      </c>
      <c r="E313" s="81">
        <f t="shared" ca="1" si="117"/>
        <v>40669.911219606438</v>
      </c>
      <c r="F313" s="81">
        <f t="shared" ca="1" si="117"/>
        <v>40233.751173801385</v>
      </c>
      <c r="G313" s="81">
        <f t="shared" ca="1" si="117"/>
        <v>39709.668604411097</v>
      </c>
      <c r="H313" s="81">
        <f t="shared" ca="1" si="117"/>
        <v>39319.901928058651</v>
      </c>
      <c r="I313" s="81">
        <f t="shared" ca="1" si="117"/>
        <v>41712.924621822756</v>
      </c>
    </row>
    <row r="314" spans="1:9" ht="15" customHeight="1" x14ac:dyDescent="0.2">
      <c r="A314" s="3">
        <f t="shared" si="116"/>
        <v>10</v>
      </c>
      <c r="B314" s="70">
        <f t="shared" ca="1" si="117"/>
        <v>47342.980352383376</v>
      </c>
      <c r="C314" s="81">
        <f t="shared" ca="1" si="117"/>
        <v>44649.321001592041</v>
      </c>
      <c r="D314" s="81">
        <f t="shared" ca="1" si="117"/>
        <v>41425.969162047171</v>
      </c>
      <c r="E314" s="81">
        <f t="shared" ca="1" si="117"/>
        <v>39247.343293091442</v>
      </c>
      <c r="F314" s="81">
        <f t="shared" ca="1" si="117"/>
        <v>38895.818522465546</v>
      </c>
      <c r="G314" s="81">
        <f t="shared" ca="1" si="117"/>
        <v>38466.797199112974</v>
      </c>
      <c r="H314" s="81">
        <f t="shared" ca="1" si="117"/>
        <v>38138.625504044248</v>
      </c>
      <c r="I314" s="81">
        <f t="shared" ca="1" si="117"/>
        <v>40379.075818778438</v>
      </c>
    </row>
    <row r="315" spans="1:9" ht="15" customHeight="1" x14ac:dyDescent="0.2">
      <c r="C315" s="41"/>
      <c r="D315" s="41"/>
      <c r="E315" s="41"/>
      <c r="F315" s="41"/>
      <c r="G315" s="41"/>
      <c r="H315" s="41"/>
      <c r="I315" s="41"/>
    </row>
    <row r="316" spans="1:9" ht="15" customHeight="1" x14ac:dyDescent="0.2">
      <c r="C316" s="41"/>
      <c r="D316" s="41"/>
      <c r="E316" s="41"/>
      <c r="F316" s="41"/>
      <c r="G316" s="41"/>
      <c r="H316" s="41"/>
      <c r="I316" s="41"/>
    </row>
    <row r="317" spans="1:9" ht="15" customHeight="1" x14ac:dyDescent="0.2">
      <c r="A317" s="35" t="s">
        <v>396</v>
      </c>
      <c r="B317" s="87"/>
      <c r="C317" s="88"/>
      <c r="D317" s="88"/>
      <c r="E317" s="88"/>
      <c r="F317" s="88"/>
      <c r="G317" s="88"/>
      <c r="H317" s="88"/>
      <c r="I317" s="88"/>
    </row>
    <row r="318" spans="1:9" ht="15" customHeight="1" x14ac:dyDescent="0.2">
      <c r="A318" s="3">
        <f t="shared" ref="A318:A328" si="118">A304</f>
        <v>0</v>
      </c>
      <c r="B318" s="79">
        <f t="shared" ref="B318:I328" ca="1" si="119">IF($A318&gt;B$160,"",IF($A318=0,B$817,IF(AND($A318&gt;=1,$A318&lt;=B$161),OFFSET(B318,-1,0),OFFSET(B318,-1,0)+(B$151-OFFSET(B$318,B$161,0))/B$161)))</f>
        <v>0.26906916612798965</v>
      </c>
      <c r="C318" s="88">
        <f t="shared" ca="1" si="119"/>
        <v>0.26179554390563564</v>
      </c>
      <c r="D318" s="88">
        <f t="shared" ca="1" si="119"/>
        <v>0.26194211994421202</v>
      </c>
      <c r="E318" s="88">
        <f t="shared" ca="1" si="119"/>
        <v>0.2620963710886734</v>
      </c>
      <c r="F318" s="88">
        <f t="shared" ca="1" si="119"/>
        <v>0.2611</v>
      </c>
      <c r="G318" s="88">
        <f t="shared" ca="1" si="119"/>
        <v>0.26184425998080074</v>
      </c>
      <c r="H318" s="88">
        <f t="shared" ca="1" si="119"/>
        <v>0.26150000000000001</v>
      </c>
      <c r="I318" s="88">
        <f t="shared" ca="1" si="119"/>
        <v>0.2620963710886734</v>
      </c>
    </row>
    <row r="319" spans="1:9" ht="15" customHeight="1" x14ac:dyDescent="0.2">
      <c r="A319" s="3">
        <f t="shared" si="118"/>
        <v>1</v>
      </c>
      <c r="B319" s="79">
        <f t="shared" ca="1" si="119"/>
        <v>0.26906916612798965</v>
      </c>
      <c r="C319" s="88">
        <f t="shared" ca="1" si="119"/>
        <v>0.26179554390563564</v>
      </c>
      <c r="D319" s="88">
        <f t="shared" ca="1" si="119"/>
        <v>0.26194211994421202</v>
      </c>
      <c r="E319" s="88">
        <f t="shared" ca="1" si="119"/>
        <v>0.2620963710886734</v>
      </c>
      <c r="F319" s="88">
        <f t="shared" ca="1" si="119"/>
        <v>0.2611</v>
      </c>
      <c r="G319" s="88">
        <f t="shared" ca="1" si="119"/>
        <v>0.26184425998080074</v>
      </c>
      <c r="H319" s="88">
        <f t="shared" ca="1" si="119"/>
        <v>0.26150000000000001</v>
      </c>
      <c r="I319" s="88">
        <f t="shared" ca="1" si="119"/>
        <v>0.2620963710886734</v>
      </c>
    </row>
    <row r="320" spans="1:9" ht="15" customHeight="1" x14ac:dyDescent="0.2">
      <c r="A320" s="3">
        <f t="shared" si="118"/>
        <v>2</v>
      </c>
      <c r="B320" s="79">
        <f t="shared" ca="1" si="119"/>
        <v>0.26906916612798965</v>
      </c>
      <c r="C320" s="88">
        <f t="shared" ca="1" si="119"/>
        <v>0.26179554390563564</v>
      </c>
      <c r="D320" s="88">
        <f t="shared" ca="1" si="119"/>
        <v>0.26194211994421202</v>
      </c>
      <c r="E320" s="88">
        <f t="shared" ca="1" si="119"/>
        <v>0.2620963710886734</v>
      </c>
      <c r="F320" s="88">
        <f t="shared" ca="1" si="119"/>
        <v>0.2611</v>
      </c>
      <c r="G320" s="88">
        <f t="shared" ca="1" si="119"/>
        <v>0.26184425998080074</v>
      </c>
      <c r="H320" s="88">
        <f t="shared" ca="1" si="119"/>
        <v>0.26150000000000001</v>
      </c>
      <c r="I320" s="88">
        <f t="shared" ca="1" si="119"/>
        <v>0.2620963710886734</v>
      </c>
    </row>
    <row r="321" spans="1:9" ht="15" customHeight="1" x14ac:dyDescent="0.2">
      <c r="A321" s="3">
        <f t="shared" si="118"/>
        <v>3</v>
      </c>
      <c r="B321" s="79">
        <f t="shared" ca="1" si="119"/>
        <v>0.26906916612798965</v>
      </c>
      <c r="C321" s="88">
        <f t="shared" ca="1" si="119"/>
        <v>0.26179554390563564</v>
      </c>
      <c r="D321" s="88">
        <f t="shared" ca="1" si="119"/>
        <v>0.26194211994421202</v>
      </c>
      <c r="E321" s="88">
        <f t="shared" ca="1" si="119"/>
        <v>0.2620963710886734</v>
      </c>
      <c r="F321" s="88">
        <f t="shared" ca="1" si="119"/>
        <v>0.2611</v>
      </c>
      <c r="G321" s="88">
        <f t="shared" ca="1" si="119"/>
        <v>0.26184425998080074</v>
      </c>
      <c r="H321" s="88">
        <f t="shared" ca="1" si="119"/>
        <v>0.26150000000000001</v>
      </c>
      <c r="I321" s="88">
        <f t="shared" ca="1" si="119"/>
        <v>0.2620963710886734</v>
      </c>
    </row>
    <row r="322" spans="1:9" ht="15" customHeight="1" x14ac:dyDescent="0.2">
      <c r="A322" s="3">
        <f t="shared" si="118"/>
        <v>4</v>
      </c>
      <c r="B322" s="79">
        <f t="shared" ca="1" si="119"/>
        <v>0.26906916612798965</v>
      </c>
      <c r="C322" s="88">
        <f t="shared" ca="1" si="119"/>
        <v>0.26179554390563564</v>
      </c>
      <c r="D322" s="88">
        <f t="shared" ca="1" si="119"/>
        <v>0.26194211994421202</v>
      </c>
      <c r="E322" s="88">
        <f t="shared" ca="1" si="119"/>
        <v>0.2620963710886734</v>
      </c>
      <c r="F322" s="88">
        <f t="shared" ca="1" si="119"/>
        <v>0.2611</v>
      </c>
      <c r="G322" s="88">
        <f t="shared" ca="1" si="119"/>
        <v>0.26184425998080074</v>
      </c>
      <c r="H322" s="88">
        <f t="shared" ca="1" si="119"/>
        <v>0.26150000000000001</v>
      </c>
      <c r="I322" s="88">
        <f t="shared" ca="1" si="119"/>
        <v>0.2620963710886734</v>
      </c>
    </row>
    <row r="323" spans="1:9" ht="15" customHeight="1" x14ac:dyDescent="0.2">
      <c r="A323" s="3">
        <f t="shared" si="118"/>
        <v>5</v>
      </c>
      <c r="B323" s="79">
        <f t="shared" ca="1" si="119"/>
        <v>0.26906916612798965</v>
      </c>
      <c r="C323" s="88">
        <f t="shared" ca="1" si="119"/>
        <v>0.26179554390563564</v>
      </c>
      <c r="D323" s="88">
        <f t="shared" ca="1" si="119"/>
        <v>0.26194211994421202</v>
      </c>
      <c r="E323" s="88">
        <f t="shared" ca="1" si="119"/>
        <v>0.2620963710886734</v>
      </c>
      <c r="F323" s="88">
        <f t="shared" ca="1" si="119"/>
        <v>0.2611</v>
      </c>
      <c r="G323" s="88">
        <f t="shared" ca="1" si="119"/>
        <v>0.26184425998080074</v>
      </c>
      <c r="H323" s="88">
        <f t="shared" ca="1" si="119"/>
        <v>0.26150000000000001</v>
      </c>
      <c r="I323" s="88">
        <f t="shared" ca="1" si="119"/>
        <v>0.2620963710886734</v>
      </c>
    </row>
    <row r="324" spans="1:9" ht="15" customHeight="1" x14ac:dyDescent="0.2">
      <c r="A324" s="3">
        <f t="shared" si="118"/>
        <v>6</v>
      </c>
      <c r="B324" s="79">
        <f t="shared" ca="1" si="119"/>
        <v>0.28725533290239169</v>
      </c>
      <c r="C324" s="88">
        <f t="shared" ca="1" si="119"/>
        <v>0.2814364351245085</v>
      </c>
      <c r="D324" s="88">
        <f t="shared" ca="1" si="119"/>
        <v>0.28155369595536961</v>
      </c>
      <c r="E324" s="88">
        <f t="shared" ca="1" si="119"/>
        <v>0.28567709687093873</v>
      </c>
      <c r="F324" s="88">
        <f t="shared" ca="1" si="119"/>
        <v>0.28488000000000002</v>
      </c>
      <c r="G324" s="88">
        <f t="shared" ca="1" si="119"/>
        <v>0.28547540798464061</v>
      </c>
      <c r="H324" s="88">
        <f t="shared" ca="1" si="119"/>
        <v>0.28520000000000001</v>
      </c>
      <c r="I324" s="88">
        <f t="shared" ca="1" si="119"/>
        <v>0.28567709687093873</v>
      </c>
    </row>
    <row r="325" spans="1:9" ht="15" customHeight="1" x14ac:dyDescent="0.2">
      <c r="A325" s="3">
        <f t="shared" si="118"/>
        <v>7</v>
      </c>
      <c r="B325" s="79">
        <f t="shared" ca="1" si="119"/>
        <v>0.30544149967679374</v>
      </c>
      <c r="C325" s="88">
        <f t="shared" ca="1" si="119"/>
        <v>0.30107732634338136</v>
      </c>
      <c r="D325" s="88">
        <f t="shared" ca="1" si="119"/>
        <v>0.3011652719665272</v>
      </c>
      <c r="E325" s="88">
        <f t="shared" ca="1" si="119"/>
        <v>0.30925782265320406</v>
      </c>
      <c r="F325" s="88">
        <f t="shared" ca="1" si="119"/>
        <v>0.30866000000000005</v>
      </c>
      <c r="G325" s="88">
        <f t="shared" ca="1" si="119"/>
        <v>0.30910655598848047</v>
      </c>
      <c r="H325" s="88">
        <f t="shared" ca="1" si="119"/>
        <v>0.30890000000000001</v>
      </c>
      <c r="I325" s="88">
        <f t="shared" ca="1" si="119"/>
        <v>0.30925782265320406</v>
      </c>
    </row>
    <row r="326" spans="1:9" ht="15" customHeight="1" x14ac:dyDescent="0.2">
      <c r="A326" s="3">
        <f t="shared" si="118"/>
        <v>8</v>
      </c>
      <c r="B326" s="79">
        <f t="shared" ca="1" si="119"/>
        <v>0.32362766645119578</v>
      </c>
      <c r="C326" s="88">
        <f t="shared" ca="1" si="119"/>
        <v>0.32071821756225422</v>
      </c>
      <c r="D326" s="88">
        <f t="shared" ca="1" si="119"/>
        <v>0.3207768479776848</v>
      </c>
      <c r="E326" s="88">
        <f t="shared" ca="1" si="119"/>
        <v>0.33283854843546939</v>
      </c>
      <c r="F326" s="88">
        <f t="shared" ca="1" si="119"/>
        <v>0.33244000000000007</v>
      </c>
      <c r="G326" s="88">
        <f t="shared" ca="1" si="119"/>
        <v>0.33273770399232033</v>
      </c>
      <c r="H326" s="88">
        <f t="shared" ca="1" si="119"/>
        <v>0.33260000000000001</v>
      </c>
      <c r="I326" s="88">
        <f t="shared" ca="1" si="119"/>
        <v>0.33283854843546939</v>
      </c>
    </row>
    <row r="327" spans="1:9" ht="15" customHeight="1" x14ac:dyDescent="0.2">
      <c r="A327" s="3">
        <f t="shared" si="118"/>
        <v>9</v>
      </c>
      <c r="B327" s="79">
        <f t="shared" ca="1" si="119"/>
        <v>0.34181383322559783</v>
      </c>
      <c r="C327" s="88">
        <f t="shared" ca="1" si="119"/>
        <v>0.34035910878112707</v>
      </c>
      <c r="D327" s="88">
        <f t="shared" ca="1" si="119"/>
        <v>0.34038842398884239</v>
      </c>
      <c r="E327" s="88">
        <f t="shared" ca="1" si="119"/>
        <v>0.35641927421773473</v>
      </c>
      <c r="F327" s="88">
        <f t="shared" ca="1" si="119"/>
        <v>0.35622000000000009</v>
      </c>
      <c r="G327" s="88">
        <f t="shared" ca="1" si="119"/>
        <v>0.3563688519961602</v>
      </c>
      <c r="H327" s="88">
        <f t="shared" ca="1" si="119"/>
        <v>0.35630000000000001</v>
      </c>
      <c r="I327" s="88">
        <f t="shared" ca="1" si="119"/>
        <v>0.35641927421773473</v>
      </c>
    </row>
    <row r="328" spans="1:9" ht="15" customHeight="1" x14ac:dyDescent="0.2">
      <c r="A328" s="3">
        <f t="shared" si="118"/>
        <v>10</v>
      </c>
      <c r="B328" s="79">
        <f t="shared" ca="1" si="119"/>
        <v>0.35999999999999988</v>
      </c>
      <c r="C328" s="88">
        <f t="shared" ca="1" si="119"/>
        <v>0.35999999999999993</v>
      </c>
      <c r="D328" s="88">
        <f t="shared" ca="1" si="119"/>
        <v>0.36</v>
      </c>
      <c r="E328" s="88">
        <f t="shared" ca="1" si="119"/>
        <v>0.38000000000000006</v>
      </c>
      <c r="F328" s="88">
        <f t="shared" ca="1" si="119"/>
        <v>0.38000000000000012</v>
      </c>
      <c r="G328" s="88">
        <f t="shared" ca="1" si="119"/>
        <v>0.38000000000000006</v>
      </c>
      <c r="H328" s="88">
        <f t="shared" ca="1" si="119"/>
        <v>0.38</v>
      </c>
      <c r="I328" s="88">
        <f t="shared" ca="1" si="119"/>
        <v>0.38000000000000006</v>
      </c>
    </row>
    <row r="329" spans="1:9" ht="15" customHeight="1" x14ac:dyDescent="0.2">
      <c r="C329" s="41"/>
      <c r="D329" s="41"/>
      <c r="E329" s="41"/>
      <c r="F329" s="41"/>
      <c r="G329" s="41"/>
      <c r="H329" s="41"/>
      <c r="I329" s="41"/>
    </row>
    <row r="330" spans="1:9" ht="15" customHeight="1" x14ac:dyDescent="0.2">
      <c r="C330" s="41"/>
      <c r="D330" s="41"/>
      <c r="E330" s="41"/>
      <c r="F330" s="41"/>
      <c r="G330" s="41"/>
      <c r="H330" s="41"/>
      <c r="I330" s="41"/>
    </row>
    <row r="331" spans="1:9" ht="15" customHeight="1" x14ac:dyDescent="0.2">
      <c r="A331" s="35" t="str">
        <f>A152</f>
        <v>NOL</v>
      </c>
      <c r="B331" s="80"/>
      <c r="C331" s="81"/>
      <c r="D331" s="81"/>
      <c r="E331" s="81"/>
      <c r="F331" s="81"/>
      <c r="G331" s="81"/>
      <c r="H331" s="81"/>
      <c r="I331" s="81"/>
    </row>
    <row r="332" spans="1:9" ht="15" customHeight="1" x14ac:dyDescent="0.2">
      <c r="A332" s="3">
        <f t="shared" ref="A332:A342" si="120">A318</f>
        <v>0</v>
      </c>
      <c r="B332" s="70">
        <f t="shared" ref="B332:I342" ca="1" si="121">IF($A332&gt;B$160,"",IF($A332=0,B$816,IF(B346&lt;0,OFFSET(B332,-1,0)-B346,IF(OFFSET(B332,-1,0)&gt;B346,OFFSET(B332,-1,0)-B346,0))))</f>
        <v>0</v>
      </c>
      <c r="C332" s="81">
        <f t="shared" ca="1" si="121"/>
        <v>0</v>
      </c>
      <c r="D332" s="81">
        <f t="shared" ca="1" si="121"/>
        <v>0</v>
      </c>
      <c r="E332" s="81">
        <f t="shared" ca="1" si="121"/>
        <v>0</v>
      </c>
      <c r="F332" s="81">
        <f t="shared" ca="1" si="121"/>
        <v>0</v>
      </c>
      <c r="G332" s="81">
        <f t="shared" ca="1" si="121"/>
        <v>0</v>
      </c>
      <c r="H332" s="81">
        <f t="shared" ca="1" si="121"/>
        <v>0</v>
      </c>
      <c r="I332" s="81">
        <f t="shared" ca="1" si="121"/>
        <v>0</v>
      </c>
    </row>
    <row r="333" spans="1:9" ht="15" customHeight="1" x14ac:dyDescent="0.2">
      <c r="A333" s="3">
        <f t="shared" si="120"/>
        <v>1</v>
      </c>
      <c r="B333" s="70">
        <f t="shared" ca="1" si="121"/>
        <v>0</v>
      </c>
      <c r="C333" s="81">
        <f t="shared" ca="1" si="121"/>
        <v>0</v>
      </c>
      <c r="D333" s="81">
        <f t="shared" ca="1" si="121"/>
        <v>0</v>
      </c>
      <c r="E333" s="81">
        <f t="shared" ca="1" si="121"/>
        <v>0</v>
      </c>
      <c r="F333" s="81">
        <f t="shared" ca="1" si="121"/>
        <v>0</v>
      </c>
      <c r="G333" s="81">
        <f t="shared" ca="1" si="121"/>
        <v>0</v>
      </c>
      <c r="H333" s="81">
        <f t="shared" ca="1" si="121"/>
        <v>0</v>
      </c>
      <c r="I333" s="81">
        <f t="shared" ca="1" si="121"/>
        <v>0</v>
      </c>
    </row>
    <row r="334" spans="1:9" ht="15" customHeight="1" x14ac:dyDescent="0.2">
      <c r="A334" s="3">
        <f t="shared" si="120"/>
        <v>2</v>
      </c>
      <c r="B334" s="70">
        <f t="shared" ca="1" si="121"/>
        <v>0</v>
      </c>
      <c r="C334" s="81">
        <f t="shared" ca="1" si="121"/>
        <v>0</v>
      </c>
      <c r="D334" s="81">
        <f t="shared" ca="1" si="121"/>
        <v>0</v>
      </c>
      <c r="E334" s="81">
        <f t="shared" ca="1" si="121"/>
        <v>0</v>
      </c>
      <c r="F334" s="81">
        <f t="shared" ca="1" si="121"/>
        <v>0</v>
      </c>
      <c r="G334" s="81">
        <f t="shared" ca="1" si="121"/>
        <v>0</v>
      </c>
      <c r="H334" s="81">
        <f t="shared" ca="1" si="121"/>
        <v>0</v>
      </c>
      <c r="I334" s="81">
        <f t="shared" ca="1" si="121"/>
        <v>0</v>
      </c>
    </row>
    <row r="335" spans="1:9" ht="15" customHeight="1" x14ac:dyDescent="0.2">
      <c r="A335" s="3">
        <f t="shared" si="120"/>
        <v>3</v>
      </c>
      <c r="B335" s="70">
        <f t="shared" ca="1" si="121"/>
        <v>0</v>
      </c>
      <c r="C335" s="81">
        <f t="shared" ca="1" si="121"/>
        <v>0</v>
      </c>
      <c r="D335" s="81">
        <f t="shared" ca="1" si="121"/>
        <v>0</v>
      </c>
      <c r="E335" s="81">
        <f t="shared" ca="1" si="121"/>
        <v>0</v>
      </c>
      <c r="F335" s="81">
        <f t="shared" ca="1" si="121"/>
        <v>0</v>
      </c>
      <c r="G335" s="81">
        <f t="shared" ca="1" si="121"/>
        <v>0</v>
      </c>
      <c r="H335" s="81">
        <f t="shared" ca="1" si="121"/>
        <v>0</v>
      </c>
      <c r="I335" s="81">
        <f t="shared" ca="1" si="121"/>
        <v>0</v>
      </c>
    </row>
    <row r="336" spans="1:9" ht="15" customHeight="1" x14ac:dyDescent="0.2">
      <c r="A336" s="3">
        <f t="shared" si="120"/>
        <v>4</v>
      </c>
      <c r="B336" s="70">
        <f t="shared" ca="1" si="121"/>
        <v>0</v>
      </c>
      <c r="C336" s="81">
        <f t="shared" ca="1" si="121"/>
        <v>0</v>
      </c>
      <c r="D336" s="81">
        <f t="shared" ca="1" si="121"/>
        <v>0</v>
      </c>
      <c r="E336" s="81">
        <f t="shared" ca="1" si="121"/>
        <v>0</v>
      </c>
      <c r="F336" s="81">
        <f t="shared" ca="1" si="121"/>
        <v>0</v>
      </c>
      <c r="G336" s="81">
        <f t="shared" ca="1" si="121"/>
        <v>0</v>
      </c>
      <c r="H336" s="81">
        <f t="shared" ca="1" si="121"/>
        <v>0</v>
      </c>
      <c r="I336" s="81">
        <f t="shared" ca="1" si="121"/>
        <v>0</v>
      </c>
    </row>
    <row r="337" spans="1:9" ht="15" customHeight="1" x14ac:dyDescent="0.2">
      <c r="A337" s="3">
        <f t="shared" si="120"/>
        <v>5</v>
      </c>
      <c r="B337" s="70">
        <f t="shared" ca="1" si="121"/>
        <v>0</v>
      </c>
      <c r="C337" s="81">
        <f t="shared" ca="1" si="121"/>
        <v>0</v>
      </c>
      <c r="D337" s="81">
        <f t="shared" ca="1" si="121"/>
        <v>0</v>
      </c>
      <c r="E337" s="81">
        <f t="shared" ca="1" si="121"/>
        <v>0</v>
      </c>
      <c r="F337" s="81">
        <f t="shared" ca="1" si="121"/>
        <v>0</v>
      </c>
      <c r="G337" s="81">
        <f t="shared" ca="1" si="121"/>
        <v>0</v>
      </c>
      <c r="H337" s="81">
        <f t="shared" ca="1" si="121"/>
        <v>0</v>
      </c>
      <c r="I337" s="81">
        <f t="shared" ca="1" si="121"/>
        <v>0</v>
      </c>
    </row>
    <row r="338" spans="1:9" ht="15" customHeight="1" x14ac:dyDescent="0.2">
      <c r="A338" s="3">
        <f t="shared" si="120"/>
        <v>6</v>
      </c>
      <c r="B338" s="70">
        <f t="shared" ca="1" si="121"/>
        <v>0</v>
      </c>
      <c r="C338" s="81">
        <f t="shared" ca="1" si="121"/>
        <v>0</v>
      </c>
      <c r="D338" s="81">
        <f t="shared" ca="1" si="121"/>
        <v>0</v>
      </c>
      <c r="E338" s="81">
        <f t="shared" ca="1" si="121"/>
        <v>0</v>
      </c>
      <c r="F338" s="81">
        <f t="shared" ca="1" si="121"/>
        <v>0</v>
      </c>
      <c r="G338" s="81">
        <f t="shared" ca="1" si="121"/>
        <v>0</v>
      </c>
      <c r="H338" s="81">
        <f t="shared" ca="1" si="121"/>
        <v>0</v>
      </c>
      <c r="I338" s="81">
        <f t="shared" ca="1" si="121"/>
        <v>0</v>
      </c>
    </row>
    <row r="339" spans="1:9" ht="15" customHeight="1" x14ac:dyDescent="0.2">
      <c r="A339" s="3">
        <f t="shared" si="120"/>
        <v>7</v>
      </c>
      <c r="B339" s="70">
        <f t="shared" ca="1" si="121"/>
        <v>0</v>
      </c>
      <c r="C339" s="81">
        <f t="shared" ca="1" si="121"/>
        <v>0</v>
      </c>
      <c r="D339" s="81">
        <f t="shared" ca="1" si="121"/>
        <v>0</v>
      </c>
      <c r="E339" s="81">
        <f t="shared" ca="1" si="121"/>
        <v>0</v>
      </c>
      <c r="F339" s="81">
        <f t="shared" ca="1" si="121"/>
        <v>0</v>
      </c>
      <c r="G339" s="81">
        <f t="shared" ca="1" si="121"/>
        <v>0</v>
      </c>
      <c r="H339" s="81">
        <f t="shared" ca="1" si="121"/>
        <v>0</v>
      </c>
      <c r="I339" s="81">
        <f t="shared" ca="1" si="121"/>
        <v>0</v>
      </c>
    </row>
    <row r="340" spans="1:9" ht="15" customHeight="1" x14ac:dyDescent="0.2">
      <c r="A340" s="3">
        <f t="shared" si="120"/>
        <v>8</v>
      </c>
      <c r="B340" s="70">
        <f t="shared" ca="1" si="121"/>
        <v>0</v>
      </c>
      <c r="C340" s="81">
        <f t="shared" ca="1" si="121"/>
        <v>0</v>
      </c>
      <c r="D340" s="81">
        <f t="shared" ca="1" si="121"/>
        <v>0</v>
      </c>
      <c r="E340" s="81">
        <f t="shared" ca="1" si="121"/>
        <v>0</v>
      </c>
      <c r="F340" s="81">
        <f t="shared" ca="1" si="121"/>
        <v>0</v>
      </c>
      <c r="G340" s="81">
        <f t="shared" ca="1" si="121"/>
        <v>0</v>
      </c>
      <c r="H340" s="81">
        <f t="shared" ca="1" si="121"/>
        <v>0</v>
      </c>
      <c r="I340" s="81">
        <f t="shared" ca="1" si="121"/>
        <v>0</v>
      </c>
    </row>
    <row r="341" spans="1:9" ht="15" customHeight="1" x14ac:dyDescent="0.2">
      <c r="A341" s="3">
        <f t="shared" si="120"/>
        <v>9</v>
      </c>
      <c r="B341" s="70">
        <f t="shared" ca="1" si="121"/>
        <v>0</v>
      </c>
      <c r="C341" s="81">
        <f t="shared" ca="1" si="121"/>
        <v>0</v>
      </c>
      <c r="D341" s="81">
        <f t="shared" ca="1" si="121"/>
        <v>0</v>
      </c>
      <c r="E341" s="81">
        <f t="shared" ca="1" si="121"/>
        <v>0</v>
      </c>
      <c r="F341" s="81">
        <f t="shared" ca="1" si="121"/>
        <v>0</v>
      </c>
      <c r="G341" s="81">
        <f t="shared" ca="1" si="121"/>
        <v>0</v>
      </c>
      <c r="H341" s="81">
        <f t="shared" ca="1" si="121"/>
        <v>0</v>
      </c>
      <c r="I341" s="81">
        <f t="shared" ca="1" si="121"/>
        <v>0</v>
      </c>
    </row>
    <row r="342" spans="1:9" ht="15" customHeight="1" x14ac:dyDescent="0.2">
      <c r="A342" s="3">
        <f t="shared" si="120"/>
        <v>10</v>
      </c>
      <c r="B342" s="70">
        <f t="shared" ca="1" si="121"/>
        <v>0</v>
      </c>
      <c r="C342" s="81">
        <f t="shared" ca="1" si="121"/>
        <v>0</v>
      </c>
      <c r="D342" s="81">
        <f t="shared" ca="1" si="121"/>
        <v>0</v>
      </c>
      <c r="E342" s="81">
        <f t="shared" ca="1" si="121"/>
        <v>0</v>
      </c>
      <c r="F342" s="81">
        <f t="shared" ca="1" si="121"/>
        <v>0</v>
      </c>
      <c r="G342" s="81">
        <f t="shared" ca="1" si="121"/>
        <v>0</v>
      </c>
      <c r="H342" s="81">
        <f t="shared" ca="1" si="121"/>
        <v>0</v>
      </c>
      <c r="I342" s="81">
        <f t="shared" ca="1" si="121"/>
        <v>0</v>
      </c>
    </row>
    <row r="343" spans="1:9" ht="15" customHeight="1" x14ac:dyDescent="0.2">
      <c r="C343" s="41"/>
      <c r="D343" s="41"/>
      <c r="E343" s="41"/>
      <c r="F343" s="41"/>
      <c r="G343" s="41"/>
      <c r="H343" s="41"/>
      <c r="I343" s="41"/>
    </row>
    <row r="344" spans="1:9" ht="15" customHeight="1" x14ac:dyDescent="0.2">
      <c r="C344" s="41"/>
      <c r="D344" s="41"/>
      <c r="E344" s="41"/>
      <c r="F344" s="41"/>
      <c r="G344" s="41"/>
      <c r="H344" s="41"/>
      <c r="I344" s="41"/>
    </row>
    <row r="345" spans="1:9" ht="15" customHeight="1" x14ac:dyDescent="0.2">
      <c r="A345" s="35" t="str">
        <f>A153</f>
        <v>EBIT (Operating income)</v>
      </c>
      <c r="B345" s="80"/>
      <c r="C345" s="81"/>
      <c r="D345" s="81"/>
      <c r="E345" s="81"/>
      <c r="F345" s="81"/>
      <c r="G345" s="81"/>
      <c r="H345" s="81"/>
      <c r="I345" s="81"/>
    </row>
    <row r="346" spans="1:9" ht="15" customHeight="1" x14ac:dyDescent="0.2">
      <c r="A346" s="3">
        <f t="shared" ref="A346:A356" si="122">A332</f>
        <v>0</v>
      </c>
      <c r="B346" s="70">
        <f t="shared" ref="B346:I356" ca="1" si="123">IF($A346&gt;B$160,"",IF($A346=0,B$819+B$644+B$709,B360*B374))</f>
        <v>69288.222301913207</v>
      </c>
      <c r="C346" s="81">
        <f t="shared" ca="1" si="123"/>
        <v>63905.762144391803</v>
      </c>
      <c r="D346" s="81">
        <f t="shared" ca="1" si="123"/>
        <v>57021.12294759621</v>
      </c>
      <c r="E346" s="81">
        <f t="shared" ca="1" si="123"/>
        <v>55328.63680370614</v>
      </c>
      <c r="F346" s="81">
        <f t="shared" ca="1" si="123"/>
        <v>54168.735736349983</v>
      </c>
      <c r="G346" s="81">
        <f t="shared" ca="1" si="123"/>
        <v>52831.153927949868</v>
      </c>
      <c r="H346" s="81">
        <f t="shared" ca="1" si="123"/>
        <v>52641.173522258279</v>
      </c>
      <c r="I346" s="81">
        <f t="shared" ca="1" si="123"/>
        <v>52955.028433850719</v>
      </c>
    </row>
    <row r="347" spans="1:9" ht="15" customHeight="1" x14ac:dyDescent="0.2">
      <c r="A347" s="3">
        <f t="shared" si="122"/>
        <v>1</v>
      </c>
      <c r="B347" s="70">
        <f t="shared" ca="1" si="123"/>
        <v>70370.040074590754</v>
      </c>
      <c r="C347" s="81">
        <f t="shared" ca="1" si="123"/>
        <v>65010.593367150737</v>
      </c>
      <c r="D347" s="81">
        <f t="shared" ca="1" si="123"/>
        <v>58124.441078950054</v>
      </c>
      <c r="E347" s="81">
        <f t="shared" ca="1" si="123"/>
        <v>56419.348048268948</v>
      </c>
      <c r="F347" s="81">
        <f t="shared" ca="1" si="123"/>
        <v>55278.846649223582</v>
      </c>
      <c r="G347" s="81">
        <f t="shared" ca="1" si="123"/>
        <v>53973.752076561075</v>
      </c>
      <c r="H347" s="81">
        <f t="shared" ca="1" si="123"/>
        <v>53715.79841683375</v>
      </c>
      <c r="I347" s="81">
        <f t="shared" ca="1" si="123"/>
        <v>54489.356869988937</v>
      </c>
    </row>
    <row r="348" spans="1:9" ht="15" customHeight="1" x14ac:dyDescent="0.2">
      <c r="A348" s="3">
        <f t="shared" si="122"/>
        <v>2</v>
      </c>
      <c r="B348" s="70">
        <f t="shared" ca="1" si="123"/>
        <v>71427.542113399453</v>
      </c>
      <c r="C348" s="81">
        <f t="shared" ca="1" si="123"/>
        <v>66101.561868299337</v>
      </c>
      <c r="D348" s="81">
        <f t="shared" ca="1" si="123"/>
        <v>59224.79086409606</v>
      </c>
      <c r="E348" s="81">
        <f t="shared" ca="1" si="123"/>
        <v>57508.790373510848</v>
      </c>
      <c r="F348" s="81">
        <f t="shared" ca="1" si="123"/>
        <v>56391.096457948908</v>
      </c>
      <c r="G348" s="81">
        <f t="shared" ca="1" si="123"/>
        <v>55123.228230776469</v>
      </c>
      <c r="H348" s="81">
        <f t="shared" ca="1" si="123"/>
        <v>54792.167425339649</v>
      </c>
      <c r="I348" s="81">
        <f t="shared" ca="1" si="123"/>
        <v>56044.730578656345</v>
      </c>
    </row>
    <row r="349" spans="1:9" ht="15" customHeight="1" x14ac:dyDescent="0.2">
      <c r="A349" s="3">
        <f t="shared" si="122"/>
        <v>3</v>
      </c>
      <c r="B349" s="70">
        <f t="shared" ca="1" si="123"/>
        <v>72457.052251193512</v>
      </c>
      <c r="C349" s="81">
        <f t="shared" ca="1" si="123"/>
        <v>67175.790900152395</v>
      </c>
      <c r="D349" s="81">
        <f t="shared" ca="1" si="123"/>
        <v>60320.169526327409</v>
      </c>
      <c r="E349" s="81">
        <f t="shared" ca="1" si="123"/>
        <v>58595.117127894882</v>
      </c>
      <c r="F349" s="81">
        <f t="shared" ca="1" si="123"/>
        <v>57503.880096733505</v>
      </c>
      <c r="G349" s="81">
        <f t="shared" ca="1" si="123"/>
        <v>56278.304474006589</v>
      </c>
      <c r="H349" s="81">
        <f t="shared" ca="1" si="123"/>
        <v>55868.700677059074</v>
      </c>
      <c r="I349" s="81">
        <f t="shared" ca="1" si="123"/>
        <v>57619.41826601552</v>
      </c>
    </row>
    <row r="350" spans="1:9" ht="15" customHeight="1" x14ac:dyDescent="0.2">
      <c r="A350" s="3">
        <f t="shared" si="122"/>
        <v>4</v>
      </c>
      <c r="B350" s="70">
        <f t="shared" ca="1" si="123"/>
        <v>73454.639132629658</v>
      </c>
      <c r="C350" s="81">
        <f t="shared" ca="1" si="123"/>
        <v>68230.195755564433</v>
      </c>
      <c r="D350" s="81">
        <f t="shared" ca="1" si="123"/>
        <v>61408.418816154735</v>
      </c>
      <c r="E350" s="81">
        <f t="shared" ca="1" si="123"/>
        <v>59676.335958032003</v>
      </c>
      <c r="F350" s="81">
        <f t="shared" ca="1" si="123"/>
        <v>58615.460672288173</v>
      </c>
      <c r="G350" s="81">
        <f t="shared" ca="1" si="123"/>
        <v>57437.589651525879</v>
      </c>
      <c r="H350" s="81">
        <f t="shared" ca="1" si="123"/>
        <v>56943.689121035517</v>
      </c>
      <c r="I350" s="81">
        <f t="shared" ca="1" si="123"/>
        <v>59211.462895663979</v>
      </c>
    </row>
    <row r="351" spans="1:9" ht="15" customHeight="1" x14ac:dyDescent="0.2">
      <c r="A351" s="3">
        <f t="shared" si="122"/>
        <v>5</v>
      </c>
      <c r="B351" s="70">
        <f t="shared" ca="1" si="123"/>
        <v>74416.101680978769</v>
      </c>
      <c r="C351" s="81">
        <f t="shared" ca="1" si="123"/>
        <v>69261.471733969171</v>
      </c>
      <c r="D351" s="81">
        <f t="shared" ca="1" si="123"/>
        <v>62487.215777926103</v>
      </c>
      <c r="E351" s="81">
        <f t="shared" ca="1" si="123"/>
        <v>60750.30010717547</v>
      </c>
      <c r="F351" s="81">
        <f t="shared" ca="1" si="123"/>
        <v>59723.961485732412</v>
      </c>
      <c r="G351" s="81">
        <f t="shared" ca="1" si="123"/>
        <v>58599.572356088305</v>
      </c>
      <c r="H351" s="81">
        <f t="shared" ca="1" si="123"/>
        <v>58015.286719446784</v>
      </c>
      <c r="I351" s="81">
        <f t="shared" ca="1" si="123"/>
        <v>60818.663442612225</v>
      </c>
    </row>
    <row r="352" spans="1:9" ht="15" customHeight="1" x14ac:dyDescent="0.2">
      <c r="A352" s="3">
        <f t="shared" si="122"/>
        <v>6</v>
      </c>
      <c r="B352" s="70">
        <f t="shared" ca="1" si="123"/>
        <v>75039.952358061113</v>
      </c>
      <c r="C352" s="81">
        <f t="shared" ca="1" si="123"/>
        <v>69995.827317908785</v>
      </c>
      <c r="D352" s="81">
        <f t="shared" ca="1" si="123"/>
        <v>63368.289611532702</v>
      </c>
      <c r="E352" s="81">
        <f t="shared" ca="1" si="123"/>
        <v>61648.275060427164</v>
      </c>
      <c r="F352" s="81">
        <f t="shared" ca="1" si="123"/>
        <v>60675.289233108604</v>
      </c>
      <c r="G352" s="81">
        <f t="shared" ca="1" si="123"/>
        <v>59615.505561798316</v>
      </c>
      <c r="H352" s="81">
        <f t="shared" ca="1" si="123"/>
        <v>58972.428680571487</v>
      </c>
      <c r="I352" s="81">
        <f t="shared" ca="1" si="123"/>
        <v>62200.694223637045</v>
      </c>
    </row>
    <row r="353" spans="1:9" ht="15" customHeight="1" x14ac:dyDescent="0.2">
      <c r="A353" s="3">
        <f t="shared" si="122"/>
        <v>7</v>
      </c>
      <c r="B353" s="70">
        <f t="shared" ca="1" si="123"/>
        <v>75313.419011312842</v>
      </c>
      <c r="C353" s="81">
        <f t="shared" ca="1" si="123"/>
        <v>70420.346556847129</v>
      </c>
      <c r="D353" s="81">
        <f t="shared" ca="1" si="123"/>
        <v>64040.835185410724</v>
      </c>
      <c r="E353" s="81">
        <f t="shared" ca="1" si="123"/>
        <v>62360.188906121337</v>
      </c>
      <c r="F353" s="81">
        <f t="shared" ca="1" si="123"/>
        <v>61459.815161486345</v>
      </c>
      <c r="G353" s="81">
        <f t="shared" ca="1" si="123"/>
        <v>60475.769759250346</v>
      </c>
      <c r="H353" s="81">
        <f t="shared" ca="1" si="123"/>
        <v>59807.516326026525</v>
      </c>
      <c r="I353" s="81">
        <f t="shared" ca="1" si="123"/>
        <v>63338.03927872637</v>
      </c>
    </row>
    <row r="354" spans="1:9" ht="15" customHeight="1" x14ac:dyDescent="0.2">
      <c r="A354" s="3">
        <f t="shared" si="122"/>
        <v>8</v>
      </c>
      <c r="B354" s="70">
        <f t="shared" ca="1" si="123"/>
        <v>75228.272220052575</v>
      </c>
      <c r="C354" s="81">
        <f t="shared" ca="1" si="123"/>
        <v>70525.939302617538</v>
      </c>
      <c r="D354" s="81">
        <f t="shared" ca="1" si="123"/>
        <v>64495.902483906095</v>
      </c>
      <c r="E354" s="81">
        <f t="shared" ca="1" si="123"/>
        <v>62877.466395772513</v>
      </c>
      <c r="F354" s="81">
        <f t="shared" ca="1" si="123"/>
        <v>62069.118505542487</v>
      </c>
      <c r="G354" s="81">
        <f t="shared" ca="1" si="123"/>
        <v>61171.819893072723</v>
      </c>
      <c r="H354" s="81">
        <f t="shared" ca="1" si="123"/>
        <v>60513.548861333518</v>
      </c>
      <c r="I354" s="81">
        <f t="shared" ca="1" si="123"/>
        <v>64213.747473127005</v>
      </c>
    </row>
    <row r="355" spans="1:9" ht="15" customHeight="1" x14ac:dyDescent="0.2">
      <c r="A355" s="3">
        <f t="shared" si="122"/>
        <v>9</v>
      </c>
      <c r="B355" s="70">
        <f t="shared" ca="1" si="123"/>
        <v>74781.08759402232</v>
      </c>
      <c r="C355" s="81">
        <f t="shared" ca="1" si="123"/>
        <v>70307.59664107133</v>
      </c>
      <c r="D355" s="81">
        <f t="shared" ca="1" si="123"/>
        <v>64726.567935841827</v>
      </c>
      <c r="E355" s="81">
        <f t="shared" ca="1" si="123"/>
        <v>63193.177779170757</v>
      </c>
      <c r="F355" s="81">
        <f t="shared" ca="1" si="123"/>
        <v>62496.118509120177</v>
      </c>
      <c r="G355" s="81">
        <f t="shared" ca="1" si="123"/>
        <v>61696.312752368838</v>
      </c>
      <c r="H355" s="81">
        <f t="shared" ca="1" si="123"/>
        <v>61084.203709893816</v>
      </c>
      <c r="I355" s="81">
        <f t="shared" ca="1" si="123"/>
        <v>64813.818920883867</v>
      </c>
    </row>
    <row r="356" spans="1:9" ht="15" customHeight="1" x14ac:dyDescent="0.2">
      <c r="A356" s="3">
        <f t="shared" si="122"/>
        <v>10</v>
      </c>
      <c r="B356" s="70">
        <f t="shared" ca="1" si="123"/>
        <v>73973.406800599012</v>
      </c>
      <c r="C356" s="81">
        <f t="shared" ca="1" si="123"/>
        <v>69764.564064987557</v>
      </c>
      <c r="D356" s="81">
        <f t="shared" ca="1" si="123"/>
        <v>64728.076815698711</v>
      </c>
      <c r="E356" s="81">
        <f t="shared" ca="1" si="123"/>
        <v>63302.1666017604</v>
      </c>
      <c r="F356" s="81">
        <f t="shared" ca="1" si="123"/>
        <v>62735.191165267017</v>
      </c>
      <c r="G356" s="81">
        <f t="shared" ca="1" si="123"/>
        <v>62043.221288891902</v>
      </c>
      <c r="H356" s="81">
        <f t="shared" ca="1" si="123"/>
        <v>61513.912103297182</v>
      </c>
      <c r="I356" s="81">
        <f t="shared" ca="1" si="123"/>
        <v>65127.541643191042</v>
      </c>
    </row>
    <row r="357" spans="1:9" ht="15" customHeight="1" x14ac:dyDescent="0.2">
      <c r="C357" s="41"/>
      <c r="D357" s="41"/>
      <c r="E357" s="41"/>
      <c r="F357" s="41"/>
      <c r="G357" s="41"/>
      <c r="H357" s="41"/>
      <c r="I357" s="41"/>
    </row>
    <row r="358" spans="1:9" ht="15" customHeight="1" x14ac:dyDescent="0.2">
      <c r="C358" s="41"/>
      <c r="D358" s="41"/>
      <c r="E358" s="41"/>
      <c r="F358" s="41"/>
      <c r="G358" s="41"/>
      <c r="H358" s="41"/>
      <c r="I358" s="41"/>
    </row>
    <row r="359" spans="1:9" ht="15" customHeight="1" x14ac:dyDescent="0.2">
      <c r="A359" s="35" t="s">
        <v>394</v>
      </c>
      <c r="B359" s="87"/>
      <c r="C359" s="88"/>
      <c r="D359" s="88"/>
      <c r="E359" s="88"/>
      <c r="F359" s="88"/>
      <c r="G359" s="88"/>
      <c r="H359" s="88"/>
      <c r="I359" s="88"/>
    </row>
    <row r="360" spans="1:9" ht="15" customHeight="1" x14ac:dyDescent="0.2">
      <c r="A360" s="3">
        <f t="shared" ref="A360:A370" si="124">A346</f>
        <v>0</v>
      </c>
      <c r="B360" s="79">
        <f t="shared" ref="B360:I370" ca="1" si="125">IF($A360&gt;B$160,"",IF($A360=0,B$346/B$374,B$810-((B$810-B$360)/B$160)*(B$160-$A360)))</f>
        <v>0.32657860099693259</v>
      </c>
      <c r="C360" s="88">
        <f t="shared" ca="1" si="125"/>
        <v>0.31984865938134038</v>
      </c>
      <c r="D360" s="88">
        <f t="shared" ca="1" si="125"/>
        <v>0.31194027707320338</v>
      </c>
      <c r="E360" s="88">
        <f t="shared" ca="1" si="125"/>
        <v>0.31058377943521048</v>
      </c>
      <c r="F360" s="88">
        <f t="shared" ca="1" si="125"/>
        <v>0.30771571412702009</v>
      </c>
      <c r="G360" s="88">
        <f t="shared" ca="1" si="125"/>
        <v>0.30364128194370932</v>
      </c>
      <c r="H360" s="88">
        <f t="shared" ca="1" si="125"/>
        <v>0.30800522802795788</v>
      </c>
      <c r="I360" s="88">
        <f t="shared" ca="1" si="125"/>
        <v>0.31259609238182523</v>
      </c>
    </row>
    <row r="361" spans="1:9" ht="15" customHeight="1" x14ac:dyDescent="0.2">
      <c r="A361" s="3">
        <f t="shared" si="124"/>
        <v>1</v>
      </c>
      <c r="B361" s="79">
        <f t="shared" ca="1" si="125"/>
        <v>0.31892074089723932</v>
      </c>
      <c r="C361" s="88">
        <f t="shared" ca="1" si="125"/>
        <v>0.31286379344320636</v>
      </c>
      <c r="D361" s="88">
        <f t="shared" ca="1" si="125"/>
        <v>0.30574624936588302</v>
      </c>
      <c r="E361" s="88">
        <f t="shared" ca="1" si="125"/>
        <v>0.30452540149168944</v>
      </c>
      <c r="F361" s="88">
        <f t="shared" ca="1" si="125"/>
        <v>0.30194414271431808</v>
      </c>
      <c r="G361" s="88">
        <f t="shared" ca="1" si="125"/>
        <v>0.29827715374933839</v>
      </c>
      <c r="H361" s="88">
        <f t="shared" ca="1" si="125"/>
        <v>0.30220470522516207</v>
      </c>
      <c r="I361" s="88">
        <f t="shared" ca="1" si="125"/>
        <v>0.3063364831436427</v>
      </c>
    </row>
    <row r="362" spans="1:9" ht="15" customHeight="1" x14ac:dyDescent="0.2">
      <c r="A362" s="3">
        <f t="shared" si="124"/>
        <v>2</v>
      </c>
      <c r="B362" s="79">
        <f t="shared" ca="1" si="125"/>
        <v>0.31126288079754605</v>
      </c>
      <c r="C362" s="88">
        <f t="shared" ca="1" si="125"/>
        <v>0.30587892750507228</v>
      </c>
      <c r="D362" s="88">
        <f t="shared" ca="1" si="125"/>
        <v>0.29955222165856271</v>
      </c>
      <c r="E362" s="88">
        <f t="shared" ca="1" si="125"/>
        <v>0.2984670235481684</v>
      </c>
      <c r="F362" s="88">
        <f t="shared" ca="1" si="125"/>
        <v>0.29617257130161606</v>
      </c>
      <c r="G362" s="88">
        <f t="shared" ca="1" si="125"/>
        <v>0.29291302555496745</v>
      </c>
      <c r="H362" s="88">
        <f t="shared" ca="1" si="125"/>
        <v>0.29640418242236632</v>
      </c>
      <c r="I362" s="88">
        <f t="shared" ca="1" si="125"/>
        <v>0.30007687390546017</v>
      </c>
    </row>
    <row r="363" spans="1:9" ht="15" customHeight="1" x14ac:dyDescent="0.2">
      <c r="A363" s="3">
        <f t="shared" si="124"/>
        <v>3</v>
      </c>
      <c r="B363" s="79">
        <f t="shared" ca="1" si="125"/>
        <v>0.30360502069785283</v>
      </c>
      <c r="C363" s="88">
        <f t="shared" ca="1" si="125"/>
        <v>0.29889406156693826</v>
      </c>
      <c r="D363" s="88">
        <f t="shared" ca="1" si="125"/>
        <v>0.29335819395124235</v>
      </c>
      <c r="E363" s="88">
        <f t="shared" ca="1" si="125"/>
        <v>0.29240864560464735</v>
      </c>
      <c r="F363" s="88">
        <f t="shared" ca="1" si="125"/>
        <v>0.29040099988891405</v>
      </c>
      <c r="G363" s="88">
        <f t="shared" ca="1" si="125"/>
        <v>0.28754889736059652</v>
      </c>
      <c r="H363" s="88">
        <f t="shared" ca="1" si="125"/>
        <v>0.29060365961957052</v>
      </c>
      <c r="I363" s="88">
        <f t="shared" ca="1" si="125"/>
        <v>0.29381726466727764</v>
      </c>
    </row>
    <row r="364" spans="1:9" ht="15" customHeight="1" x14ac:dyDescent="0.2">
      <c r="A364" s="3">
        <f t="shared" si="124"/>
        <v>4</v>
      </c>
      <c r="B364" s="79">
        <f t="shared" ca="1" si="125"/>
        <v>0.29594716059815956</v>
      </c>
      <c r="C364" s="88">
        <f t="shared" ca="1" si="125"/>
        <v>0.29190919562880424</v>
      </c>
      <c r="D364" s="88">
        <f t="shared" ca="1" si="125"/>
        <v>0.28716416624392205</v>
      </c>
      <c r="E364" s="88">
        <f t="shared" ca="1" si="125"/>
        <v>0.28635026766112626</v>
      </c>
      <c r="F364" s="88">
        <f t="shared" ca="1" si="125"/>
        <v>0.28462942847621209</v>
      </c>
      <c r="G364" s="88">
        <f t="shared" ca="1" si="125"/>
        <v>0.28218476916622559</v>
      </c>
      <c r="H364" s="88">
        <f t="shared" ca="1" si="125"/>
        <v>0.28480313681677472</v>
      </c>
      <c r="I364" s="88">
        <f t="shared" ca="1" si="125"/>
        <v>0.28755765542909517</v>
      </c>
    </row>
    <row r="365" spans="1:9" ht="15" customHeight="1" x14ac:dyDescent="0.2">
      <c r="A365" s="3">
        <f t="shared" si="124"/>
        <v>5</v>
      </c>
      <c r="B365" s="79">
        <f t="shared" ca="1" si="125"/>
        <v>0.28828930049846629</v>
      </c>
      <c r="C365" s="88">
        <f t="shared" ca="1" si="125"/>
        <v>0.28492432969067016</v>
      </c>
      <c r="D365" s="88">
        <f t="shared" ca="1" si="125"/>
        <v>0.28097013853660169</v>
      </c>
      <c r="E365" s="88">
        <f t="shared" ca="1" si="125"/>
        <v>0.28029188971760521</v>
      </c>
      <c r="F365" s="88">
        <f t="shared" ca="1" si="125"/>
        <v>0.27885785706351007</v>
      </c>
      <c r="G365" s="88">
        <f t="shared" ca="1" si="125"/>
        <v>0.27682064097185466</v>
      </c>
      <c r="H365" s="88">
        <f t="shared" ca="1" si="125"/>
        <v>0.27900261401397897</v>
      </c>
      <c r="I365" s="88">
        <f t="shared" ca="1" si="125"/>
        <v>0.28129804619091259</v>
      </c>
    </row>
    <row r="366" spans="1:9" ht="15" customHeight="1" x14ac:dyDescent="0.2">
      <c r="A366" s="3">
        <f t="shared" si="124"/>
        <v>6</v>
      </c>
      <c r="B366" s="79">
        <f t="shared" ca="1" si="125"/>
        <v>0.28063144039877302</v>
      </c>
      <c r="C366" s="88">
        <f t="shared" ca="1" si="125"/>
        <v>0.27793946375253614</v>
      </c>
      <c r="D366" s="88">
        <f t="shared" ca="1" si="125"/>
        <v>0.27477611082928133</v>
      </c>
      <c r="E366" s="88">
        <f t="shared" ca="1" si="125"/>
        <v>0.27423351177408417</v>
      </c>
      <c r="F366" s="88">
        <f t="shared" ca="1" si="125"/>
        <v>0.27308628565080806</v>
      </c>
      <c r="G366" s="88">
        <f t="shared" ca="1" si="125"/>
        <v>0.27145651277748373</v>
      </c>
      <c r="H366" s="88">
        <f t="shared" ca="1" si="125"/>
        <v>0.27320209121118316</v>
      </c>
      <c r="I366" s="88">
        <f t="shared" ca="1" si="125"/>
        <v>0.27503843695273011</v>
      </c>
    </row>
    <row r="367" spans="1:9" ht="15" customHeight="1" x14ac:dyDescent="0.2">
      <c r="A367" s="3">
        <f t="shared" si="124"/>
        <v>7</v>
      </c>
      <c r="B367" s="79">
        <f t="shared" ca="1" si="125"/>
        <v>0.27297358029907975</v>
      </c>
      <c r="C367" s="88">
        <f t="shared" ca="1" si="125"/>
        <v>0.27095459781440212</v>
      </c>
      <c r="D367" s="88">
        <f t="shared" ca="1" si="125"/>
        <v>0.26858208312196102</v>
      </c>
      <c r="E367" s="88">
        <f t="shared" ca="1" si="125"/>
        <v>0.26817513383056313</v>
      </c>
      <c r="F367" s="88">
        <f t="shared" ca="1" si="125"/>
        <v>0.26731471423810604</v>
      </c>
      <c r="G367" s="88">
        <f t="shared" ca="1" si="125"/>
        <v>0.2660923845831128</v>
      </c>
      <c r="H367" s="88">
        <f t="shared" ca="1" si="125"/>
        <v>0.26740156840838736</v>
      </c>
      <c r="I367" s="88">
        <f t="shared" ca="1" si="125"/>
        <v>0.26877882771454759</v>
      </c>
    </row>
    <row r="368" spans="1:9" ht="15" customHeight="1" x14ac:dyDescent="0.2">
      <c r="A368" s="3">
        <f t="shared" si="124"/>
        <v>8</v>
      </c>
      <c r="B368" s="79">
        <f t="shared" ca="1" si="125"/>
        <v>0.26531572019938654</v>
      </c>
      <c r="C368" s="88">
        <f t="shared" ca="1" si="125"/>
        <v>0.2639697318762681</v>
      </c>
      <c r="D368" s="88">
        <f t="shared" ca="1" si="125"/>
        <v>0.26238805541464066</v>
      </c>
      <c r="E368" s="88">
        <f t="shared" ca="1" si="125"/>
        <v>0.26211675588704209</v>
      </c>
      <c r="F368" s="88">
        <f t="shared" ca="1" si="125"/>
        <v>0.26154314282540403</v>
      </c>
      <c r="G368" s="88">
        <f t="shared" ca="1" si="125"/>
        <v>0.26072825638874186</v>
      </c>
      <c r="H368" s="88">
        <f t="shared" ca="1" si="125"/>
        <v>0.26160104560559155</v>
      </c>
      <c r="I368" s="88">
        <f t="shared" ca="1" si="125"/>
        <v>0.26251921847636506</v>
      </c>
    </row>
    <row r="369" spans="1:9" ht="15" customHeight="1" x14ac:dyDescent="0.2">
      <c r="A369" s="3">
        <f t="shared" si="124"/>
        <v>9</v>
      </c>
      <c r="B369" s="79">
        <f t="shared" ca="1" si="125"/>
        <v>0.25765786009969327</v>
      </c>
      <c r="C369" s="88">
        <f t="shared" ca="1" si="125"/>
        <v>0.25698486593813402</v>
      </c>
      <c r="D369" s="88">
        <f t="shared" ca="1" si="125"/>
        <v>0.25619402770732036</v>
      </c>
      <c r="E369" s="88">
        <f t="shared" ca="1" si="125"/>
        <v>0.25605837794352104</v>
      </c>
      <c r="F369" s="88">
        <f t="shared" ca="1" si="125"/>
        <v>0.25577157141270201</v>
      </c>
      <c r="G369" s="88">
        <f t="shared" ca="1" si="125"/>
        <v>0.25536412819437093</v>
      </c>
      <c r="H369" s="88">
        <f t="shared" ca="1" si="125"/>
        <v>0.2558005228027958</v>
      </c>
      <c r="I369" s="88">
        <f t="shared" ca="1" si="125"/>
        <v>0.25625960923818253</v>
      </c>
    </row>
    <row r="370" spans="1:9" ht="15" customHeight="1" x14ac:dyDescent="0.2">
      <c r="A370" s="3">
        <f t="shared" si="124"/>
        <v>10</v>
      </c>
      <c r="B370" s="79">
        <f t="shared" ca="1" si="125"/>
        <v>0.25</v>
      </c>
      <c r="C370" s="88">
        <f t="shared" ca="1" si="125"/>
        <v>0.25</v>
      </c>
      <c r="D370" s="88">
        <f t="shared" ca="1" si="125"/>
        <v>0.25</v>
      </c>
      <c r="E370" s="88">
        <f t="shared" ca="1" si="125"/>
        <v>0.25</v>
      </c>
      <c r="F370" s="88">
        <f t="shared" ca="1" si="125"/>
        <v>0.25</v>
      </c>
      <c r="G370" s="88">
        <f t="shared" ca="1" si="125"/>
        <v>0.25</v>
      </c>
      <c r="H370" s="88">
        <f t="shared" ca="1" si="125"/>
        <v>0.25</v>
      </c>
      <c r="I370" s="88">
        <f t="shared" ca="1" si="125"/>
        <v>0.25</v>
      </c>
    </row>
    <row r="371" spans="1:9" ht="15" customHeight="1" x14ac:dyDescent="0.2">
      <c r="C371" s="41"/>
      <c r="D371" s="41"/>
      <c r="E371" s="41"/>
      <c r="F371" s="41"/>
      <c r="G371" s="41"/>
      <c r="H371" s="41"/>
      <c r="I371" s="41"/>
    </row>
    <row r="372" spans="1:9" ht="15" customHeight="1" x14ac:dyDescent="0.2">
      <c r="C372" s="41"/>
      <c r="D372" s="41"/>
      <c r="E372" s="41"/>
      <c r="F372" s="41"/>
      <c r="G372" s="41"/>
      <c r="H372" s="41"/>
      <c r="I372" s="41"/>
    </row>
    <row r="373" spans="1:9" ht="15" customHeight="1" x14ac:dyDescent="0.2">
      <c r="A373" s="35" t="str">
        <f>A155</f>
        <v>Revenues</v>
      </c>
      <c r="B373" s="80"/>
      <c r="C373" s="81"/>
      <c r="D373" s="81"/>
      <c r="E373" s="81"/>
      <c r="F373" s="81"/>
      <c r="G373" s="81"/>
      <c r="H373" s="81"/>
      <c r="I373" s="81"/>
    </row>
    <row r="374" spans="1:9" ht="15" customHeight="1" x14ac:dyDescent="0.2">
      <c r="A374" s="3">
        <f t="shared" ref="A374:A384" si="126">A360</f>
        <v>0</v>
      </c>
      <c r="B374" s="70">
        <f t="shared" ref="B374:I384" ca="1" si="127">IF($A374&gt;B$160,"",IF($A374=0,B$820,OFFSET(B374,-1,0)*(1+B388)))</f>
        <v>212164</v>
      </c>
      <c r="C374" s="81">
        <f t="shared" ca="1" si="127"/>
        <v>199800</v>
      </c>
      <c r="D374" s="81">
        <f t="shared" ca="1" si="127"/>
        <v>182795</v>
      </c>
      <c r="E374" s="81">
        <f t="shared" ca="1" si="127"/>
        <v>178144</v>
      </c>
      <c r="F374" s="81">
        <f t="shared" ca="1" si="127"/>
        <v>176035</v>
      </c>
      <c r="G374" s="81">
        <f t="shared" ca="1" si="127"/>
        <v>173992</v>
      </c>
      <c r="H374" s="81">
        <f t="shared" ca="1" si="127"/>
        <v>170910</v>
      </c>
      <c r="I374" s="81">
        <f t="shared" ca="1" si="127"/>
        <v>169404</v>
      </c>
    </row>
    <row r="375" spans="1:9" ht="15" customHeight="1" x14ac:dyDescent="0.2">
      <c r="A375" s="3">
        <f t="shared" si="126"/>
        <v>1</v>
      </c>
      <c r="B375" s="70">
        <f t="shared" ca="1" si="127"/>
        <v>220650.56</v>
      </c>
      <c r="C375" s="81">
        <f t="shared" ca="1" si="127"/>
        <v>207792</v>
      </c>
      <c r="D375" s="81">
        <f t="shared" ca="1" si="127"/>
        <v>190106.80000000002</v>
      </c>
      <c r="E375" s="81">
        <f t="shared" ca="1" si="127"/>
        <v>185269.76000000001</v>
      </c>
      <c r="F375" s="81">
        <f t="shared" ca="1" si="127"/>
        <v>183076.4</v>
      </c>
      <c r="G375" s="81">
        <f t="shared" ca="1" si="127"/>
        <v>180951.67999999999</v>
      </c>
      <c r="H375" s="81">
        <f t="shared" ca="1" si="127"/>
        <v>177746.4</v>
      </c>
      <c r="I375" s="81">
        <f t="shared" ca="1" si="127"/>
        <v>177874.2</v>
      </c>
    </row>
    <row r="376" spans="1:9" ht="15" customHeight="1" x14ac:dyDescent="0.2">
      <c r="A376" s="3">
        <f t="shared" si="126"/>
        <v>2</v>
      </c>
      <c r="B376" s="70">
        <f t="shared" ca="1" si="127"/>
        <v>229476.58240000001</v>
      </c>
      <c r="C376" s="81">
        <f t="shared" ca="1" si="127"/>
        <v>216103.67999999999</v>
      </c>
      <c r="D376" s="81">
        <f t="shared" ca="1" si="127"/>
        <v>197711.07200000001</v>
      </c>
      <c r="E376" s="81">
        <f t="shared" ca="1" si="127"/>
        <v>192680.55040000001</v>
      </c>
      <c r="F376" s="81">
        <f t="shared" ca="1" si="127"/>
        <v>190399.45600000001</v>
      </c>
      <c r="G376" s="81">
        <f t="shared" ca="1" si="127"/>
        <v>188189.74720000001</v>
      </c>
      <c r="H376" s="81">
        <f t="shared" ca="1" si="127"/>
        <v>184856.25599999999</v>
      </c>
      <c r="I376" s="81">
        <f t="shared" ca="1" si="127"/>
        <v>186767.91000000003</v>
      </c>
    </row>
    <row r="377" spans="1:9" ht="15" customHeight="1" x14ac:dyDescent="0.2">
      <c r="A377" s="3">
        <f t="shared" si="126"/>
        <v>3</v>
      </c>
      <c r="B377" s="70">
        <f t="shared" ca="1" si="127"/>
        <v>238655.64569600002</v>
      </c>
      <c r="C377" s="81">
        <f t="shared" ca="1" si="127"/>
        <v>224747.8272</v>
      </c>
      <c r="D377" s="81">
        <f t="shared" ca="1" si="127"/>
        <v>205619.51488000003</v>
      </c>
      <c r="E377" s="81">
        <f t="shared" ca="1" si="127"/>
        <v>200387.77241600002</v>
      </c>
      <c r="F377" s="81">
        <f t="shared" ca="1" si="127"/>
        <v>198015.43424</v>
      </c>
      <c r="G377" s="81">
        <f t="shared" ca="1" si="127"/>
        <v>195717.33708800003</v>
      </c>
      <c r="H377" s="81">
        <f t="shared" ca="1" si="127"/>
        <v>192250.50623999999</v>
      </c>
      <c r="I377" s="81">
        <f t="shared" ca="1" si="127"/>
        <v>196106.30550000005</v>
      </c>
    </row>
    <row r="378" spans="1:9" ht="15" customHeight="1" x14ac:dyDescent="0.2">
      <c r="A378" s="3">
        <f t="shared" si="126"/>
        <v>4</v>
      </c>
      <c r="B378" s="70">
        <f t="shared" ca="1" si="127"/>
        <v>248201.87152384003</v>
      </c>
      <c r="C378" s="81">
        <f t="shared" ca="1" si="127"/>
        <v>233737.740288</v>
      </c>
      <c r="D378" s="81">
        <f t="shared" ca="1" si="127"/>
        <v>213844.29547520005</v>
      </c>
      <c r="E378" s="81">
        <f t="shared" ca="1" si="127"/>
        <v>208403.28331264004</v>
      </c>
      <c r="F378" s="81">
        <f t="shared" ca="1" si="127"/>
        <v>205936.05160960002</v>
      </c>
      <c r="G378" s="81">
        <f t="shared" ca="1" si="127"/>
        <v>203546.03057152004</v>
      </c>
      <c r="H378" s="81">
        <f t="shared" ca="1" si="127"/>
        <v>199940.52648959999</v>
      </c>
      <c r="I378" s="81">
        <f t="shared" ca="1" si="127"/>
        <v>205911.62077500005</v>
      </c>
    </row>
    <row r="379" spans="1:9" ht="15" customHeight="1" x14ac:dyDescent="0.2">
      <c r="A379" s="3">
        <f t="shared" si="126"/>
        <v>5</v>
      </c>
      <c r="B379" s="70">
        <f t="shared" ca="1" si="127"/>
        <v>258129.94638479364</v>
      </c>
      <c r="C379" s="81">
        <f t="shared" ca="1" si="127"/>
        <v>243087.24989952001</v>
      </c>
      <c r="D379" s="81">
        <f t="shared" ca="1" si="127"/>
        <v>222398.06729420807</v>
      </c>
      <c r="E379" s="81">
        <f t="shared" ca="1" si="127"/>
        <v>216739.41464514565</v>
      </c>
      <c r="F379" s="81">
        <f t="shared" ca="1" si="127"/>
        <v>214173.49367398402</v>
      </c>
      <c r="G379" s="81">
        <f t="shared" ca="1" si="127"/>
        <v>211687.87179438086</v>
      </c>
      <c r="H379" s="81">
        <f t="shared" ca="1" si="127"/>
        <v>207938.14754918398</v>
      </c>
      <c r="I379" s="81">
        <f t="shared" ca="1" si="127"/>
        <v>216207.20181375006</v>
      </c>
    </row>
    <row r="380" spans="1:9" ht="15" customHeight="1" x14ac:dyDescent="0.2">
      <c r="A380" s="3">
        <f t="shared" si="126"/>
        <v>6</v>
      </c>
      <c r="B380" s="70">
        <f t="shared" ca="1" si="127"/>
        <v>267396.81146000774</v>
      </c>
      <c r="C380" s="81">
        <f t="shared" ca="1" si="127"/>
        <v>251838.39089590273</v>
      </c>
      <c r="D380" s="81">
        <f t="shared" ca="1" si="127"/>
        <v>230617.89986140202</v>
      </c>
      <c r="E380" s="81">
        <f t="shared" ca="1" si="127"/>
        <v>224802.12086994504</v>
      </c>
      <c r="F380" s="81">
        <f t="shared" ca="1" si="127"/>
        <v>222183.58233739104</v>
      </c>
      <c r="G380" s="81">
        <f t="shared" ca="1" si="127"/>
        <v>219613.46571436245</v>
      </c>
      <c r="H380" s="81">
        <f t="shared" ca="1" si="127"/>
        <v>215856.43220785688</v>
      </c>
      <c r="I380" s="81">
        <f t="shared" ca="1" si="127"/>
        <v>226152.73309718256</v>
      </c>
    </row>
    <row r="381" spans="1:9" ht="15" customHeight="1" x14ac:dyDescent="0.2">
      <c r="A381" s="3">
        <f t="shared" si="126"/>
        <v>7</v>
      </c>
      <c r="B381" s="70">
        <f t="shared" ca="1" si="127"/>
        <v>275900.03006443602</v>
      </c>
      <c r="C381" s="81">
        <f t="shared" ca="1" si="127"/>
        <v>259897.21940457163</v>
      </c>
      <c r="D381" s="81">
        <f t="shared" ca="1" si="127"/>
        <v>238440.45902470077</v>
      </c>
      <c r="E381" s="81">
        <f t="shared" ca="1" si="127"/>
        <v>232535.31382787114</v>
      </c>
      <c r="F381" s="81">
        <f t="shared" ca="1" si="127"/>
        <v>229915.57100273223</v>
      </c>
      <c r="G381" s="81">
        <f t="shared" ca="1" si="127"/>
        <v>227273.58339847942</v>
      </c>
      <c r="H381" s="81">
        <f t="shared" ca="1" si="127"/>
        <v>223661.80079649299</v>
      </c>
      <c r="I381" s="81">
        <f t="shared" ca="1" si="127"/>
        <v>235651.14788726423</v>
      </c>
    </row>
    <row r="382" spans="1:9" ht="15" customHeight="1" x14ac:dyDescent="0.2">
      <c r="A382" s="3">
        <f t="shared" si="126"/>
        <v>8</v>
      </c>
      <c r="B382" s="70">
        <f t="shared" ca="1" si="127"/>
        <v>283542.46089722094</v>
      </c>
      <c r="C382" s="81">
        <f t="shared" ca="1" si="127"/>
        <v>267174.34154789965</v>
      </c>
      <c r="D382" s="81">
        <f t="shared" ca="1" si="127"/>
        <v>245803.50039938354</v>
      </c>
      <c r="E382" s="81">
        <f t="shared" ca="1" si="127"/>
        <v>239883.4297448319</v>
      </c>
      <c r="F382" s="81">
        <f t="shared" ca="1" si="127"/>
        <v>237318.85238902021</v>
      </c>
      <c r="G382" s="81">
        <f t="shared" ca="1" si="127"/>
        <v>234619.06561391824</v>
      </c>
      <c r="H382" s="81">
        <f t="shared" ca="1" si="127"/>
        <v>231319.98085576491</v>
      </c>
      <c r="I382" s="81">
        <f t="shared" ca="1" si="127"/>
        <v>244605.89150698029</v>
      </c>
    </row>
    <row r="383" spans="1:9" ht="15" customHeight="1" x14ac:dyDescent="0.2">
      <c r="A383" s="3">
        <f t="shared" si="126"/>
        <v>9</v>
      </c>
      <c r="B383" s="70">
        <f t="shared" ca="1" si="127"/>
        <v>290234.06297439535</v>
      </c>
      <c r="C383" s="81">
        <f t="shared" ca="1" si="127"/>
        <v>273586.52574504924</v>
      </c>
      <c r="D383" s="81">
        <f t="shared" ca="1" si="127"/>
        <v>252646.6698505024</v>
      </c>
      <c r="E383" s="81">
        <f t="shared" ca="1" si="127"/>
        <v>246792.07252148303</v>
      </c>
      <c r="F383" s="81">
        <f t="shared" ca="1" si="127"/>
        <v>244343.49041973523</v>
      </c>
      <c r="G383" s="81">
        <f t="shared" ca="1" si="127"/>
        <v>241601.32900658844</v>
      </c>
      <c r="H383" s="81">
        <f t="shared" ca="1" si="127"/>
        <v>238796.24263702321</v>
      </c>
      <c r="I383" s="81">
        <f t="shared" ca="1" si="127"/>
        <v>252922.49181821762</v>
      </c>
    </row>
    <row r="384" spans="1:9" ht="15" customHeight="1" x14ac:dyDescent="0.2">
      <c r="A384" s="3">
        <f t="shared" si="126"/>
        <v>10</v>
      </c>
      <c r="B384" s="70">
        <f t="shared" ca="1" si="127"/>
        <v>295893.62720239605</v>
      </c>
      <c r="C384" s="81">
        <f t="shared" ca="1" si="127"/>
        <v>279058.25625995023</v>
      </c>
      <c r="D384" s="81">
        <f t="shared" ca="1" si="127"/>
        <v>258912.30726279484</v>
      </c>
      <c r="E384" s="81">
        <f t="shared" ca="1" si="127"/>
        <v>253208.6664070416</v>
      </c>
      <c r="F384" s="81">
        <f t="shared" ca="1" si="127"/>
        <v>250940.76466106807</v>
      </c>
      <c r="G384" s="81">
        <f t="shared" ca="1" si="127"/>
        <v>248172.88515556761</v>
      </c>
      <c r="H384" s="81">
        <f t="shared" ca="1" si="127"/>
        <v>246055.64841318873</v>
      </c>
      <c r="I384" s="81">
        <f t="shared" ca="1" si="127"/>
        <v>260510.16657276417</v>
      </c>
    </row>
    <row r="385" spans="1:9" ht="15" customHeight="1" x14ac:dyDescent="0.2">
      <c r="C385" s="41"/>
      <c r="D385" s="41"/>
      <c r="E385" s="41"/>
      <c r="F385" s="41"/>
      <c r="G385" s="41"/>
      <c r="H385" s="41"/>
      <c r="I385" s="41"/>
    </row>
    <row r="386" spans="1:9" ht="15" customHeight="1" x14ac:dyDescent="0.2">
      <c r="C386" s="41"/>
      <c r="D386" s="41"/>
      <c r="E386" s="41"/>
      <c r="F386" s="41"/>
      <c r="G386" s="41"/>
      <c r="H386" s="41"/>
      <c r="I386" s="41"/>
    </row>
    <row r="387" spans="1:9" ht="15" customHeight="1" x14ac:dyDescent="0.2">
      <c r="A387" s="35" t="str">
        <f>A156</f>
        <v>Revenue growth rate</v>
      </c>
      <c r="B387" s="87"/>
      <c r="C387" s="88"/>
      <c r="D387" s="88"/>
      <c r="E387" s="88"/>
      <c r="F387" s="88"/>
      <c r="G387" s="88"/>
      <c r="H387" s="88"/>
      <c r="I387" s="88"/>
    </row>
    <row r="388" spans="1:9" ht="15" customHeight="1" x14ac:dyDescent="0.2">
      <c r="A388" s="3">
        <f t="shared" ref="A388:A398" si="128">A374</f>
        <v>0</v>
      </c>
      <c r="B388" s="79" t="e">
        <f t="shared" ref="B388:I398" ca="1" si="129">IF($A388&gt;B$160,"",IF($A388=0,#N/A,IF($A388=1,B$811,IF(AND($A388&gt;1,$A388&lt;=B$161),OFFSET(B388,-1,0),OFFSET(B$388,B$161,0)-((OFFSET(B$388,B$161,0)-B$564)/B$161)*($A388-B$161)))))</f>
        <v>#N/A</v>
      </c>
      <c r="C388" s="88" t="e">
        <f t="shared" ca="1" si="129"/>
        <v>#N/A</v>
      </c>
      <c r="D388" s="88" t="e">
        <f t="shared" ca="1" si="129"/>
        <v>#N/A</v>
      </c>
      <c r="E388" s="88" t="e">
        <f t="shared" ca="1" si="129"/>
        <v>#N/A</v>
      </c>
      <c r="F388" s="88" t="e">
        <f t="shared" ca="1" si="129"/>
        <v>#N/A</v>
      </c>
      <c r="G388" s="88" t="e">
        <f t="shared" ca="1" si="129"/>
        <v>#N/A</v>
      </c>
      <c r="H388" s="88" t="e">
        <f t="shared" ca="1" si="129"/>
        <v>#N/A</v>
      </c>
      <c r="I388" s="88" t="e">
        <f t="shared" ca="1" si="129"/>
        <v>#N/A</v>
      </c>
    </row>
    <row r="389" spans="1:9" ht="15" customHeight="1" x14ac:dyDescent="0.2">
      <c r="A389" s="3">
        <f t="shared" si="128"/>
        <v>1</v>
      </c>
      <c r="B389" s="79">
        <f t="shared" ca="1" si="129"/>
        <v>0.04</v>
      </c>
      <c r="C389" s="88">
        <f t="shared" ca="1" si="129"/>
        <v>0.04</v>
      </c>
      <c r="D389" s="88">
        <f t="shared" ca="1" si="129"/>
        <v>0.04</v>
      </c>
      <c r="E389" s="88">
        <f t="shared" ca="1" si="129"/>
        <v>0.04</v>
      </c>
      <c r="F389" s="88">
        <f t="shared" ca="1" si="129"/>
        <v>0.04</v>
      </c>
      <c r="G389" s="88">
        <f t="shared" ca="1" si="129"/>
        <v>0.04</v>
      </c>
      <c r="H389" s="88">
        <f t="shared" ca="1" si="129"/>
        <v>0.04</v>
      </c>
      <c r="I389" s="88">
        <f t="shared" ca="1" si="129"/>
        <v>0.05</v>
      </c>
    </row>
    <row r="390" spans="1:9" ht="15" customHeight="1" x14ac:dyDescent="0.2">
      <c r="A390" s="3">
        <f t="shared" si="128"/>
        <v>2</v>
      </c>
      <c r="B390" s="79">
        <f t="shared" ca="1" si="129"/>
        <v>0.04</v>
      </c>
      <c r="C390" s="88">
        <f t="shared" ca="1" si="129"/>
        <v>0.04</v>
      </c>
      <c r="D390" s="88">
        <f t="shared" ca="1" si="129"/>
        <v>0.04</v>
      </c>
      <c r="E390" s="88">
        <f t="shared" ca="1" si="129"/>
        <v>0.04</v>
      </c>
      <c r="F390" s="88">
        <f t="shared" ca="1" si="129"/>
        <v>0.04</v>
      </c>
      <c r="G390" s="88">
        <f t="shared" ca="1" si="129"/>
        <v>0.04</v>
      </c>
      <c r="H390" s="88">
        <f t="shared" ca="1" si="129"/>
        <v>0.04</v>
      </c>
      <c r="I390" s="88">
        <f t="shared" ca="1" si="129"/>
        <v>0.05</v>
      </c>
    </row>
    <row r="391" spans="1:9" ht="15" customHeight="1" x14ac:dyDescent="0.2">
      <c r="A391" s="3">
        <f t="shared" si="128"/>
        <v>3</v>
      </c>
      <c r="B391" s="79">
        <f t="shared" ca="1" si="129"/>
        <v>0.04</v>
      </c>
      <c r="C391" s="88">
        <f t="shared" ca="1" si="129"/>
        <v>0.04</v>
      </c>
      <c r="D391" s="88">
        <f t="shared" ca="1" si="129"/>
        <v>0.04</v>
      </c>
      <c r="E391" s="88">
        <f t="shared" ca="1" si="129"/>
        <v>0.04</v>
      </c>
      <c r="F391" s="88">
        <f t="shared" ca="1" si="129"/>
        <v>0.04</v>
      </c>
      <c r="G391" s="88">
        <f t="shared" ca="1" si="129"/>
        <v>0.04</v>
      </c>
      <c r="H391" s="88">
        <f t="shared" ca="1" si="129"/>
        <v>0.04</v>
      </c>
      <c r="I391" s="88">
        <f t="shared" ca="1" si="129"/>
        <v>0.05</v>
      </c>
    </row>
    <row r="392" spans="1:9" ht="15" customHeight="1" x14ac:dyDescent="0.2">
      <c r="A392" s="3">
        <f t="shared" si="128"/>
        <v>4</v>
      </c>
      <c r="B392" s="79">
        <f t="shared" ca="1" si="129"/>
        <v>0.04</v>
      </c>
      <c r="C392" s="88">
        <f t="shared" ca="1" si="129"/>
        <v>0.04</v>
      </c>
      <c r="D392" s="88">
        <f t="shared" ca="1" si="129"/>
        <v>0.04</v>
      </c>
      <c r="E392" s="88">
        <f t="shared" ca="1" si="129"/>
        <v>0.04</v>
      </c>
      <c r="F392" s="88">
        <f t="shared" ca="1" si="129"/>
        <v>0.04</v>
      </c>
      <c r="G392" s="88">
        <f t="shared" ca="1" si="129"/>
        <v>0.04</v>
      </c>
      <c r="H392" s="88">
        <f t="shared" ca="1" si="129"/>
        <v>0.04</v>
      </c>
      <c r="I392" s="88">
        <f t="shared" ca="1" si="129"/>
        <v>0.05</v>
      </c>
    </row>
    <row r="393" spans="1:9" ht="15" customHeight="1" x14ac:dyDescent="0.2">
      <c r="A393" s="3">
        <f t="shared" si="128"/>
        <v>5</v>
      </c>
      <c r="B393" s="79">
        <f t="shared" ca="1" si="129"/>
        <v>0.04</v>
      </c>
      <c r="C393" s="88">
        <f t="shared" ca="1" si="129"/>
        <v>0.04</v>
      </c>
      <c r="D393" s="88">
        <f t="shared" ca="1" si="129"/>
        <v>0.04</v>
      </c>
      <c r="E393" s="88">
        <f t="shared" ca="1" si="129"/>
        <v>0.04</v>
      </c>
      <c r="F393" s="88">
        <f t="shared" ca="1" si="129"/>
        <v>0.04</v>
      </c>
      <c r="G393" s="88">
        <f t="shared" ca="1" si="129"/>
        <v>0.04</v>
      </c>
      <c r="H393" s="88">
        <f t="shared" ca="1" si="129"/>
        <v>0.04</v>
      </c>
      <c r="I393" s="88">
        <f t="shared" ca="1" si="129"/>
        <v>0.05</v>
      </c>
    </row>
    <row r="394" spans="1:9" ht="15" customHeight="1" x14ac:dyDescent="0.2">
      <c r="A394" s="3">
        <f t="shared" si="128"/>
        <v>6</v>
      </c>
      <c r="B394" s="79">
        <f t="shared" ca="1" si="129"/>
        <v>3.5900000000000001E-2</v>
      </c>
      <c r="C394" s="88">
        <f t="shared" ca="1" si="129"/>
        <v>3.6000000000000004E-2</v>
      </c>
      <c r="D394" s="88">
        <f t="shared" ca="1" si="129"/>
        <v>3.696E-2</v>
      </c>
      <c r="E394" s="88">
        <f t="shared" ca="1" si="129"/>
        <v>3.7199999999999997E-2</v>
      </c>
      <c r="F394" s="88">
        <f t="shared" ca="1" si="129"/>
        <v>3.7400000000000003E-2</v>
      </c>
      <c r="G394" s="88">
        <f t="shared" ca="1" si="129"/>
        <v>3.7440000000000001E-2</v>
      </c>
      <c r="H394" s="88">
        <f t="shared" ca="1" si="129"/>
        <v>3.8080000000000003E-2</v>
      </c>
      <c r="I394" s="88">
        <f t="shared" ca="1" si="129"/>
        <v>4.5999999999999999E-2</v>
      </c>
    </row>
    <row r="395" spans="1:9" ht="15" customHeight="1" x14ac:dyDescent="0.2">
      <c r="A395" s="3">
        <f t="shared" si="128"/>
        <v>7</v>
      </c>
      <c r="B395" s="79">
        <f t="shared" ca="1" si="129"/>
        <v>3.1800000000000002E-2</v>
      </c>
      <c r="C395" s="88">
        <f t="shared" ca="1" si="129"/>
        <v>3.2000000000000001E-2</v>
      </c>
      <c r="D395" s="88">
        <f t="shared" ca="1" si="129"/>
        <v>3.3919999999999999E-2</v>
      </c>
      <c r="E395" s="88">
        <f t="shared" ca="1" si="129"/>
        <v>3.44E-2</v>
      </c>
      <c r="F395" s="88">
        <f t="shared" ca="1" si="129"/>
        <v>3.4799999999999998E-2</v>
      </c>
      <c r="G395" s="88">
        <f t="shared" ca="1" si="129"/>
        <v>3.4880000000000001E-2</v>
      </c>
      <c r="H395" s="88">
        <f t="shared" ca="1" si="129"/>
        <v>3.6159999999999998E-2</v>
      </c>
      <c r="I395" s="88">
        <f t="shared" ca="1" si="129"/>
        <v>4.2000000000000003E-2</v>
      </c>
    </row>
    <row r="396" spans="1:9" ht="15" customHeight="1" x14ac:dyDescent="0.2">
      <c r="A396" s="3">
        <f t="shared" si="128"/>
        <v>8</v>
      </c>
      <c r="B396" s="79">
        <f t="shared" ca="1" si="129"/>
        <v>2.7699999999999999E-2</v>
      </c>
      <c r="C396" s="88">
        <f t="shared" ca="1" si="129"/>
        <v>2.8000000000000001E-2</v>
      </c>
      <c r="D396" s="88">
        <f t="shared" ca="1" si="129"/>
        <v>3.0880000000000001E-2</v>
      </c>
      <c r="E396" s="88">
        <f t="shared" ca="1" si="129"/>
        <v>3.1600000000000003E-2</v>
      </c>
      <c r="F396" s="88">
        <f t="shared" ca="1" si="129"/>
        <v>3.2199999999999999E-2</v>
      </c>
      <c r="G396" s="88">
        <f t="shared" ca="1" si="129"/>
        <v>3.2320000000000002E-2</v>
      </c>
      <c r="H396" s="88">
        <f t="shared" ca="1" si="129"/>
        <v>3.424E-2</v>
      </c>
      <c r="I396" s="88">
        <f t="shared" ca="1" si="129"/>
        <v>3.7999999999999999E-2</v>
      </c>
    </row>
    <row r="397" spans="1:9" ht="15" customHeight="1" x14ac:dyDescent="0.2">
      <c r="A397" s="3">
        <f t="shared" si="128"/>
        <v>9</v>
      </c>
      <c r="B397" s="79">
        <f t="shared" ca="1" si="129"/>
        <v>2.3599999999999999E-2</v>
      </c>
      <c r="C397" s="88">
        <f t="shared" ca="1" si="129"/>
        <v>2.4E-2</v>
      </c>
      <c r="D397" s="88">
        <f t="shared" ca="1" si="129"/>
        <v>2.784E-2</v>
      </c>
      <c r="E397" s="88">
        <f t="shared" ca="1" si="129"/>
        <v>2.8799999999999999E-2</v>
      </c>
      <c r="F397" s="88">
        <f t="shared" ca="1" si="129"/>
        <v>2.9600000000000001E-2</v>
      </c>
      <c r="G397" s="88">
        <f t="shared" ca="1" si="129"/>
        <v>2.9759999999999998E-2</v>
      </c>
      <c r="H397" s="88">
        <f t="shared" ca="1" si="129"/>
        <v>3.2320000000000002E-2</v>
      </c>
      <c r="I397" s="88">
        <f t="shared" ca="1" si="129"/>
        <v>3.4000000000000002E-2</v>
      </c>
    </row>
    <row r="398" spans="1:9" ht="15" customHeight="1" x14ac:dyDescent="0.2">
      <c r="A398" s="3">
        <f t="shared" si="128"/>
        <v>10</v>
      </c>
      <c r="B398" s="79">
        <f t="shared" ca="1" si="129"/>
        <v>1.95E-2</v>
      </c>
      <c r="C398" s="88">
        <f t="shared" ca="1" si="129"/>
        <v>0.02</v>
      </c>
      <c r="D398" s="88">
        <f t="shared" ca="1" si="129"/>
        <v>2.4799999999999999E-2</v>
      </c>
      <c r="E398" s="88">
        <f t="shared" ca="1" si="129"/>
        <v>2.5999999999999999E-2</v>
      </c>
      <c r="F398" s="88">
        <f t="shared" ca="1" si="129"/>
        <v>2.7E-2</v>
      </c>
      <c r="G398" s="88">
        <f t="shared" ca="1" si="129"/>
        <v>2.7199999999999998E-2</v>
      </c>
      <c r="H398" s="88">
        <f t="shared" ca="1" si="129"/>
        <v>3.04E-2</v>
      </c>
      <c r="I398" s="88">
        <f t="shared" ca="1" si="129"/>
        <v>0.03</v>
      </c>
    </row>
    <row r="399" spans="1:9" ht="15" customHeight="1" x14ac:dyDescent="0.2">
      <c r="C399" s="41"/>
      <c r="D399" s="41"/>
      <c r="E399" s="41"/>
      <c r="F399" s="41"/>
      <c r="G399" s="41"/>
      <c r="H399" s="41"/>
      <c r="I399" s="41"/>
    </row>
    <row r="400" spans="1:9" ht="15" customHeight="1" x14ac:dyDescent="0.2">
      <c r="A400" s="1"/>
    </row>
    <row r="401" spans="1:9" ht="15" customHeight="1" x14ac:dyDescent="0.2">
      <c r="A401" s="1"/>
    </row>
    <row r="403" spans="1:9" ht="15" customHeight="1" x14ac:dyDescent="0.2">
      <c r="A403" s="6" t="s">
        <v>321</v>
      </c>
      <c r="B403" s="6"/>
      <c r="C403" s="6"/>
      <c r="D403" s="6"/>
      <c r="E403" s="6"/>
      <c r="F403" s="6"/>
      <c r="G403" s="6"/>
      <c r="H403" s="6"/>
      <c r="I403" s="6"/>
    </row>
    <row r="404" spans="1:9" ht="15" customHeight="1" x14ac:dyDescent="0.2">
      <c r="A404" s="42" t="s">
        <v>32</v>
      </c>
      <c r="B404" s="8">
        <f t="shared" ref="B404:I404" ca="1" si="130">+B409*B408+B417*B416+B413*B412</f>
        <v>8.5616478250876329E-2</v>
      </c>
      <c r="C404" s="8">
        <f t="shared" ca="1" si="130"/>
        <v>8.6399225155159756E-2</v>
      </c>
      <c r="D404" s="8">
        <f t="shared" ca="1" si="130"/>
        <v>9.239676427316143E-2</v>
      </c>
      <c r="E404" s="8">
        <f t="shared" ca="1" si="130"/>
        <v>0.10740672303923111</v>
      </c>
      <c r="F404" s="8">
        <f t="shared" ca="1" si="130"/>
        <v>0.10008009908896695</v>
      </c>
      <c r="G404" s="8">
        <f t="shared" ca="1" si="130"/>
        <v>0.10029247285368061</v>
      </c>
      <c r="H404" s="8">
        <f t="shared" ca="1" si="130"/>
        <v>0.10154649937414874</v>
      </c>
      <c r="I404" s="8">
        <f t="shared" ca="1" si="130"/>
        <v>0.11800171037140457</v>
      </c>
    </row>
    <row r="405" spans="1:9" ht="15" customHeight="1" x14ac:dyDescent="0.2">
      <c r="A405" s="42" t="s">
        <v>311</v>
      </c>
      <c r="B405" s="91">
        <f t="shared" ref="B405:I405" ca="1" si="131">+B409+B417+B413</f>
        <v>1</v>
      </c>
      <c r="C405" s="91">
        <f t="shared" ca="1" si="131"/>
        <v>1</v>
      </c>
      <c r="D405" s="91">
        <f t="shared" ca="1" si="131"/>
        <v>1</v>
      </c>
      <c r="E405" s="91">
        <f t="shared" ca="1" si="131"/>
        <v>0.99999999999999989</v>
      </c>
      <c r="F405" s="91">
        <f t="shared" ca="1" si="131"/>
        <v>1</v>
      </c>
      <c r="G405" s="91">
        <f t="shared" ca="1" si="131"/>
        <v>1</v>
      </c>
      <c r="H405" s="91">
        <f t="shared" ca="1" si="131"/>
        <v>1</v>
      </c>
      <c r="I405" s="91">
        <f t="shared" ca="1" si="131"/>
        <v>1</v>
      </c>
    </row>
    <row r="406" spans="1:9" ht="15" customHeight="1" x14ac:dyDescent="0.2">
      <c r="A406" s="42" t="s">
        <v>310</v>
      </c>
      <c r="B406" s="73">
        <f t="shared" ref="B406:I406" ca="1" si="132">+B579</f>
        <v>756451.55260673619</v>
      </c>
      <c r="C406" s="73">
        <f t="shared" ca="1" si="132"/>
        <v>791222.74621481216</v>
      </c>
      <c r="D406" s="73">
        <f t="shared" ca="1" si="132"/>
        <v>628760.04015354102</v>
      </c>
      <c r="E406" s="73">
        <f t="shared" ca="1" si="132"/>
        <v>593183.836580895</v>
      </c>
      <c r="F406" s="73">
        <f t="shared" ca="1" si="132"/>
        <v>506766.99958520418</v>
      </c>
      <c r="G406" s="73">
        <f t="shared" ca="1" si="132"/>
        <v>506516.49967645854</v>
      </c>
      <c r="H406" s="73">
        <f t="shared" ca="1" si="132"/>
        <v>473653.97287686914</v>
      </c>
      <c r="I406" s="73">
        <f t="shared" ca="1" si="132"/>
        <v>478571.67369201302</v>
      </c>
    </row>
    <row r="408" spans="1:9" ht="15" customHeight="1" x14ac:dyDescent="0.2">
      <c r="A408" s="42" t="s">
        <v>314</v>
      </c>
      <c r="B408" s="91">
        <f t="shared" ref="B408:I408" ca="1" si="133">B421</f>
        <v>8.9941630383142887E-2</v>
      </c>
      <c r="C408" s="91">
        <f t="shared" ca="1" si="133"/>
        <v>8.987549263961836E-2</v>
      </c>
      <c r="D408" s="91">
        <f t="shared" ca="1" si="133"/>
        <v>9.6809930319781384E-2</v>
      </c>
      <c r="E408" s="91">
        <f t="shared" ca="1" si="133"/>
        <v>0.11035014309094043</v>
      </c>
      <c r="F408" s="91">
        <f t="shared" ca="1" si="133"/>
        <v>0.10326327703126476</v>
      </c>
      <c r="G408" s="91">
        <f t="shared" ca="1" si="133"/>
        <v>0.10343954659570692</v>
      </c>
      <c r="H408" s="91">
        <f t="shared" ca="1" si="133"/>
        <v>0.10481392481813644</v>
      </c>
      <c r="I408" s="91">
        <f t="shared" ca="1" si="133"/>
        <v>0.12184022379332107</v>
      </c>
    </row>
    <row r="409" spans="1:9" ht="15" customHeight="1" x14ac:dyDescent="0.2">
      <c r="A409" s="42" t="s">
        <v>313</v>
      </c>
      <c r="B409" s="91">
        <f t="shared" ref="B409:I409" ca="1" si="134">IF(B410+B418+B414=0,0,(B410/(B410+B418+B414)))</f>
        <v>0.93913519702620618</v>
      </c>
      <c r="C409" s="91">
        <f t="shared" ca="1" si="134"/>
        <v>0.95081367876437106</v>
      </c>
      <c r="D409" s="91">
        <f t="shared" ca="1" si="134"/>
        <v>0.94079301601631993</v>
      </c>
      <c r="E409" s="91">
        <f t="shared" ca="1" si="134"/>
        <v>0.96656349804329422</v>
      </c>
      <c r="F409" s="91">
        <f t="shared" ca="1" si="134"/>
        <v>0.96037041739396667</v>
      </c>
      <c r="G409" s="91">
        <f t="shared" ca="1" si="134"/>
        <v>0.96084538301361411</v>
      </c>
      <c r="H409" s="91">
        <f t="shared" ca="1" si="134"/>
        <v>0.95903732763786886</v>
      </c>
      <c r="I409" s="91">
        <f t="shared" ca="1" si="134"/>
        <v>0.96044409965405808</v>
      </c>
    </row>
    <row r="410" spans="1:9" ht="15" customHeight="1" x14ac:dyDescent="0.2">
      <c r="A410" s="42" t="s">
        <v>312</v>
      </c>
      <c r="B410" s="73">
        <f t="shared" ref="B410:I410" ca="1" si="135">B580</f>
        <v>710410.27789810672</v>
      </c>
      <c r="C410" s="73">
        <f t="shared" ca="1" si="135"/>
        <v>752305.41005055385</v>
      </c>
      <c r="D410" s="73">
        <f t="shared" ca="1" si="135"/>
        <v>591533.05452659226</v>
      </c>
      <c r="E410" s="73">
        <f t="shared" ca="1" si="135"/>
        <v>573349.84406837169</v>
      </c>
      <c r="F410" s="73">
        <f t="shared" ca="1" si="135"/>
        <v>486684.03491313069</v>
      </c>
      <c r="G410" s="73">
        <f t="shared" ca="1" si="135"/>
        <v>486684.04013434192</v>
      </c>
      <c r="H410" s="73">
        <f t="shared" ca="1" si="135"/>
        <v>454251.84037289221</v>
      </c>
      <c r="I410" s="73">
        <f t="shared" ca="1" si="135"/>
        <v>459641.34025906114</v>
      </c>
    </row>
    <row r="412" spans="1:9" ht="15" customHeight="1" x14ac:dyDescent="0.2">
      <c r="A412" s="42" t="s">
        <v>317</v>
      </c>
      <c r="B412" s="91">
        <f t="shared" ref="B412:I412" si="136">B543</f>
        <v>0</v>
      </c>
      <c r="C412" s="91">
        <f t="shared" si="136"/>
        <v>0</v>
      </c>
      <c r="D412" s="91">
        <f t="shared" si="136"/>
        <v>0</v>
      </c>
      <c r="E412" s="91">
        <f t="shared" si="136"/>
        <v>0</v>
      </c>
      <c r="F412" s="91">
        <f t="shared" si="136"/>
        <v>0</v>
      </c>
      <c r="G412" s="91">
        <f t="shared" si="136"/>
        <v>0</v>
      </c>
      <c r="H412" s="91">
        <f t="shared" si="136"/>
        <v>0</v>
      </c>
      <c r="I412" s="91">
        <f t="shared" si="136"/>
        <v>0</v>
      </c>
    </row>
    <row r="413" spans="1:9" ht="15" customHeight="1" x14ac:dyDescent="0.2">
      <c r="A413" s="42" t="s">
        <v>316</v>
      </c>
      <c r="B413" s="91">
        <f t="shared" ref="B413:I413" ca="1" si="137">IF(B410+B418+B414=0,0,(B414/(B410+B418+B414)))</f>
        <v>0</v>
      </c>
      <c r="C413" s="91">
        <f t="shared" ca="1" si="137"/>
        <v>0</v>
      </c>
      <c r="D413" s="91">
        <f t="shared" ca="1" si="137"/>
        <v>0</v>
      </c>
      <c r="E413" s="91">
        <f t="shared" ca="1" si="137"/>
        <v>0</v>
      </c>
      <c r="F413" s="91">
        <f t="shared" ca="1" si="137"/>
        <v>0</v>
      </c>
      <c r="G413" s="91">
        <f t="shared" ca="1" si="137"/>
        <v>0</v>
      </c>
      <c r="H413" s="91">
        <f t="shared" ca="1" si="137"/>
        <v>0</v>
      </c>
      <c r="I413" s="91">
        <f t="shared" ca="1" si="137"/>
        <v>0</v>
      </c>
    </row>
    <row r="414" spans="1:9" ht="15" customHeight="1" x14ac:dyDescent="0.2">
      <c r="A414" s="42" t="s">
        <v>315</v>
      </c>
      <c r="B414" s="92">
        <f t="shared" ref="B414:I414" si="138">B581</f>
        <v>0</v>
      </c>
      <c r="C414" s="92">
        <f t="shared" si="138"/>
        <v>0</v>
      </c>
      <c r="D414" s="92">
        <f t="shared" si="138"/>
        <v>0</v>
      </c>
      <c r="E414" s="92">
        <f t="shared" si="138"/>
        <v>0</v>
      </c>
      <c r="F414" s="92">
        <f t="shared" si="138"/>
        <v>0</v>
      </c>
      <c r="G414" s="92">
        <f t="shared" si="138"/>
        <v>0</v>
      </c>
      <c r="H414" s="92">
        <f t="shared" si="138"/>
        <v>0</v>
      </c>
      <c r="I414" s="92">
        <f t="shared" si="138"/>
        <v>0</v>
      </c>
    </row>
    <row r="416" spans="1:9" ht="15" customHeight="1" x14ac:dyDescent="0.2">
      <c r="A416" s="42" t="s">
        <v>320</v>
      </c>
      <c r="B416" s="91">
        <f t="shared" ref="B416:I416" ca="1" si="139">B546</f>
        <v>1.8880000000000001E-2</v>
      </c>
      <c r="C416" s="91">
        <f t="shared" ca="1" si="139"/>
        <v>1.9199999999999998E-2</v>
      </c>
      <c r="D416" s="91">
        <f t="shared" ca="1" si="139"/>
        <v>2.2272E-2</v>
      </c>
      <c r="E416" s="91">
        <f t="shared" ca="1" si="139"/>
        <v>2.232E-2</v>
      </c>
      <c r="F416" s="91">
        <f t="shared" ca="1" si="139"/>
        <v>2.2939999999999999E-2</v>
      </c>
      <c r="G416" s="91">
        <f t="shared" ca="1" si="139"/>
        <v>2.3063999999999998E-2</v>
      </c>
      <c r="H416" s="91">
        <f t="shared" ca="1" si="139"/>
        <v>2.5047999999999997E-2</v>
      </c>
      <c r="I416" s="91">
        <f t="shared" ca="1" si="139"/>
        <v>2.4799999999999999E-2</v>
      </c>
    </row>
    <row r="417" spans="1:9" ht="15" customHeight="1" x14ac:dyDescent="0.2">
      <c r="A417" s="42" t="s">
        <v>319</v>
      </c>
      <c r="B417" s="91">
        <f t="shared" ref="B417:I417" ca="1" si="140">IF(B410+B418+B414=0,0,(B418/(B410+B418+B414)))</f>
        <v>6.0864802973793826E-2</v>
      </c>
      <c r="C417" s="91">
        <f t="shared" ca="1" si="140"/>
        <v>4.9186321235628966E-2</v>
      </c>
      <c r="D417" s="91">
        <f t="shared" ca="1" si="140"/>
        <v>5.9206983983680087E-2</v>
      </c>
      <c r="E417" s="91">
        <f t="shared" ca="1" si="140"/>
        <v>3.3436501956705701E-2</v>
      </c>
      <c r="F417" s="91">
        <f t="shared" ca="1" si="140"/>
        <v>3.9629582606033352E-2</v>
      </c>
      <c r="G417" s="91">
        <f t="shared" ca="1" si="140"/>
        <v>3.91546169863859E-2</v>
      </c>
      <c r="H417" s="91">
        <f t="shared" ca="1" si="140"/>
        <v>4.0962672362131101E-2</v>
      </c>
      <c r="I417" s="91">
        <f t="shared" ca="1" si="140"/>
        <v>3.9555900345941912E-2</v>
      </c>
    </row>
    <row r="418" spans="1:9" ht="15" customHeight="1" x14ac:dyDescent="0.2">
      <c r="A418" s="42" t="s">
        <v>318</v>
      </c>
      <c r="B418" s="73">
        <f t="shared" ref="B418:I418" ca="1" si="141">B582</f>
        <v>46041.274708629433</v>
      </c>
      <c r="C418" s="73">
        <f t="shared" ca="1" si="141"/>
        <v>38917.336164258282</v>
      </c>
      <c r="D418" s="73">
        <f t="shared" ca="1" si="141"/>
        <v>37226.98562694875</v>
      </c>
      <c r="E418" s="73">
        <f t="shared" ca="1" si="141"/>
        <v>19833.992512523291</v>
      </c>
      <c r="F418" s="73">
        <f t="shared" ca="1" si="141"/>
        <v>20082.964672073518</v>
      </c>
      <c r="G418" s="73">
        <f t="shared" ca="1" si="141"/>
        <v>19832.45954211659</v>
      </c>
      <c r="H418" s="73">
        <f t="shared" ca="1" si="141"/>
        <v>19402.132503976922</v>
      </c>
      <c r="I418" s="73">
        <f t="shared" ca="1" si="141"/>
        <v>18930.333432951898</v>
      </c>
    </row>
    <row r="420" spans="1:9" ht="15" customHeight="1" x14ac:dyDescent="0.2">
      <c r="A420" s="6" t="s">
        <v>130</v>
      </c>
      <c r="B420" s="6"/>
      <c r="C420" s="6"/>
      <c r="D420" s="6"/>
      <c r="E420" s="6"/>
      <c r="F420" s="6"/>
      <c r="G420" s="6"/>
      <c r="H420" s="6"/>
      <c r="I420" s="6"/>
    </row>
    <row r="421" spans="1:9" ht="15" customHeight="1" x14ac:dyDescent="0.2">
      <c r="A421" s="48" t="s">
        <v>307</v>
      </c>
      <c r="B421" s="93">
        <f t="shared" ref="B421:I421" ca="1" si="142">B429+B423*B428</f>
        <v>8.9941630383142887E-2</v>
      </c>
      <c r="C421" s="93">
        <f t="shared" ca="1" si="142"/>
        <v>8.987549263961836E-2</v>
      </c>
      <c r="D421" s="93">
        <f t="shared" ca="1" si="142"/>
        <v>9.6809930319781384E-2</v>
      </c>
      <c r="E421" s="93">
        <f t="shared" ca="1" si="142"/>
        <v>0.11035014309094043</v>
      </c>
      <c r="F421" s="93">
        <f t="shared" ca="1" si="142"/>
        <v>0.10326327703126476</v>
      </c>
      <c r="G421" s="93">
        <f t="shared" ca="1" si="142"/>
        <v>0.10343954659570692</v>
      </c>
      <c r="H421" s="93">
        <f t="shared" ca="1" si="142"/>
        <v>0.10481392481813644</v>
      </c>
      <c r="I421" s="93">
        <f t="shared" ca="1" si="142"/>
        <v>0.12184022379332107</v>
      </c>
    </row>
    <row r="423" spans="1:9" ht="15" customHeight="1" x14ac:dyDescent="0.2">
      <c r="A423" s="42" t="s">
        <v>134</v>
      </c>
      <c r="B423" s="94">
        <f t="shared" ref="B423:I423" ca="1" si="143">B426*(1+(1-B424)*B425)</f>
        <v>1.0946143349022353</v>
      </c>
      <c r="C423" s="94">
        <f t="shared" ca="1" si="143"/>
        <v>1.0858169449749935</v>
      </c>
      <c r="D423" s="94">
        <f t="shared" ca="1" si="143"/>
        <v>1.0933521996352973</v>
      </c>
      <c r="E423" s="94">
        <f t="shared" ca="1" si="143"/>
        <v>1.2724858470132865</v>
      </c>
      <c r="F423" s="94">
        <f t="shared" ca="1" si="143"/>
        <v>1.2762713905926841</v>
      </c>
      <c r="G423" s="94">
        <f t="shared" ca="1" si="143"/>
        <v>1.2758742600579398</v>
      </c>
      <c r="H423" s="94">
        <f t="shared" ca="1" si="143"/>
        <v>1.2773881213914726</v>
      </c>
      <c r="I423" s="94">
        <f t="shared" ca="1" si="143"/>
        <v>1.3905550780467433</v>
      </c>
    </row>
    <row r="424" spans="1:9" ht="15" customHeight="1" x14ac:dyDescent="0.2">
      <c r="A424" s="48" t="s">
        <v>23</v>
      </c>
      <c r="B424" s="95">
        <f t="shared" ref="B424:I424" si="144">B547</f>
        <v>0.36</v>
      </c>
      <c r="C424" s="95">
        <f t="shared" si="144"/>
        <v>0.36</v>
      </c>
      <c r="D424" s="95">
        <f t="shared" si="144"/>
        <v>0.36</v>
      </c>
      <c r="E424" s="95">
        <f t="shared" si="144"/>
        <v>0.38</v>
      </c>
      <c r="F424" s="95">
        <f t="shared" si="144"/>
        <v>0.38</v>
      </c>
      <c r="G424" s="95">
        <f t="shared" si="144"/>
        <v>0.38</v>
      </c>
      <c r="H424" s="95">
        <f t="shared" si="144"/>
        <v>0.38</v>
      </c>
      <c r="I424" s="95">
        <f t="shared" si="144"/>
        <v>0.38</v>
      </c>
    </row>
    <row r="425" spans="1:9" ht="15" customHeight="1" x14ac:dyDescent="0.2">
      <c r="A425" s="48" t="s">
        <v>132</v>
      </c>
      <c r="B425" s="95">
        <f t="shared" ref="B425:I425" ca="1" si="145">IF(B410=0,0,B418/B410)</f>
        <v>6.4809415264728304E-2</v>
      </c>
      <c r="C425" s="95">
        <f t="shared" ca="1" si="145"/>
        <v>5.1730767377630708E-2</v>
      </c>
      <c r="D425" s="95">
        <f t="shared" ca="1" si="145"/>
        <v>6.2933060700626015E-2</v>
      </c>
      <c r="E425" s="95">
        <f t="shared" ca="1" si="145"/>
        <v>3.459317677979188E-2</v>
      </c>
      <c r="F425" s="95">
        <f t="shared" ca="1" si="145"/>
        <v>4.1264893095698467E-2</v>
      </c>
      <c r="G425" s="95">
        <f t="shared" ca="1" si="145"/>
        <v>4.0750174459475048E-2</v>
      </c>
      <c r="H425" s="95">
        <f t="shared" ca="1" si="145"/>
        <v>4.271228155740623E-2</v>
      </c>
      <c r="I425" s="95">
        <f t="shared" ca="1" si="145"/>
        <v>4.1185010517727723E-2</v>
      </c>
    </row>
    <row r="426" spans="1:9" ht="15" customHeight="1" x14ac:dyDescent="0.2">
      <c r="A426" s="48" t="s">
        <v>133</v>
      </c>
      <c r="B426" s="94">
        <f t="shared" ref="B426:I426" ca="1" si="146">B828</f>
        <v>1.0510200962651641</v>
      </c>
      <c r="C426" s="94">
        <f t="shared" ca="1" si="146"/>
        <v>1.0510200962651641</v>
      </c>
      <c r="D426" s="94">
        <f t="shared" ca="1" si="146"/>
        <v>1.0510200962651641</v>
      </c>
      <c r="E426" s="94">
        <f t="shared" ca="1" si="146"/>
        <v>1.2457669250257106</v>
      </c>
      <c r="F426" s="94">
        <f t="shared" ca="1" si="146"/>
        <v>1.2444335127542099</v>
      </c>
      <c r="G426" s="94">
        <f t="shared" ca="1" si="146"/>
        <v>1.2444335127542099</v>
      </c>
      <c r="H426" s="94">
        <f t="shared" ca="1" si="146"/>
        <v>1.2444335127542099</v>
      </c>
      <c r="I426" s="94">
        <f t="shared" ca="1" si="146"/>
        <v>1.3559317585301836</v>
      </c>
    </row>
    <row r="427" spans="1:9" ht="15" customHeight="1" x14ac:dyDescent="0.2">
      <c r="A427" s="48"/>
      <c r="B427" s="94"/>
      <c r="C427" s="94"/>
      <c r="D427" s="94"/>
      <c r="E427" s="94"/>
      <c r="F427" s="94"/>
      <c r="G427" s="94"/>
      <c r="H427" s="94"/>
      <c r="I427" s="94"/>
    </row>
    <row r="428" spans="1:9" ht="15" customHeight="1" x14ac:dyDescent="0.2">
      <c r="A428" s="48" t="s">
        <v>131</v>
      </c>
      <c r="B428" s="52">
        <f t="shared" ref="B428:I428" ca="1" si="147">B829</f>
        <v>6.4352921514986672E-2</v>
      </c>
      <c r="C428" s="52">
        <f t="shared" ca="1" si="147"/>
        <v>6.4352921514986672E-2</v>
      </c>
      <c r="D428" s="52">
        <f t="shared" ca="1" si="147"/>
        <v>6.5861604653835504E-2</v>
      </c>
      <c r="E428" s="52">
        <f t="shared" ca="1" si="147"/>
        <v>6.6287686648085528E-2</v>
      </c>
      <c r="F428" s="52">
        <f t="shared" ca="1" si="147"/>
        <v>5.9754749337324775E-2</v>
      </c>
      <c r="G428" s="52">
        <f t="shared" ca="1" si="147"/>
        <v>5.9754749337324775E-2</v>
      </c>
      <c r="H428" s="52">
        <f t="shared" ca="1" si="147"/>
        <v>5.8254749337324781E-2</v>
      </c>
      <c r="I428" s="52">
        <f t="shared" ca="1" si="147"/>
        <v>6.6045728963375794E-2</v>
      </c>
    </row>
    <row r="429" spans="1:9" ht="15" customHeight="1" x14ac:dyDescent="0.2">
      <c r="A429" s="42" t="s">
        <v>104</v>
      </c>
      <c r="B429" s="52">
        <f t="shared" ref="B429:I429" si="148">B564</f>
        <v>1.95E-2</v>
      </c>
      <c r="C429" s="52">
        <f t="shared" si="148"/>
        <v>0.02</v>
      </c>
      <c r="D429" s="52">
        <f t="shared" si="148"/>
        <v>2.4799999999999999E-2</v>
      </c>
      <c r="E429" s="52">
        <f t="shared" si="148"/>
        <v>2.5999999999999999E-2</v>
      </c>
      <c r="F429" s="52">
        <f t="shared" si="148"/>
        <v>2.7E-2</v>
      </c>
      <c r="G429" s="52">
        <f t="shared" si="148"/>
        <v>2.7199999999999998E-2</v>
      </c>
      <c r="H429" s="52">
        <f t="shared" si="148"/>
        <v>3.04E-2</v>
      </c>
      <c r="I429" s="52">
        <f t="shared" si="148"/>
        <v>0.03</v>
      </c>
    </row>
    <row r="431" spans="1:9" ht="15" customHeight="1" x14ac:dyDescent="0.2">
      <c r="A431" s="3" t="s">
        <v>504</v>
      </c>
      <c r="B431" s="3" t="str">
        <f t="shared" ref="B431:I431" si="149">B$831</f>
        <v>Multi Business (Global Industry Averages)</v>
      </c>
      <c r="C431" s="3" t="str">
        <f t="shared" si="149"/>
        <v>Multi Business (Global Industry Averages)</v>
      </c>
      <c r="D431" s="3" t="str">
        <f t="shared" si="149"/>
        <v>Multi Business (Global Industry Averages)</v>
      </c>
      <c r="E431" s="3" t="str">
        <f t="shared" si="149"/>
        <v>Multi Business (Global Industry Averages)</v>
      </c>
      <c r="F431" s="3" t="str">
        <f t="shared" si="149"/>
        <v>Multi Business (Global Industry Averages)</v>
      </c>
      <c r="G431" s="3" t="str">
        <f t="shared" si="149"/>
        <v>Multi Business (Global Industry Averages)</v>
      </c>
      <c r="H431" s="3" t="str">
        <f t="shared" si="149"/>
        <v>Multi Business (Global Industry Averages)</v>
      </c>
      <c r="I431" s="3" t="str">
        <f t="shared" si="149"/>
        <v>Multi Business (Global Industry Averages)</v>
      </c>
    </row>
    <row r="432" spans="1:9" ht="15" customHeight="1" x14ac:dyDescent="0.2">
      <c r="A432" s="3" t="s">
        <v>52</v>
      </c>
      <c r="B432" s="96">
        <f t="shared" ref="B432:I432" si="150">+SUMPRODUCT(B433:B442,B445:B454)</f>
        <v>1.0510200962651641</v>
      </c>
      <c r="C432" s="96">
        <f t="shared" si="150"/>
        <v>1.0510200962651641</v>
      </c>
      <c r="D432" s="96">
        <f t="shared" si="150"/>
        <v>1.0510200962651641</v>
      </c>
      <c r="E432" s="96">
        <f t="shared" si="150"/>
        <v>1.2457669250257106</v>
      </c>
      <c r="F432" s="96">
        <f t="shared" si="150"/>
        <v>1.2444335127542099</v>
      </c>
      <c r="G432" s="96">
        <f t="shared" si="150"/>
        <v>1.2444335127542099</v>
      </c>
      <c r="H432" s="96">
        <f t="shared" si="150"/>
        <v>1.2444335127542099</v>
      </c>
      <c r="I432" s="96">
        <f t="shared" si="150"/>
        <v>1.3559317585301836</v>
      </c>
    </row>
    <row r="433" spans="1:9" ht="15" customHeight="1" x14ac:dyDescent="0.2">
      <c r="A433" s="3" t="s">
        <v>39</v>
      </c>
      <c r="B433" s="49">
        <f t="shared" ref="B433:I442" si="151">B832</f>
        <v>1.0510200962651641</v>
      </c>
      <c r="C433" s="49">
        <f t="shared" si="151"/>
        <v>1.0510200962651641</v>
      </c>
      <c r="D433" s="49">
        <f t="shared" si="151"/>
        <v>1.0510200962651641</v>
      </c>
      <c r="E433" s="49">
        <f t="shared" si="151"/>
        <v>1.2457669250257106</v>
      </c>
      <c r="F433" s="49">
        <f t="shared" si="151"/>
        <v>1.2444335127542099</v>
      </c>
      <c r="G433" s="49">
        <f t="shared" si="151"/>
        <v>1.2444335127542099</v>
      </c>
      <c r="H433" s="49">
        <f t="shared" si="151"/>
        <v>1.2444335127542099</v>
      </c>
      <c r="I433" s="49">
        <f t="shared" si="151"/>
        <v>1.3559317585301836</v>
      </c>
    </row>
    <row r="434" spans="1:9" ht="15" customHeight="1" x14ac:dyDescent="0.2">
      <c r="A434" s="3" t="s">
        <v>40</v>
      </c>
      <c r="B434" s="49">
        <f t="shared" si="151"/>
        <v>0</v>
      </c>
      <c r="C434" s="49">
        <f t="shared" si="151"/>
        <v>0</v>
      </c>
      <c r="D434" s="49">
        <f t="shared" si="151"/>
        <v>0</v>
      </c>
      <c r="E434" s="49">
        <f t="shared" si="151"/>
        <v>0</v>
      </c>
      <c r="F434" s="49">
        <f t="shared" si="151"/>
        <v>0</v>
      </c>
      <c r="G434" s="49">
        <f t="shared" si="151"/>
        <v>0</v>
      </c>
      <c r="H434" s="49">
        <f t="shared" si="151"/>
        <v>0</v>
      </c>
      <c r="I434" s="49">
        <f t="shared" si="151"/>
        <v>0</v>
      </c>
    </row>
    <row r="435" spans="1:9" ht="15" customHeight="1" x14ac:dyDescent="0.2">
      <c r="A435" s="3" t="s">
        <v>41</v>
      </c>
      <c r="B435" s="49">
        <f t="shared" si="151"/>
        <v>0</v>
      </c>
      <c r="C435" s="49">
        <f t="shared" si="151"/>
        <v>0</v>
      </c>
      <c r="D435" s="49">
        <f t="shared" si="151"/>
        <v>0</v>
      </c>
      <c r="E435" s="49">
        <f t="shared" si="151"/>
        <v>0</v>
      </c>
      <c r="F435" s="49">
        <f t="shared" si="151"/>
        <v>0</v>
      </c>
      <c r="G435" s="49">
        <f t="shared" si="151"/>
        <v>0</v>
      </c>
      <c r="H435" s="49">
        <f t="shared" si="151"/>
        <v>0</v>
      </c>
      <c r="I435" s="49">
        <f t="shared" si="151"/>
        <v>0</v>
      </c>
    </row>
    <row r="436" spans="1:9" ht="15" customHeight="1" x14ac:dyDescent="0.2">
      <c r="A436" s="3" t="s">
        <v>42</v>
      </c>
      <c r="B436" s="49">
        <f t="shared" si="151"/>
        <v>0</v>
      </c>
      <c r="C436" s="49">
        <f t="shared" si="151"/>
        <v>0</v>
      </c>
      <c r="D436" s="49">
        <f t="shared" si="151"/>
        <v>0</v>
      </c>
      <c r="E436" s="49">
        <f t="shared" si="151"/>
        <v>0</v>
      </c>
      <c r="F436" s="49">
        <f t="shared" si="151"/>
        <v>0</v>
      </c>
      <c r="G436" s="49">
        <f t="shared" si="151"/>
        <v>0</v>
      </c>
      <c r="H436" s="49">
        <f t="shared" si="151"/>
        <v>0</v>
      </c>
      <c r="I436" s="49">
        <f t="shared" si="151"/>
        <v>0</v>
      </c>
    </row>
    <row r="437" spans="1:9" ht="15" customHeight="1" x14ac:dyDescent="0.2">
      <c r="A437" s="3" t="s">
        <v>43</v>
      </c>
      <c r="B437" s="49">
        <f t="shared" si="151"/>
        <v>0</v>
      </c>
      <c r="C437" s="49">
        <f t="shared" si="151"/>
        <v>0</v>
      </c>
      <c r="D437" s="49">
        <f t="shared" si="151"/>
        <v>0</v>
      </c>
      <c r="E437" s="49">
        <f t="shared" si="151"/>
        <v>0</v>
      </c>
      <c r="F437" s="49">
        <f t="shared" si="151"/>
        <v>0</v>
      </c>
      <c r="G437" s="49">
        <f t="shared" si="151"/>
        <v>0</v>
      </c>
      <c r="H437" s="49">
        <f t="shared" si="151"/>
        <v>0</v>
      </c>
      <c r="I437" s="49">
        <f t="shared" si="151"/>
        <v>0</v>
      </c>
    </row>
    <row r="438" spans="1:9" ht="15" customHeight="1" x14ac:dyDescent="0.2">
      <c r="A438" s="3" t="s">
        <v>44</v>
      </c>
      <c r="B438" s="49">
        <f t="shared" si="151"/>
        <v>0</v>
      </c>
      <c r="C438" s="49">
        <f t="shared" si="151"/>
        <v>0</v>
      </c>
      <c r="D438" s="49">
        <f t="shared" si="151"/>
        <v>0</v>
      </c>
      <c r="E438" s="49">
        <f t="shared" si="151"/>
        <v>0</v>
      </c>
      <c r="F438" s="49">
        <f t="shared" si="151"/>
        <v>0</v>
      </c>
      <c r="G438" s="49">
        <f t="shared" si="151"/>
        <v>0</v>
      </c>
      <c r="H438" s="49">
        <f t="shared" si="151"/>
        <v>0</v>
      </c>
      <c r="I438" s="49">
        <f t="shared" si="151"/>
        <v>0</v>
      </c>
    </row>
    <row r="439" spans="1:9" ht="15" customHeight="1" x14ac:dyDescent="0.2">
      <c r="A439" s="3" t="s">
        <v>45</v>
      </c>
      <c r="B439" s="49">
        <f t="shared" si="151"/>
        <v>0</v>
      </c>
      <c r="C439" s="49">
        <f t="shared" si="151"/>
        <v>0</v>
      </c>
      <c r="D439" s="49">
        <f t="shared" si="151"/>
        <v>0</v>
      </c>
      <c r="E439" s="49">
        <f t="shared" si="151"/>
        <v>0</v>
      </c>
      <c r="F439" s="49">
        <f t="shared" si="151"/>
        <v>0</v>
      </c>
      <c r="G439" s="49">
        <f t="shared" si="151"/>
        <v>0</v>
      </c>
      <c r="H439" s="49">
        <f t="shared" si="151"/>
        <v>0</v>
      </c>
      <c r="I439" s="49">
        <f t="shared" si="151"/>
        <v>0</v>
      </c>
    </row>
    <row r="440" spans="1:9" ht="15" customHeight="1" x14ac:dyDescent="0.2">
      <c r="A440" s="3" t="s">
        <v>46</v>
      </c>
      <c r="B440" s="49">
        <f t="shared" si="151"/>
        <v>0</v>
      </c>
      <c r="C440" s="49">
        <f t="shared" si="151"/>
        <v>0</v>
      </c>
      <c r="D440" s="49">
        <f t="shared" si="151"/>
        <v>0</v>
      </c>
      <c r="E440" s="49">
        <f t="shared" si="151"/>
        <v>0</v>
      </c>
      <c r="F440" s="49">
        <f t="shared" si="151"/>
        <v>0</v>
      </c>
      <c r="G440" s="49">
        <f t="shared" si="151"/>
        <v>0</v>
      </c>
      <c r="H440" s="49">
        <f t="shared" si="151"/>
        <v>0</v>
      </c>
      <c r="I440" s="49">
        <f t="shared" si="151"/>
        <v>0</v>
      </c>
    </row>
    <row r="441" spans="1:9" ht="15" customHeight="1" x14ac:dyDescent="0.2">
      <c r="A441" s="3" t="s">
        <v>47</v>
      </c>
      <c r="B441" s="49">
        <f t="shared" si="151"/>
        <v>0</v>
      </c>
      <c r="C441" s="49">
        <f t="shared" si="151"/>
        <v>0</v>
      </c>
      <c r="D441" s="49">
        <f t="shared" si="151"/>
        <v>0</v>
      </c>
      <c r="E441" s="49">
        <f t="shared" si="151"/>
        <v>0</v>
      </c>
      <c r="F441" s="49">
        <f t="shared" si="151"/>
        <v>0</v>
      </c>
      <c r="G441" s="49">
        <f t="shared" si="151"/>
        <v>0</v>
      </c>
      <c r="H441" s="49">
        <f t="shared" si="151"/>
        <v>0</v>
      </c>
      <c r="I441" s="49">
        <f t="shared" si="151"/>
        <v>0</v>
      </c>
    </row>
    <row r="442" spans="1:9" ht="15" customHeight="1" x14ac:dyDescent="0.2">
      <c r="A442" s="3" t="s">
        <v>48</v>
      </c>
      <c r="B442" s="49">
        <f t="shared" si="151"/>
        <v>0</v>
      </c>
      <c r="C442" s="49">
        <f t="shared" si="151"/>
        <v>0</v>
      </c>
      <c r="D442" s="49">
        <f t="shared" si="151"/>
        <v>0</v>
      </c>
      <c r="E442" s="49">
        <f t="shared" si="151"/>
        <v>0</v>
      </c>
      <c r="F442" s="49">
        <f t="shared" si="151"/>
        <v>0</v>
      </c>
      <c r="G442" s="49">
        <f t="shared" si="151"/>
        <v>0</v>
      </c>
      <c r="H442" s="49">
        <f t="shared" si="151"/>
        <v>0</v>
      </c>
      <c r="I442" s="49">
        <f t="shared" si="151"/>
        <v>0</v>
      </c>
    </row>
    <row r="444" spans="1:9" ht="15" customHeight="1" x14ac:dyDescent="0.2">
      <c r="A444" s="3" t="s">
        <v>53</v>
      </c>
      <c r="B444" s="72">
        <f t="shared" ref="B444:I444" si="152">+SUM(B445:B454)</f>
        <v>1</v>
      </c>
      <c r="C444" s="72">
        <f t="shared" si="152"/>
        <v>1</v>
      </c>
      <c r="D444" s="72">
        <f t="shared" si="152"/>
        <v>1</v>
      </c>
      <c r="E444" s="72">
        <f t="shared" si="152"/>
        <v>1</v>
      </c>
      <c r="F444" s="72">
        <f t="shared" si="152"/>
        <v>1</v>
      </c>
      <c r="G444" s="72">
        <f t="shared" si="152"/>
        <v>1</v>
      </c>
      <c r="H444" s="72">
        <f t="shared" si="152"/>
        <v>1</v>
      </c>
      <c r="I444" s="72">
        <f t="shared" si="152"/>
        <v>1</v>
      </c>
    </row>
    <row r="445" spans="1:9" ht="15" customHeight="1" x14ac:dyDescent="0.2">
      <c r="A445" s="3" t="str">
        <f t="shared" ref="A445:A454" si="153">A433</f>
        <v>B1</v>
      </c>
      <c r="B445" s="8">
        <f t="shared" ref="B445:I445" si="154">+B457/B456</f>
        <v>1</v>
      </c>
      <c r="C445" s="8">
        <f t="shared" si="154"/>
        <v>1</v>
      </c>
      <c r="D445" s="8">
        <f t="shared" si="154"/>
        <v>1</v>
      </c>
      <c r="E445" s="8">
        <f t="shared" si="154"/>
        <v>1</v>
      </c>
      <c r="F445" s="8">
        <f t="shared" si="154"/>
        <v>1</v>
      </c>
      <c r="G445" s="8">
        <f t="shared" si="154"/>
        <v>1</v>
      </c>
      <c r="H445" s="8">
        <f t="shared" si="154"/>
        <v>1</v>
      </c>
      <c r="I445" s="8">
        <f t="shared" si="154"/>
        <v>1</v>
      </c>
    </row>
    <row r="446" spans="1:9" ht="15" customHeight="1" x14ac:dyDescent="0.2">
      <c r="A446" s="3" t="str">
        <f t="shared" si="153"/>
        <v>B2</v>
      </c>
      <c r="B446" s="8">
        <f t="shared" ref="B446:I446" si="155">+B458/B456</f>
        <v>0</v>
      </c>
      <c r="C446" s="8">
        <f t="shared" si="155"/>
        <v>0</v>
      </c>
      <c r="D446" s="8">
        <f t="shared" si="155"/>
        <v>0</v>
      </c>
      <c r="E446" s="8">
        <f t="shared" si="155"/>
        <v>0</v>
      </c>
      <c r="F446" s="8">
        <f t="shared" si="155"/>
        <v>0</v>
      </c>
      <c r="G446" s="8">
        <f t="shared" si="155"/>
        <v>0</v>
      </c>
      <c r="H446" s="8">
        <f t="shared" si="155"/>
        <v>0</v>
      </c>
      <c r="I446" s="8">
        <f t="shared" si="155"/>
        <v>0</v>
      </c>
    </row>
    <row r="447" spans="1:9" ht="15" customHeight="1" x14ac:dyDescent="0.2">
      <c r="A447" s="3" t="str">
        <f t="shared" si="153"/>
        <v>B3</v>
      </c>
      <c r="B447" s="8">
        <f t="shared" ref="B447:I447" si="156">+B459/B456</f>
        <v>0</v>
      </c>
      <c r="C447" s="8">
        <f t="shared" si="156"/>
        <v>0</v>
      </c>
      <c r="D447" s="8">
        <f t="shared" si="156"/>
        <v>0</v>
      </c>
      <c r="E447" s="8">
        <f t="shared" si="156"/>
        <v>0</v>
      </c>
      <c r="F447" s="8">
        <f t="shared" si="156"/>
        <v>0</v>
      </c>
      <c r="G447" s="8">
        <f t="shared" si="156"/>
        <v>0</v>
      </c>
      <c r="H447" s="8">
        <f t="shared" si="156"/>
        <v>0</v>
      </c>
      <c r="I447" s="8">
        <f t="shared" si="156"/>
        <v>0</v>
      </c>
    </row>
    <row r="448" spans="1:9" ht="15" customHeight="1" x14ac:dyDescent="0.2">
      <c r="A448" s="3" t="str">
        <f t="shared" si="153"/>
        <v>B4</v>
      </c>
      <c r="B448" s="8">
        <f t="shared" ref="B448:I448" si="157">+B460/B456</f>
        <v>0</v>
      </c>
      <c r="C448" s="8">
        <f t="shared" si="157"/>
        <v>0</v>
      </c>
      <c r="D448" s="8">
        <f t="shared" si="157"/>
        <v>0</v>
      </c>
      <c r="E448" s="8">
        <f t="shared" si="157"/>
        <v>0</v>
      </c>
      <c r="F448" s="8">
        <f t="shared" si="157"/>
        <v>0</v>
      </c>
      <c r="G448" s="8">
        <f t="shared" si="157"/>
        <v>0</v>
      </c>
      <c r="H448" s="8">
        <f t="shared" si="157"/>
        <v>0</v>
      </c>
      <c r="I448" s="8">
        <f t="shared" si="157"/>
        <v>0</v>
      </c>
    </row>
    <row r="449" spans="1:9" ht="15" customHeight="1" x14ac:dyDescent="0.2">
      <c r="A449" s="3" t="str">
        <f t="shared" si="153"/>
        <v>B5</v>
      </c>
      <c r="B449" s="8">
        <f t="shared" ref="B449:I449" si="158">+B461/B456</f>
        <v>0</v>
      </c>
      <c r="C449" s="8">
        <f t="shared" si="158"/>
        <v>0</v>
      </c>
      <c r="D449" s="8">
        <f t="shared" si="158"/>
        <v>0</v>
      </c>
      <c r="E449" s="8">
        <f t="shared" si="158"/>
        <v>0</v>
      </c>
      <c r="F449" s="8">
        <f t="shared" si="158"/>
        <v>0</v>
      </c>
      <c r="G449" s="8">
        <f t="shared" si="158"/>
        <v>0</v>
      </c>
      <c r="H449" s="8">
        <f t="shared" si="158"/>
        <v>0</v>
      </c>
      <c r="I449" s="8">
        <f t="shared" si="158"/>
        <v>0</v>
      </c>
    </row>
    <row r="450" spans="1:9" ht="15" customHeight="1" x14ac:dyDescent="0.2">
      <c r="A450" s="3" t="str">
        <f t="shared" si="153"/>
        <v>B6</v>
      </c>
      <c r="B450" s="8">
        <f t="shared" ref="B450:I450" si="159">+B462/B456</f>
        <v>0</v>
      </c>
      <c r="C450" s="8">
        <f t="shared" si="159"/>
        <v>0</v>
      </c>
      <c r="D450" s="8">
        <f t="shared" si="159"/>
        <v>0</v>
      </c>
      <c r="E450" s="8">
        <f t="shared" si="159"/>
        <v>0</v>
      </c>
      <c r="F450" s="8">
        <f t="shared" si="159"/>
        <v>0</v>
      </c>
      <c r="G450" s="8">
        <f t="shared" si="159"/>
        <v>0</v>
      </c>
      <c r="H450" s="8">
        <f t="shared" si="159"/>
        <v>0</v>
      </c>
      <c r="I450" s="8">
        <f t="shared" si="159"/>
        <v>0</v>
      </c>
    </row>
    <row r="451" spans="1:9" ht="15" customHeight="1" x14ac:dyDescent="0.2">
      <c r="A451" s="3" t="str">
        <f t="shared" si="153"/>
        <v>B7</v>
      </c>
      <c r="B451" s="8">
        <f t="shared" ref="B451:I451" si="160">+B463/B456</f>
        <v>0</v>
      </c>
      <c r="C451" s="8">
        <f t="shared" si="160"/>
        <v>0</v>
      </c>
      <c r="D451" s="8">
        <f t="shared" si="160"/>
        <v>0</v>
      </c>
      <c r="E451" s="8">
        <f t="shared" si="160"/>
        <v>0</v>
      </c>
      <c r="F451" s="8">
        <f t="shared" si="160"/>
        <v>0</v>
      </c>
      <c r="G451" s="8">
        <f t="shared" si="160"/>
        <v>0</v>
      </c>
      <c r="H451" s="8">
        <f t="shared" si="160"/>
        <v>0</v>
      </c>
      <c r="I451" s="8">
        <f t="shared" si="160"/>
        <v>0</v>
      </c>
    </row>
    <row r="452" spans="1:9" ht="15" customHeight="1" x14ac:dyDescent="0.2">
      <c r="A452" s="3" t="str">
        <f t="shared" si="153"/>
        <v>B8</v>
      </c>
      <c r="B452" s="8">
        <f t="shared" ref="B452:I452" si="161">+B464/B456</f>
        <v>0</v>
      </c>
      <c r="C452" s="8">
        <f t="shared" si="161"/>
        <v>0</v>
      </c>
      <c r="D452" s="8">
        <f t="shared" si="161"/>
        <v>0</v>
      </c>
      <c r="E452" s="8">
        <f t="shared" si="161"/>
        <v>0</v>
      </c>
      <c r="F452" s="8">
        <f t="shared" si="161"/>
        <v>0</v>
      </c>
      <c r="G452" s="8">
        <f t="shared" si="161"/>
        <v>0</v>
      </c>
      <c r="H452" s="8">
        <f t="shared" si="161"/>
        <v>0</v>
      </c>
      <c r="I452" s="8">
        <f t="shared" si="161"/>
        <v>0</v>
      </c>
    </row>
    <row r="453" spans="1:9" ht="15" customHeight="1" x14ac:dyDescent="0.2">
      <c r="A453" s="3" t="str">
        <f t="shared" si="153"/>
        <v>B9</v>
      </c>
      <c r="B453" s="8">
        <f t="shared" ref="B453:I453" si="162">+B465/B456</f>
        <v>0</v>
      </c>
      <c r="C453" s="8">
        <f t="shared" si="162"/>
        <v>0</v>
      </c>
      <c r="D453" s="8">
        <f t="shared" si="162"/>
        <v>0</v>
      </c>
      <c r="E453" s="8">
        <f t="shared" si="162"/>
        <v>0</v>
      </c>
      <c r="F453" s="8">
        <f t="shared" si="162"/>
        <v>0</v>
      </c>
      <c r="G453" s="8">
        <f t="shared" si="162"/>
        <v>0</v>
      </c>
      <c r="H453" s="8">
        <f t="shared" si="162"/>
        <v>0</v>
      </c>
      <c r="I453" s="8">
        <f t="shared" si="162"/>
        <v>0</v>
      </c>
    </row>
    <row r="454" spans="1:9" ht="15" customHeight="1" x14ac:dyDescent="0.2">
      <c r="A454" s="3" t="str">
        <f t="shared" si="153"/>
        <v>B10</v>
      </c>
      <c r="B454" s="8">
        <f t="shared" ref="B454:I454" si="163">+B466/B456</f>
        <v>0</v>
      </c>
      <c r="C454" s="8">
        <f t="shared" si="163"/>
        <v>0</v>
      </c>
      <c r="D454" s="8">
        <f t="shared" si="163"/>
        <v>0</v>
      </c>
      <c r="E454" s="8">
        <f t="shared" si="163"/>
        <v>0</v>
      </c>
      <c r="F454" s="8">
        <f t="shared" si="163"/>
        <v>0</v>
      </c>
      <c r="G454" s="8">
        <f t="shared" si="163"/>
        <v>0</v>
      </c>
      <c r="H454" s="8">
        <f t="shared" si="163"/>
        <v>0</v>
      </c>
      <c r="I454" s="8">
        <f t="shared" si="163"/>
        <v>0</v>
      </c>
    </row>
    <row r="456" spans="1:9" ht="15" customHeight="1" x14ac:dyDescent="0.2">
      <c r="A456" s="3" t="s">
        <v>51</v>
      </c>
      <c r="B456" s="50">
        <f t="shared" ref="B456:I456" si="164">+SUM(B457:B466)</f>
        <v>562668.77470862947</v>
      </c>
      <c r="C456" s="50">
        <f t="shared" si="164"/>
        <v>612879.31366425834</v>
      </c>
      <c r="D456" s="50">
        <f t="shared" si="164"/>
        <v>472987.48562694876</v>
      </c>
      <c r="E456" s="50">
        <f t="shared" si="164"/>
        <v>426816.42895912519</v>
      </c>
      <c r="F456" s="50">
        <f t="shared" si="164"/>
        <v>356173.66467207344</v>
      </c>
      <c r="G456" s="50">
        <f t="shared" si="164"/>
        <v>347670.15954211657</v>
      </c>
      <c r="H456" s="50">
        <f t="shared" si="164"/>
        <v>326891.13250397693</v>
      </c>
      <c r="I456" s="50">
        <f t="shared" si="164"/>
        <v>332300.29283412866</v>
      </c>
    </row>
    <row r="457" spans="1:9" ht="15" customHeight="1" x14ac:dyDescent="0.2">
      <c r="A457" s="3" t="str">
        <f t="shared" ref="A457:A466" si="165">A445</f>
        <v>B1</v>
      </c>
      <c r="B457" s="50">
        <f t="shared" ref="B457:I466" si="166">B469*B481</f>
        <v>562668.77470862947</v>
      </c>
      <c r="C457" s="50">
        <f t="shared" si="166"/>
        <v>612879.31366425834</v>
      </c>
      <c r="D457" s="50">
        <f t="shared" si="166"/>
        <v>472987.48562694876</v>
      </c>
      <c r="E457" s="50">
        <f t="shared" si="166"/>
        <v>426816.42895912519</v>
      </c>
      <c r="F457" s="50">
        <f t="shared" si="166"/>
        <v>356173.66467207344</v>
      </c>
      <c r="G457" s="50">
        <f t="shared" si="166"/>
        <v>347670.15954211657</v>
      </c>
      <c r="H457" s="50">
        <f t="shared" si="166"/>
        <v>326891.13250397693</v>
      </c>
      <c r="I457" s="50">
        <f t="shared" si="166"/>
        <v>332300.29283412866</v>
      </c>
    </row>
    <row r="458" spans="1:9" ht="15" customHeight="1" x14ac:dyDescent="0.2">
      <c r="A458" s="3" t="str">
        <f t="shared" si="165"/>
        <v>B2</v>
      </c>
      <c r="B458" s="50">
        <f t="shared" si="166"/>
        <v>0</v>
      </c>
      <c r="C458" s="50">
        <f t="shared" si="166"/>
        <v>0</v>
      </c>
      <c r="D458" s="50">
        <f t="shared" si="166"/>
        <v>0</v>
      </c>
      <c r="E458" s="50">
        <f t="shared" si="166"/>
        <v>0</v>
      </c>
      <c r="F458" s="50">
        <f t="shared" si="166"/>
        <v>0</v>
      </c>
      <c r="G458" s="50">
        <f t="shared" si="166"/>
        <v>0</v>
      </c>
      <c r="H458" s="50">
        <f t="shared" si="166"/>
        <v>0</v>
      </c>
      <c r="I458" s="50">
        <f t="shared" si="166"/>
        <v>0</v>
      </c>
    </row>
    <row r="459" spans="1:9" ht="15" customHeight="1" x14ac:dyDescent="0.2">
      <c r="A459" s="3" t="str">
        <f t="shared" si="165"/>
        <v>B3</v>
      </c>
      <c r="B459" s="50">
        <f t="shared" si="166"/>
        <v>0</v>
      </c>
      <c r="C459" s="50">
        <f t="shared" si="166"/>
        <v>0</v>
      </c>
      <c r="D459" s="50">
        <f t="shared" si="166"/>
        <v>0</v>
      </c>
      <c r="E459" s="50">
        <f t="shared" si="166"/>
        <v>0</v>
      </c>
      <c r="F459" s="50">
        <f t="shared" si="166"/>
        <v>0</v>
      </c>
      <c r="G459" s="50">
        <f t="shared" si="166"/>
        <v>0</v>
      </c>
      <c r="H459" s="50">
        <f t="shared" si="166"/>
        <v>0</v>
      </c>
      <c r="I459" s="50">
        <f t="shared" si="166"/>
        <v>0</v>
      </c>
    </row>
    <row r="460" spans="1:9" ht="15" customHeight="1" x14ac:dyDescent="0.2">
      <c r="A460" s="3" t="str">
        <f t="shared" si="165"/>
        <v>B4</v>
      </c>
      <c r="B460" s="50">
        <f t="shared" si="166"/>
        <v>0</v>
      </c>
      <c r="C460" s="50">
        <f t="shared" si="166"/>
        <v>0</v>
      </c>
      <c r="D460" s="50">
        <f t="shared" si="166"/>
        <v>0</v>
      </c>
      <c r="E460" s="50">
        <f t="shared" si="166"/>
        <v>0</v>
      </c>
      <c r="F460" s="50">
        <f t="shared" si="166"/>
        <v>0</v>
      </c>
      <c r="G460" s="50">
        <f t="shared" si="166"/>
        <v>0</v>
      </c>
      <c r="H460" s="50">
        <f t="shared" si="166"/>
        <v>0</v>
      </c>
      <c r="I460" s="50">
        <f t="shared" si="166"/>
        <v>0</v>
      </c>
    </row>
    <row r="461" spans="1:9" ht="15" customHeight="1" x14ac:dyDescent="0.2">
      <c r="A461" s="3" t="str">
        <f t="shared" si="165"/>
        <v>B5</v>
      </c>
      <c r="B461" s="50">
        <f t="shared" si="166"/>
        <v>0</v>
      </c>
      <c r="C461" s="50">
        <f t="shared" si="166"/>
        <v>0</v>
      </c>
      <c r="D461" s="50">
        <f t="shared" si="166"/>
        <v>0</v>
      </c>
      <c r="E461" s="50">
        <f t="shared" si="166"/>
        <v>0</v>
      </c>
      <c r="F461" s="50">
        <f t="shared" si="166"/>
        <v>0</v>
      </c>
      <c r="G461" s="50">
        <f t="shared" si="166"/>
        <v>0</v>
      </c>
      <c r="H461" s="50">
        <f t="shared" si="166"/>
        <v>0</v>
      </c>
      <c r="I461" s="50">
        <f t="shared" si="166"/>
        <v>0</v>
      </c>
    </row>
    <row r="462" spans="1:9" ht="15" customHeight="1" x14ac:dyDescent="0.2">
      <c r="A462" s="3" t="str">
        <f t="shared" si="165"/>
        <v>B6</v>
      </c>
      <c r="B462" s="50">
        <f t="shared" si="166"/>
        <v>0</v>
      </c>
      <c r="C462" s="50">
        <f t="shared" si="166"/>
        <v>0</v>
      </c>
      <c r="D462" s="50">
        <f t="shared" si="166"/>
        <v>0</v>
      </c>
      <c r="E462" s="50">
        <f t="shared" si="166"/>
        <v>0</v>
      </c>
      <c r="F462" s="50">
        <f t="shared" si="166"/>
        <v>0</v>
      </c>
      <c r="G462" s="50">
        <f t="shared" si="166"/>
        <v>0</v>
      </c>
      <c r="H462" s="50">
        <f t="shared" si="166"/>
        <v>0</v>
      </c>
      <c r="I462" s="50">
        <f t="shared" si="166"/>
        <v>0</v>
      </c>
    </row>
    <row r="463" spans="1:9" ht="15" customHeight="1" x14ac:dyDescent="0.2">
      <c r="A463" s="3" t="str">
        <f t="shared" si="165"/>
        <v>B7</v>
      </c>
      <c r="B463" s="50">
        <f t="shared" si="166"/>
        <v>0</v>
      </c>
      <c r="C463" s="50">
        <f t="shared" si="166"/>
        <v>0</v>
      </c>
      <c r="D463" s="50">
        <f t="shared" si="166"/>
        <v>0</v>
      </c>
      <c r="E463" s="50">
        <f t="shared" si="166"/>
        <v>0</v>
      </c>
      <c r="F463" s="50">
        <f t="shared" si="166"/>
        <v>0</v>
      </c>
      <c r="G463" s="50">
        <f t="shared" si="166"/>
        <v>0</v>
      </c>
      <c r="H463" s="50">
        <f t="shared" si="166"/>
        <v>0</v>
      </c>
      <c r="I463" s="50">
        <f t="shared" si="166"/>
        <v>0</v>
      </c>
    </row>
    <row r="464" spans="1:9" ht="15" customHeight="1" x14ac:dyDescent="0.2">
      <c r="A464" s="3" t="str">
        <f t="shared" si="165"/>
        <v>B8</v>
      </c>
      <c r="B464" s="50">
        <f t="shared" si="166"/>
        <v>0</v>
      </c>
      <c r="C464" s="50">
        <f t="shared" si="166"/>
        <v>0</v>
      </c>
      <c r="D464" s="50">
        <f t="shared" si="166"/>
        <v>0</v>
      </c>
      <c r="E464" s="50">
        <f t="shared" si="166"/>
        <v>0</v>
      </c>
      <c r="F464" s="50">
        <f t="shared" si="166"/>
        <v>0</v>
      </c>
      <c r="G464" s="50">
        <f t="shared" si="166"/>
        <v>0</v>
      </c>
      <c r="H464" s="50">
        <f t="shared" si="166"/>
        <v>0</v>
      </c>
      <c r="I464" s="50">
        <f t="shared" si="166"/>
        <v>0</v>
      </c>
    </row>
    <row r="465" spans="1:9" ht="15" customHeight="1" x14ac:dyDescent="0.2">
      <c r="A465" s="3" t="str">
        <f t="shared" si="165"/>
        <v>B9</v>
      </c>
      <c r="B465" s="50">
        <f t="shared" si="166"/>
        <v>0</v>
      </c>
      <c r="C465" s="50">
        <f t="shared" si="166"/>
        <v>0</v>
      </c>
      <c r="D465" s="50">
        <f t="shared" si="166"/>
        <v>0</v>
      </c>
      <c r="E465" s="50">
        <f t="shared" si="166"/>
        <v>0</v>
      </c>
      <c r="F465" s="50">
        <f t="shared" si="166"/>
        <v>0</v>
      </c>
      <c r="G465" s="50">
        <f t="shared" si="166"/>
        <v>0</v>
      </c>
      <c r="H465" s="50">
        <f t="shared" si="166"/>
        <v>0</v>
      </c>
      <c r="I465" s="50">
        <f t="shared" si="166"/>
        <v>0</v>
      </c>
    </row>
    <row r="466" spans="1:9" ht="15" customHeight="1" x14ac:dyDescent="0.2">
      <c r="A466" s="3" t="str">
        <f t="shared" si="165"/>
        <v>B10</v>
      </c>
      <c r="B466" s="50">
        <f t="shared" si="166"/>
        <v>0</v>
      </c>
      <c r="C466" s="50">
        <f t="shared" si="166"/>
        <v>0</v>
      </c>
      <c r="D466" s="50">
        <f t="shared" si="166"/>
        <v>0</v>
      </c>
      <c r="E466" s="50">
        <f t="shared" si="166"/>
        <v>0</v>
      </c>
      <c r="F466" s="50">
        <f t="shared" si="166"/>
        <v>0</v>
      </c>
      <c r="G466" s="50">
        <f t="shared" si="166"/>
        <v>0</v>
      </c>
      <c r="H466" s="50">
        <f t="shared" si="166"/>
        <v>0</v>
      </c>
      <c r="I466" s="50">
        <f t="shared" si="166"/>
        <v>0</v>
      </c>
    </row>
    <row r="467" spans="1:9" ht="15" customHeight="1" x14ac:dyDescent="0.2">
      <c r="A467" s="1"/>
    </row>
    <row r="468" spans="1:9" ht="15" customHeight="1" x14ac:dyDescent="0.2">
      <c r="A468" s="3" t="s">
        <v>50</v>
      </c>
    </row>
    <row r="469" spans="1:9" ht="15" customHeight="1" x14ac:dyDescent="0.2">
      <c r="A469" s="3" t="str">
        <f t="shared" ref="A469:A478" si="167">A457</f>
        <v>B1</v>
      </c>
      <c r="B469" s="49">
        <f t="shared" ref="B469:I478" si="168">B844</f>
        <v>2.6520464108360962</v>
      </c>
      <c r="C469" s="49">
        <f t="shared" si="168"/>
        <v>3.0674640323536453</v>
      </c>
      <c r="D469" s="49">
        <f t="shared" si="168"/>
        <v>2.58752966780792</v>
      </c>
      <c r="E469" s="49">
        <f t="shared" si="168"/>
        <v>2.3959068447948018</v>
      </c>
      <c r="F469" s="49">
        <f t="shared" si="168"/>
        <v>2.023311640708231</v>
      </c>
      <c r="G469" s="49">
        <f t="shared" si="168"/>
        <v>1.9981962362759009</v>
      </c>
      <c r="H469" s="49">
        <f t="shared" si="168"/>
        <v>1.9126507079982267</v>
      </c>
      <c r="I469" s="49">
        <f t="shared" si="168"/>
        <v>1.9615846900553036</v>
      </c>
    </row>
    <row r="470" spans="1:9" ht="15" customHeight="1" x14ac:dyDescent="0.2">
      <c r="A470" s="3" t="str">
        <f t="shared" si="167"/>
        <v>B2</v>
      </c>
      <c r="B470" s="49">
        <f t="shared" si="168"/>
        <v>0</v>
      </c>
      <c r="C470" s="49">
        <f t="shared" si="168"/>
        <v>0</v>
      </c>
      <c r="D470" s="49">
        <f t="shared" si="168"/>
        <v>0</v>
      </c>
      <c r="E470" s="49">
        <f t="shared" si="168"/>
        <v>0</v>
      </c>
      <c r="F470" s="49">
        <f t="shared" si="168"/>
        <v>0</v>
      </c>
      <c r="G470" s="49">
        <f t="shared" si="168"/>
        <v>0</v>
      </c>
      <c r="H470" s="49">
        <f t="shared" si="168"/>
        <v>0</v>
      </c>
      <c r="I470" s="49">
        <f t="shared" si="168"/>
        <v>0</v>
      </c>
    </row>
    <row r="471" spans="1:9" ht="15" customHeight="1" x14ac:dyDescent="0.2">
      <c r="A471" s="3" t="str">
        <f t="shared" si="167"/>
        <v>B3</v>
      </c>
      <c r="B471" s="49">
        <f t="shared" si="168"/>
        <v>0</v>
      </c>
      <c r="C471" s="49">
        <f t="shared" si="168"/>
        <v>0</v>
      </c>
      <c r="D471" s="49">
        <f t="shared" si="168"/>
        <v>0</v>
      </c>
      <c r="E471" s="49">
        <f t="shared" si="168"/>
        <v>0</v>
      </c>
      <c r="F471" s="49">
        <f t="shared" si="168"/>
        <v>0</v>
      </c>
      <c r="G471" s="49">
        <f t="shared" si="168"/>
        <v>0</v>
      </c>
      <c r="H471" s="49">
        <f t="shared" si="168"/>
        <v>0</v>
      </c>
      <c r="I471" s="49">
        <f t="shared" si="168"/>
        <v>0</v>
      </c>
    </row>
    <row r="472" spans="1:9" ht="15" customHeight="1" x14ac:dyDescent="0.2">
      <c r="A472" s="3" t="str">
        <f t="shared" si="167"/>
        <v>B4</v>
      </c>
      <c r="B472" s="49">
        <f t="shared" si="168"/>
        <v>0</v>
      </c>
      <c r="C472" s="49">
        <f t="shared" si="168"/>
        <v>0</v>
      </c>
      <c r="D472" s="49">
        <f t="shared" si="168"/>
        <v>0</v>
      </c>
      <c r="E472" s="49">
        <f t="shared" si="168"/>
        <v>0</v>
      </c>
      <c r="F472" s="49">
        <f t="shared" si="168"/>
        <v>0</v>
      </c>
      <c r="G472" s="49">
        <f t="shared" si="168"/>
        <v>0</v>
      </c>
      <c r="H472" s="49">
        <f t="shared" si="168"/>
        <v>0</v>
      </c>
      <c r="I472" s="49">
        <f t="shared" si="168"/>
        <v>0</v>
      </c>
    </row>
    <row r="473" spans="1:9" ht="15" customHeight="1" x14ac:dyDescent="0.2">
      <c r="A473" s="3" t="str">
        <f t="shared" si="167"/>
        <v>B5</v>
      </c>
      <c r="B473" s="49">
        <f t="shared" si="168"/>
        <v>0</v>
      </c>
      <c r="C473" s="49">
        <f t="shared" si="168"/>
        <v>0</v>
      </c>
      <c r="D473" s="49">
        <f t="shared" si="168"/>
        <v>0</v>
      </c>
      <c r="E473" s="49">
        <f t="shared" si="168"/>
        <v>0</v>
      </c>
      <c r="F473" s="49">
        <f t="shared" si="168"/>
        <v>0</v>
      </c>
      <c r="G473" s="49">
        <f t="shared" si="168"/>
        <v>0</v>
      </c>
      <c r="H473" s="49">
        <f t="shared" si="168"/>
        <v>0</v>
      </c>
      <c r="I473" s="49">
        <f t="shared" si="168"/>
        <v>0</v>
      </c>
    </row>
    <row r="474" spans="1:9" ht="15" customHeight="1" x14ac:dyDescent="0.2">
      <c r="A474" s="3" t="str">
        <f t="shared" si="167"/>
        <v>B6</v>
      </c>
      <c r="B474" s="49">
        <f t="shared" si="168"/>
        <v>0</v>
      </c>
      <c r="C474" s="49">
        <f t="shared" si="168"/>
        <v>0</v>
      </c>
      <c r="D474" s="49">
        <f t="shared" si="168"/>
        <v>0</v>
      </c>
      <c r="E474" s="49">
        <f t="shared" si="168"/>
        <v>0</v>
      </c>
      <c r="F474" s="49">
        <f t="shared" si="168"/>
        <v>0</v>
      </c>
      <c r="G474" s="49">
        <f t="shared" si="168"/>
        <v>0</v>
      </c>
      <c r="H474" s="49">
        <f t="shared" si="168"/>
        <v>0</v>
      </c>
      <c r="I474" s="49">
        <f t="shared" si="168"/>
        <v>0</v>
      </c>
    </row>
    <row r="475" spans="1:9" ht="15" customHeight="1" x14ac:dyDescent="0.2">
      <c r="A475" s="3" t="str">
        <f t="shared" si="167"/>
        <v>B7</v>
      </c>
      <c r="B475" s="49">
        <f t="shared" si="168"/>
        <v>0</v>
      </c>
      <c r="C475" s="49">
        <f t="shared" si="168"/>
        <v>0</v>
      </c>
      <c r="D475" s="49">
        <f t="shared" si="168"/>
        <v>0</v>
      </c>
      <c r="E475" s="49">
        <f t="shared" si="168"/>
        <v>0</v>
      </c>
      <c r="F475" s="49">
        <f t="shared" si="168"/>
        <v>0</v>
      </c>
      <c r="G475" s="49">
        <f t="shared" si="168"/>
        <v>0</v>
      </c>
      <c r="H475" s="49">
        <f t="shared" si="168"/>
        <v>0</v>
      </c>
      <c r="I475" s="49">
        <f t="shared" si="168"/>
        <v>0</v>
      </c>
    </row>
    <row r="476" spans="1:9" ht="15" customHeight="1" x14ac:dyDescent="0.2">
      <c r="A476" s="3" t="str">
        <f t="shared" si="167"/>
        <v>B8</v>
      </c>
      <c r="B476" s="49">
        <f t="shared" si="168"/>
        <v>0</v>
      </c>
      <c r="C476" s="49">
        <f t="shared" si="168"/>
        <v>0</v>
      </c>
      <c r="D476" s="49">
        <f t="shared" si="168"/>
        <v>0</v>
      </c>
      <c r="E476" s="49">
        <f t="shared" si="168"/>
        <v>0</v>
      </c>
      <c r="F476" s="49">
        <f t="shared" si="168"/>
        <v>0</v>
      </c>
      <c r="G476" s="49">
        <f t="shared" si="168"/>
        <v>0</v>
      </c>
      <c r="H476" s="49">
        <f t="shared" si="168"/>
        <v>0</v>
      </c>
      <c r="I476" s="49">
        <f t="shared" si="168"/>
        <v>0</v>
      </c>
    </row>
    <row r="477" spans="1:9" ht="15" customHeight="1" x14ac:dyDescent="0.2">
      <c r="A477" s="3" t="str">
        <f t="shared" si="167"/>
        <v>B9</v>
      </c>
      <c r="B477" s="49">
        <f t="shared" si="168"/>
        <v>0</v>
      </c>
      <c r="C477" s="49">
        <f t="shared" si="168"/>
        <v>0</v>
      </c>
      <c r="D477" s="49">
        <f t="shared" si="168"/>
        <v>0</v>
      </c>
      <c r="E477" s="49">
        <f t="shared" si="168"/>
        <v>0</v>
      </c>
      <c r="F477" s="49">
        <f t="shared" si="168"/>
        <v>0</v>
      </c>
      <c r="G477" s="49">
        <f t="shared" si="168"/>
        <v>0</v>
      </c>
      <c r="H477" s="49">
        <f t="shared" si="168"/>
        <v>0</v>
      </c>
      <c r="I477" s="49">
        <f t="shared" si="168"/>
        <v>0</v>
      </c>
    </row>
    <row r="478" spans="1:9" ht="15" customHeight="1" x14ac:dyDescent="0.2">
      <c r="A478" s="3" t="str">
        <f t="shared" si="167"/>
        <v>B10</v>
      </c>
      <c r="B478" s="49">
        <f t="shared" si="168"/>
        <v>0</v>
      </c>
      <c r="C478" s="49">
        <f t="shared" si="168"/>
        <v>0</v>
      </c>
      <c r="D478" s="49">
        <f t="shared" si="168"/>
        <v>0</v>
      </c>
      <c r="E478" s="49">
        <f t="shared" si="168"/>
        <v>0</v>
      </c>
      <c r="F478" s="49">
        <f t="shared" si="168"/>
        <v>0</v>
      </c>
      <c r="G478" s="49">
        <f t="shared" si="168"/>
        <v>0</v>
      </c>
      <c r="H478" s="49">
        <f t="shared" si="168"/>
        <v>0</v>
      </c>
      <c r="I478" s="49">
        <f t="shared" si="168"/>
        <v>0</v>
      </c>
    </row>
    <row r="479" spans="1:9" ht="15" customHeight="1" x14ac:dyDescent="0.2">
      <c r="A479" s="1"/>
    </row>
    <row r="480" spans="1:9" ht="15" customHeight="1" x14ac:dyDescent="0.2">
      <c r="A480" s="3" t="s">
        <v>49</v>
      </c>
      <c r="B480" s="50">
        <f t="shared" ref="B480:I480" si="169">+SUM(B481:B490)</f>
        <v>212164</v>
      </c>
      <c r="C480" s="50">
        <f t="shared" si="169"/>
        <v>199800</v>
      </c>
      <c r="D480" s="50">
        <f t="shared" si="169"/>
        <v>182795</v>
      </c>
      <c r="E480" s="50">
        <f t="shared" si="169"/>
        <v>178144</v>
      </c>
      <c r="F480" s="50">
        <f t="shared" si="169"/>
        <v>176035</v>
      </c>
      <c r="G480" s="50">
        <f t="shared" si="169"/>
        <v>173992</v>
      </c>
      <c r="H480" s="50">
        <f t="shared" si="169"/>
        <v>170910</v>
      </c>
      <c r="I480" s="50">
        <f t="shared" si="169"/>
        <v>169404</v>
      </c>
    </row>
    <row r="481" spans="1:9" ht="15" customHeight="1" x14ac:dyDescent="0.2">
      <c r="A481" s="3" t="str">
        <f t="shared" ref="A481:A490" si="170">A469</f>
        <v>B1</v>
      </c>
      <c r="B481" s="50">
        <f t="shared" ref="B481:I490" si="171">+B856</f>
        <v>212164</v>
      </c>
      <c r="C481" s="50">
        <f t="shared" si="171"/>
        <v>199800</v>
      </c>
      <c r="D481" s="50">
        <f t="shared" si="171"/>
        <v>182795</v>
      </c>
      <c r="E481" s="50">
        <f t="shared" si="171"/>
        <v>178144</v>
      </c>
      <c r="F481" s="50">
        <f t="shared" si="171"/>
        <v>176035</v>
      </c>
      <c r="G481" s="50">
        <f t="shared" si="171"/>
        <v>173992</v>
      </c>
      <c r="H481" s="50">
        <f t="shared" si="171"/>
        <v>170910</v>
      </c>
      <c r="I481" s="50">
        <f t="shared" si="171"/>
        <v>169404</v>
      </c>
    </row>
    <row r="482" spans="1:9" ht="15" customHeight="1" x14ac:dyDescent="0.2">
      <c r="A482" s="3" t="str">
        <f t="shared" si="170"/>
        <v>B2</v>
      </c>
      <c r="B482" s="50">
        <f t="shared" si="171"/>
        <v>0</v>
      </c>
      <c r="C482" s="50">
        <f t="shared" si="171"/>
        <v>0</v>
      </c>
      <c r="D482" s="50">
        <f t="shared" si="171"/>
        <v>0</v>
      </c>
      <c r="E482" s="50">
        <f t="shared" si="171"/>
        <v>0</v>
      </c>
      <c r="F482" s="50">
        <f t="shared" si="171"/>
        <v>0</v>
      </c>
      <c r="G482" s="50">
        <f t="shared" si="171"/>
        <v>0</v>
      </c>
      <c r="H482" s="50">
        <f t="shared" si="171"/>
        <v>0</v>
      </c>
      <c r="I482" s="50">
        <f t="shared" si="171"/>
        <v>0</v>
      </c>
    </row>
    <row r="483" spans="1:9" ht="15" customHeight="1" x14ac:dyDescent="0.2">
      <c r="A483" s="3" t="str">
        <f t="shared" si="170"/>
        <v>B3</v>
      </c>
      <c r="B483" s="50">
        <f t="shared" si="171"/>
        <v>0</v>
      </c>
      <c r="C483" s="50">
        <f t="shared" si="171"/>
        <v>0</v>
      </c>
      <c r="D483" s="50">
        <f t="shared" si="171"/>
        <v>0</v>
      </c>
      <c r="E483" s="50">
        <f t="shared" si="171"/>
        <v>0</v>
      </c>
      <c r="F483" s="50">
        <f t="shared" si="171"/>
        <v>0</v>
      </c>
      <c r="G483" s="50">
        <f t="shared" si="171"/>
        <v>0</v>
      </c>
      <c r="H483" s="50">
        <f t="shared" si="171"/>
        <v>0</v>
      </c>
      <c r="I483" s="50">
        <f t="shared" si="171"/>
        <v>0</v>
      </c>
    </row>
    <row r="484" spans="1:9" ht="15" customHeight="1" x14ac:dyDescent="0.2">
      <c r="A484" s="3" t="str">
        <f t="shared" si="170"/>
        <v>B4</v>
      </c>
      <c r="B484" s="50">
        <f t="shared" si="171"/>
        <v>0</v>
      </c>
      <c r="C484" s="50">
        <f t="shared" si="171"/>
        <v>0</v>
      </c>
      <c r="D484" s="50">
        <f t="shared" si="171"/>
        <v>0</v>
      </c>
      <c r="E484" s="50">
        <f t="shared" si="171"/>
        <v>0</v>
      </c>
      <c r="F484" s="50">
        <f t="shared" si="171"/>
        <v>0</v>
      </c>
      <c r="G484" s="50">
        <f t="shared" si="171"/>
        <v>0</v>
      </c>
      <c r="H484" s="50">
        <f t="shared" si="171"/>
        <v>0</v>
      </c>
      <c r="I484" s="50">
        <f t="shared" si="171"/>
        <v>0</v>
      </c>
    </row>
    <row r="485" spans="1:9" ht="15" customHeight="1" x14ac:dyDescent="0.2">
      <c r="A485" s="3" t="str">
        <f t="shared" si="170"/>
        <v>B5</v>
      </c>
      <c r="B485" s="50">
        <f t="shared" si="171"/>
        <v>0</v>
      </c>
      <c r="C485" s="50">
        <f t="shared" si="171"/>
        <v>0</v>
      </c>
      <c r="D485" s="50">
        <f t="shared" si="171"/>
        <v>0</v>
      </c>
      <c r="E485" s="50">
        <f t="shared" si="171"/>
        <v>0</v>
      </c>
      <c r="F485" s="50">
        <f t="shared" si="171"/>
        <v>0</v>
      </c>
      <c r="G485" s="50">
        <f t="shared" si="171"/>
        <v>0</v>
      </c>
      <c r="H485" s="50">
        <f t="shared" si="171"/>
        <v>0</v>
      </c>
      <c r="I485" s="50">
        <f t="shared" si="171"/>
        <v>0</v>
      </c>
    </row>
    <row r="486" spans="1:9" ht="15" customHeight="1" x14ac:dyDescent="0.2">
      <c r="A486" s="3" t="str">
        <f t="shared" si="170"/>
        <v>B6</v>
      </c>
      <c r="B486" s="50">
        <f t="shared" si="171"/>
        <v>0</v>
      </c>
      <c r="C486" s="50">
        <f t="shared" si="171"/>
        <v>0</v>
      </c>
      <c r="D486" s="50">
        <f t="shared" si="171"/>
        <v>0</v>
      </c>
      <c r="E486" s="50">
        <f t="shared" si="171"/>
        <v>0</v>
      </c>
      <c r="F486" s="50">
        <f t="shared" si="171"/>
        <v>0</v>
      </c>
      <c r="G486" s="50">
        <f t="shared" si="171"/>
        <v>0</v>
      </c>
      <c r="H486" s="50">
        <f t="shared" si="171"/>
        <v>0</v>
      </c>
      <c r="I486" s="50">
        <f t="shared" si="171"/>
        <v>0</v>
      </c>
    </row>
    <row r="487" spans="1:9" ht="15" customHeight="1" x14ac:dyDescent="0.2">
      <c r="A487" s="3" t="str">
        <f t="shared" si="170"/>
        <v>B7</v>
      </c>
      <c r="B487" s="50">
        <f t="shared" si="171"/>
        <v>0</v>
      </c>
      <c r="C487" s="50">
        <f t="shared" si="171"/>
        <v>0</v>
      </c>
      <c r="D487" s="50">
        <f t="shared" si="171"/>
        <v>0</v>
      </c>
      <c r="E487" s="50">
        <f t="shared" si="171"/>
        <v>0</v>
      </c>
      <c r="F487" s="50">
        <f t="shared" si="171"/>
        <v>0</v>
      </c>
      <c r="G487" s="50">
        <f t="shared" si="171"/>
        <v>0</v>
      </c>
      <c r="H487" s="50">
        <f t="shared" si="171"/>
        <v>0</v>
      </c>
      <c r="I487" s="50">
        <f t="shared" si="171"/>
        <v>0</v>
      </c>
    </row>
    <row r="488" spans="1:9" ht="15" customHeight="1" x14ac:dyDescent="0.2">
      <c r="A488" s="3" t="str">
        <f t="shared" si="170"/>
        <v>B8</v>
      </c>
      <c r="B488" s="50">
        <f t="shared" si="171"/>
        <v>0</v>
      </c>
      <c r="C488" s="50">
        <f t="shared" si="171"/>
        <v>0</v>
      </c>
      <c r="D488" s="50">
        <f t="shared" si="171"/>
        <v>0</v>
      </c>
      <c r="E488" s="50">
        <f t="shared" si="171"/>
        <v>0</v>
      </c>
      <c r="F488" s="50">
        <f t="shared" si="171"/>
        <v>0</v>
      </c>
      <c r="G488" s="50">
        <f t="shared" si="171"/>
        <v>0</v>
      </c>
      <c r="H488" s="50">
        <f t="shared" si="171"/>
        <v>0</v>
      </c>
      <c r="I488" s="50">
        <f t="shared" si="171"/>
        <v>0</v>
      </c>
    </row>
    <row r="489" spans="1:9" ht="15" customHeight="1" x14ac:dyDescent="0.2">
      <c r="A489" s="3" t="str">
        <f t="shared" si="170"/>
        <v>B9</v>
      </c>
      <c r="B489" s="50">
        <f t="shared" si="171"/>
        <v>0</v>
      </c>
      <c r="C489" s="50">
        <f t="shared" si="171"/>
        <v>0</v>
      </c>
      <c r="D489" s="50">
        <f t="shared" si="171"/>
        <v>0</v>
      </c>
      <c r="E489" s="50">
        <f t="shared" si="171"/>
        <v>0</v>
      </c>
      <c r="F489" s="50">
        <f t="shared" si="171"/>
        <v>0</v>
      </c>
      <c r="G489" s="50">
        <f t="shared" si="171"/>
        <v>0</v>
      </c>
      <c r="H489" s="50">
        <f t="shared" si="171"/>
        <v>0</v>
      </c>
      <c r="I489" s="50">
        <f t="shared" si="171"/>
        <v>0</v>
      </c>
    </row>
    <row r="490" spans="1:9" ht="15" customHeight="1" x14ac:dyDescent="0.2">
      <c r="A490" s="3" t="str">
        <f t="shared" si="170"/>
        <v>B10</v>
      </c>
      <c r="B490" s="50">
        <f t="shared" si="171"/>
        <v>0</v>
      </c>
      <c r="C490" s="50">
        <f t="shared" si="171"/>
        <v>0</v>
      </c>
      <c r="D490" s="50">
        <f t="shared" si="171"/>
        <v>0</v>
      </c>
      <c r="E490" s="50">
        <f t="shared" si="171"/>
        <v>0</v>
      </c>
      <c r="F490" s="50">
        <f t="shared" si="171"/>
        <v>0</v>
      </c>
      <c r="G490" s="50">
        <f t="shared" si="171"/>
        <v>0</v>
      </c>
      <c r="H490" s="50">
        <f t="shared" si="171"/>
        <v>0</v>
      </c>
      <c r="I490" s="50">
        <f t="shared" si="171"/>
        <v>0</v>
      </c>
    </row>
    <row r="493" spans="1:9" ht="15" customHeight="1" x14ac:dyDescent="0.2">
      <c r="A493" s="3" t="s">
        <v>507</v>
      </c>
      <c r="B493" s="3" t="str">
        <f t="shared" ref="B493:I493" si="172">B867</f>
        <v>Operating Regions</v>
      </c>
      <c r="C493" s="3" t="str">
        <f t="shared" si="172"/>
        <v>Operating Regions</v>
      </c>
      <c r="D493" s="3" t="str">
        <f t="shared" si="172"/>
        <v>Operating Regions</v>
      </c>
      <c r="E493" s="3" t="str">
        <f t="shared" si="172"/>
        <v>Operating Regions</v>
      </c>
      <c r="F493" s="3" t="str">
        <f t="shared" si="172"/>
        <v>Operating Regions</v>
      </c>
      <c r="G493" s="3" t="str">
        <f t="shared" si="172"/>
        <v>Operating Regions</v>
      </c>
      <c r="H493" s="3" t="str">
        <f t="shared" si="172"/>
        <v>Operating Regions</v>
      </c>
      <c r="I493" s="3" t="str">
        <f t="shared" si="172"/>
        <v>Operating Regions</v>
      </c>
    </row>
    <row r="494" spans="1:9" ht="15" customHeight="1" x14ac:dyDescent="0.2">
      <c r="A494" s="3" t="s">
        <v>55</v>
      </c>
      <c r="B494" s="72">
        <f t="shared" ref="B494:I494" si="173">+SUMPRODUCT(B507:B516,B519:B528)</f>
        <v>6.4352921514986672E-2</v>
      </c>
      <c r="C494" s="72">
        <f t="shared" si="173"/>
        <v>6.4352921514986672E-2</v>
      </c>
      <c r="D494" s="72">
        <f t="shared" si="173"/>
        <v>6.5861604653835504E-2</v>
      </c>
      <c r="E494" s="72">
        <f t="shared" si="173"/>
        <v>6.6287686648085528E-2</v>
      </c>
      <c r="F494" s="72">
        <f t="shared" si="173"/>
        <v>5.9754749337324775E-2</v>
      </c>
      <c r="G494" s="72">
        <f t="shared" si="173"/>
        <v>5.9754749337324775E-2</v>
      </c>
      <c r="H494" s="72">
        <f t="shared" si="173"/>
        <v>5.8254749337324781E-2</v>
      </c>
      <c r="I494" s="72">
        <f t="shared" si="173"/>
        <v>6.6045728963375794E-2</v>
      </c>
    </row>
    <row r="495" spans="1:9" ht="15" customHeight="1" x14ac:dyDescent="0.2">
      <c r="A495" s="3" t="str">
        <f>+$A868</f>
        <v>F1</v>
      </c>
      <c r="B495" s="8">
        <f t="shared" ref="B495:I504" si="174">B507*B519</f>
        <v>6.4352921514986672E-2</v>
      </c>
      <c r="C495" s="8">
        <f t="shared" si="174"/>
        <v>6.4352921514986672E-2</v>
      </c>
      <c r="D495" s="8">
        <f t="shared" si="174"/>
        <v>6.5861604653835504E-2</v>
      </c>
      <c r="E495" s="8">
        <f t="shared" si="174"/>
        <v>6.6287686648085528E-2</v>
      </c>
      <c r="F495" s="8">
        <f t="shared" si="174"/>
        <v>5.9754749337324775E-2</v>
      </c>
      <c r="G495" s="8">
        <f t="shared" si="174"/>
        <v>5.9754749337324775E-2</v>
      </c>
      <c r="H495" s="8">
        <f t="shared" si="174"/>
        <v>5.8254749337324781E-2</v>
      </c>
      <c r="I495" s="8">
        <f t="shared" si="174"/>
        <v>6.6045728963375794E-2</v>
      </c>
    </row>
    <row r="496" spans="1:9" ht="15" customHeight="1" x14ac:dyDescent="0.2">
      <c r="A496" s="3" t="str">
        <f t="shared" ref="A496:A504" si="175">+$A869</f>
        <v>F2</v>
      </c>
      <c r="B496" s="8">
        <f t="shared" si="174"/>
        <v>0</v>
      </c>
      <c r="C496" s="8">
        <f t="shared" si="174"/>
        <v>0</v>
      </c>
      <c r="D496" s="8">
        <f t="shared" si="174"/>
        <v>0</v>
      </c>
      <c r="E496" s="8">
        <f t="shared" si="174"/>
        <v>0</v>
      </c>
      <c r="F496" s="8">
        <f t="shared" si="174"/>
        <v>0</v>
      </c>
      <c r="G496" s="8">
        <f t="shared" si="174"/>
        <v>0</v>
      </c>
      <c r="H496" s="8">
        <f t="shared" si="174"/>
        <v>0</v>
      </c>
      <c r="I496" s="8">
        <f t="shared" si="174"/>
        <v>0</v>
      </c>
    </row>
    <row r="497" spans="1:9" ht="15" customHeight="1" x14ac:dyDescent="0.2">
      <c r="A497" s="3" t="str">
        <f t="shared" si="175"/>
        <v>F3</v>
      </c>
      <c r="B497" s="8">
        <f t="shared" si="174"/>
        <v>0</v>
      </c>
      <c r="C497" s="8">
        <f t="shared" si="174"/>
        <v>0</v>
      </c>
      <c r="D497" s="8">
        <f t="shared" si="174"/>
        <v>0</v>
      </c>
      <c r="E497" s="8">
        <f t="shared" si="174"/>
        <v>0</v>
      </c>
      <c r="F497" s="8">
        <f t="shared" si="174"/>
        <v>0</v>
      </c>
      <c r="G497" s="8">
        <f t="shared" si="174"/>
        <v>0</v>
      </c>
      <c r="H497" s="8">
        <f t="shared" si="174"/>
        <v>0</v>
      </c>
      <c r="I497" s="8">
        <f t="shared" si="174"/>
        <v>0</v>
      </c>
    </row>
    <row r="498" spans="1:9" ht="15" customHeight="1" x14ac:dyDescent="0.2">
      <c r="A498" s="3" t="str">
        <f t="shared" si="175"/>
        <v>F4</v>
      </c>
      <c r="B498" s="8">
        <f t="shared" si="174"/>
        <v>0</v>
      </c>
      <c r="C498" s="8">
        <f t="shared" si="174"/>
        <v>0</v>
      </c>
      <c r="D498" s="8">
        <f t="shared" si="174"/>
        <v>0</v>
      </c>
      <c r="E498" s="8">
        <f t="shared" si="174"/>
        <v>0</v>
      </c>
      <c r="F498" s="8">
        <f t="shared" si="174"/>
        <v>0</v>
      </c>
      <c r="G498" s="8">
        <f t="shared" si="174"/>
        <v>0</v>
      </c>
      <c r="H498" s="8">
        <f t="shared" si="174"/>
        <v>0</v>
      </c>
      <c r="I498" s="8">
        <f t="shared" si="174"/>
        <v>0</v>
      </c>
    </row>
    <row r="499" spans="1:9" ht="15" customHeight="1" x14ac:dyDescent="0.2">
      <c r="A499" s="3" t="str">
        <f t="shared" si="175"/>
        <v>F5</v>
      </c>
      <c r="B499" s="8">
        <f t="shared" si="174"/>
        <v>0</v>
      </c>
      <c r="C499" s="8">
        <f t="shared" si="174"/>
        <v>0</v>
      </c>
      <c r="D499" s="8">
        <f t="shared" si="174"/>
        <v>0</v>
      </c>
      <c r="E499" s="8">
        <f t="shared" si="174"/>
        <v>0</v>
      </c>
      <c r="F499" s="8">
        <f t="shared" si="174"/>
        <v>0</v>
      </c>
      <c r="G499" s="8">
        <f t="shared" si="174"/>
        <v>0</v>
      </c>
      <c r="H499" s="8">
        <f t="shared" si="174"/>
        <v>0</v>
      </c>
      <c r="I499" s="8">
        <f t="shared" si="174"/>
        <v>0</v>
      </c>
    </row>
    <row r="500" spans="1:9" ht="15" customHeight="1" x14ac:dyDescent="0.2">
      <c r="A500" s="3" t="str">
        <f t="shared" si="175"/>
        <v>F6</v>
      </c>
      <c r="B500" s="8">
        <f t="shared" si="174"/>
        <v>0</v>
      </c>
      <c r="C500" s="8">
        <f t="shared" si="174"/>
        <v>0</v>
      </c>
      <c r="D500" s="8">
        <f t="shared" si="174"/>
        <v>0</v>
      </c>
      <c r="E500" s="8">
        <f t="shared" si="174"/>
        <v>0</v>
      </c>
      <c r="F500" s="8">
        <f t="shared" si="174"/>
        <v>0</v>
      </c>
      <c r="G500" s="8">
        <f t="shared" si="174"/>
        <v>0</v>
      </c>
      <c r="H500" s="8">
        <f t="shared" si="174"/>
        <v>0</v>
      </c>
      <c r="I500" s="8">
        <f t="shared" si="174"/>
        <v>0</v>
      </c>
    </row>
    <row r="501" spans="1:9" ht="15" customHeight="1" x14ac:dyDescent="0.2">
      <c r="A501" s="3" t="str">
        <f t="shared" si="175"/>
        <v>F7</v>
      </c>
      <c r="B501" s="8">
        <f t="shared" si="174"/>
        <v>0</v>
      </c>
      <c r="C501" s="8">
        <f t="shared" si="174"/>
        <v>0</v>
      </c>
      <c r="D501" s="8">
        <f t="shared" si="174"/>
        <v>0</v>
      </c>
      <c r="E501" s="8">
        <f t="shared" si="174"/>
        <v>0</v>
      </c>
      <c r="F501" s="8">
        <f t="shared" si="174"/>
        <v>0</v>
      </c>
      <c r="G501" s="8">
        <f t="shared" si="174"/>
        <v>0</v>
      </c>
      <c r="H501" s="8">
        <f t="shared" si="174"/>
        <v>0</v>
      </c>
      <c r="I501" s="8">
        <f t="shared" si="174"/>
        <v>0</v>
      </c>
    </row>
    <row r="502" spans="1:9" ht="15" customHeight="1" x14ac:dyDescent="0.2">
      <c r="A502" s="3" t="str">
        <f t="shared" si="175"/>
        <v>F8</v>
      </c>
      <c r="B502" s="8">
        <f t="shared" si="174"/>
        <v>0</v>
      </c>
      <c r="C502" s="8">
        <f t="shared" si="174"/>
        <v>0</v>
      </c>
      <c r="D502" s="8">
        <f t="shared" si="174"/>
        <v>0</v>
      </c>
      <c r="E502" s="8">
        <f t="shared" si="174"/>
        <v>0</v>
      </c>
      <c r="F502" s="8">
        <f t="shared" si="174"/>
        <v>0</v>
      </c>
      <c r="G502" s="8">
        <f t="shared" si="174"/>
        <v>0</v>
      </c>
      <c r="H502" s="8">
        <f t="shared" si="174"/>
        <v>0</v>
      </c>
      <c r="I502" s="8">
        <f t="shared" si="174"/>
        <v>0</v>
      </c>
    </row>
    <row r="503" spans="1:9" ht="15" customHeight="1" x14ac:dyDescent="0.2">
      <c r="A503" s="3" t="str">
        <f t="shared" si="175"/>
        <v>F9</v>
      </c>
      <c r="B503" s="8">
        <f t="shared" si="174"/>
        <v>0</v>
      </c>
      <c r="C503" s="8">
        <f t="shared" si="174"/>
        <v>0</v>
      </c>
      <c r="D503" s="8">
        <f t="shared" si="174"/>
        <v>0</v>
      </c>
      <c r="E503" s="8">
        <f t="shared" si="174"/>
        <v>0</v>
      </c>
      <c r="F503" s="8">
        <f t="shared" si="174"/>
        <v>0</v>
      </c>
      <c r="G503" s="8">
        <f t="shared" si="174"/>
        <v>0</v>
      </c>
      <c r="H503" s="8">
        <f t="shared" si="174"/>
        <v>0</v>
      </c>
      <c r="I503" s="8">
        <f t="shared" si="174"/>
        <v>0</v>
      </c>
    </row>
    <row r="504" spans="1:9" ht="15" customHeight="1" x14ac:dyDescent="0.2">
      <c r="A504" s="3" t="str">
        <f t="shared" si="175"/>
        <v>F10</v>
      </c>
      <c r="B504" s="8">
        <f t="shared" si="174"/>
        <v>0</v>
      </c>
      <c r="C504" s="8">
        <f t="shared" si="174"/>
        <v>0</v>
      </c>
      <c r="D504" s="8">
        <f t="shared" si="174"/>
        <v>0</v>
      </c>
      <c r="E504" s="8">
        <f t="shared" si="174"/>
        <v>0</v>
      </c>
      <c r="F504" s="8">
        <f t="shared" si="174"/>
        <v>0</v>
      </c>
      <c r="G504" s="8">
        <f t="shared" si="174"/>
        <v>0</v>
      </c>
      <c r="H504" s="8">
        <f t="shared" si="174"/>
        <v>0</v>
      </c>
      <c r="I504" s="8">
        <f t="shared" si="174"/>
        <v>0</v>
      </c>
    </row>
    <row r="506" spans="1:9" ht="15" customHeight="1" x14ac:dyDescent="0.2">
      <c r="A506" s="3" t="s">
        <v>53</v>
      </c>
      <c r="B506" s="72">
        <f t="shared" ref="B506:I506" si="176">+SUM(B507:B516)</f>
        <v>1</v>
      </c>
      <c r="C506" s="72">
        <f t="shared" si="176"/>
        <v>1</v>
      </c>
      <c r="D506" s="72">
        <f t="shared" si="176"/>
        <v>1</v>
      </c>
      <c r="E506" s="72">
        <f t="shared" si="176"/>
        <v>1</v>
      </c>
      <c r="F506" s="72">
        <f t="shared" si="176"/>
        <v>1</v>
      </c>
      <c r="G506" s="72">
        <f t="shared" si="176"/>
        <v>1</v>
      </c>
      <c r="H506" s="72">
        <f t="shared" si="176"/>
        <v>1</v>
      </c>
      <c r="I506" s="72">
        <f t="shared" si="176"/>
        <v>1</v>
      </c>
    </row>
    <row r="507" spans="1:9" ht="15" customHeight="1" x14ac:dyDescent="0.2">
      <c r="A507" s="3" t="str">
        <f t="shared" ref="A507:A516" si="177">A495</f>
        <v>F1</v>
      </c>
      <c r="B507" s="8">
        <f t="shared" ref="B507:I507" si="178">+B531/B530</f>
        <v>1</v>
      </c>
      <c r="C507" s="8">
        <f t="shared" si="178"/>
        <v>1</v>
      </c>
      <c r="D507" s="8">
        <f t="shared" si="178"/>
        <v>1</v>
      </c>
      <c r="E507" s="8">
        <f t="shared" si="178"/>
        <v>1</v>
      </c>
      <c r="F507" s="8">
        <f t="shared" si="178"/>
        <v>1</v>
      </c>
      <c r="G507" s="8">
        <f t="shared" si="178"/>
        <v>1</v>
      </c>
      <c r="H507" s="8">
        <f t="shared" si="178"/>
        <v>1</v>
      </c>
      <c r="I507" s="8">
        <f t="shared" si="178"/>
        <v>1</v>
      </c>
    </row>
    <row r="508" spans="1:9" ht="15" customHeight="1" x14ac:dyDescent="0.2">
      <c r="A508" s="3" t="str">
        <f t="shared" si="177"/>
        <v>F2</v>
      </c>
      <c r="B508" s="8">
        <f t="shared" ref="B508:I508" si="179">+B532/B530</f>
        <v>0</v>
      </c>
      <c r="C508" s="8">
        <f t="shared" si="179"/>
        <v>0</v>
      </c>
      <c r="D508" s="8">
        <f t="shared" si="179"/>
        <v>0</v>
      </c>
      <c r="E508" s="8">
        <f t="shared" si="179"/>
        <v>0</v>
      </c>
      <c r="F508" s="8">
        <f t="shared" si="179"/>
        <v>0</v>
      </c>
      <c r="G508" s="8">
        <f t="shared" si="179"/>
        <v>0</v>
      </c>
      <c r="H508" s="8">
        <f t="shared" si="179"/>
        <v>0</v>
      </c>
      <c r="I508" s="8">
        <f t="shared" si="179"/>
        <v>0</v>
      </c>
    </row>
    <row r="509" spans="1:9" ht="15" customHeight="1" x14ac:dyDescent="0.2">
      <c r="A509" s="3" t="str">
        <f t="shared" si="177"/>
        <v>F3</v>
      </c>
      <c r="B509" s="8">
        <f t="shared" ref="B509:I509" si="180">+B533/B530</f>
        <v>0</v>
      </c>
      <c r="C509" s="8">
        <f t="shared" si="180"/>
        <v>0</v>
      </c>
      <c r="D509" s="8">
        <f t="shared" si="180"/>
        <v>0</v>
      </c>
      <c r="E509" s="8">
        <f t="shared" si="180"/>
        <v>0</v>
      </c>
      <c r="F509" s="8">
        <f t="shared" si="180"/>
        <v>0</v>
      </c>
      <c r="G509" s="8">
        <f t="shared" si="180"/>
        <v>0</v>
      </c>
      <c r="H509" s="8">
        <f t="shared" si="180"/>
        <v>0</v>
      </c>
      <c r="I509" s="8">
        <f t="shared" si="180"/>
        <v>0</v>
      </c>
    </row>
    <row r="510" spans="1:9" ht="15" customHeight="1" x14ac:dyDescent="0.2">
      <c r="A510" s="3" t="str">
        <f t="shared" si="177"/>
        <v>F4</v>
      </c>
      <c r="B510" s="8">
        <f t="shared" ref="B510:I510" si="181">+B534/B530</f>
        <v>0</v>
      </c>
      <c r="C510" s="8">
        <f t="shared" si="181"/>
        <v>0</v>
      </c>
      <c r="D510" s="8">
        <f t="shared" si="181"/>
        <v>0</v>
      </c>
      <c r="E510" s="8">
        <f t="shared" si="181"/>
        <v>0</v>
      </c>
      <c r="F510" s="8">
        <f t="shared" si="181"/>
        <v>0</v>
      </c>
      <c r="G510" s="8">
        <f t="shared" si="181"/>
        <v>0</v>
      </c>
      <c r="H510" s="8">
        <f t="shared" si="181"/>
        <v>0</v>
      </c>
      <c r="I510" s="8">
        <f t="shared" si="181"/>
        <v>0</v>
      </c>
    </row>
    <row r="511" spans="1:9" ht="15" customHeight="1" x14ac:dyDescent="0.2">
      <c r="A511" s="3" t="str">
        <f t="shared" si="177"/>
        <v>F5</v>
      </c>
      <c r="B511" s="8">
        <f t="shared" ref="B511:I511" si="182">+B535/B530</f>
        <v>0</v>
      </c>
      <c r="C511" s="8">
        <f t="shared" si="182"/>
        <v>0</v>
      </c>
      <c r="D511" s="8">
        <f t="shared" si="182"/>
        <v>0</v>
      </c>
      <c r="E511" s="8">
        <f t="shared" si="182"/>
        <v>0</v>
      </c>
      <c r="F511" s="8">
        <f t="shared" si="182"/>
        <v>0</v>
      </c>
      <c r="G511" s="8">
        <f t="shared" si="182"/>
        <v>0</v>
      </c>
      <c r="H511" s="8">
        <f t="shared" si="182"/>
        <v>0</v>
      </c>
      <c r="I511" s="8">
        <f t="shared" si="182"/>
        <v>0</v>
      </c>
    </row>
    <row r="512" spans="1:9" ht="15" customHeight="1" x14ac:dyDescent="0.2">
      <c r="A512" s="3" t="str">
        <f t="shared" si="177"/>
        <v>F6</v>
      </c>
      <c r="B512" s="8">
        <f t="shared" ref="B512:I512" si="183">+B536/B530</f>
        <v>0</v>
      </c>
      <c r="C512" s="8">
        <f t="shared" si="183"/>
        <v>0</v>
      </c>
      <c r="D512" s="8">
        <f t="shared" si="183"/>
        <v>0</v>
      </c>
      <c r="E512" s="8">
        <f t="shared" si="183"/>
        <v>0</v>
      </c>
      <c r="F512" s="8">
        <f t="shared" si="183"/>
        <v>0</v>
      </c>
      <c r="G512" s="8">
        <f t="shared" si="183"/>
        <v>0</v>
      </c>
      <c r="H512" s="8">
        <f t="shared" si="183"/>
        <v>0</v>
      </c>
      <c r="I512" s="8">
        <f t="shared" si="183"/>
        <v>0</v>
      </c>
    </row>
    <row r="513" spans="1:9" ht="15" customHeight="1" x14ac:dyDescent="0.2">
      <c r="A513" s="3" t="str">
        <f t="shared" si="177"/>
        <v>F7</v>
      </c>
      <c r="B513" s="8">
        <f t="shared" ref="B513:I513" si="184">+B537/B530</f>
        <v>0</v>
      </c>
      <c r="C513" s="8">
        <f t="shared" si="184"/>
        <v>0</v>
      </c>
      <c r="D513" s="8">
        <f t="shared" si="184"/>
        <v>0</v>
      </c>
      <c r="E513" s="8">
        <f t="shared" si="184"/>
        <v>0</v>
      </c>
      <c r="F513" s="8">
        <f t="shared" si="184"/>
        <v>0</v>
      </c>
      <c r="G513" s="8">
        <f t="shared" si="184"/>
        <v>0</v>
      </c>
      <c r="H513" s="8">
        <f t="shared" si="184"/>
        <v>0</v>
      </c>
      <c r="I513" s="8">
        <f t="shared" si="184"/>
        <v>0</v>
      </c>
    </row>
    <row r="514" spans="1:9" ht="15" customHeight="1" x14ac:dyDescent="0.2">
      <c r="A514" s="3" t="str">
        <f t="shared" si="177"/>
        <v>F8</v>
      </c>
      <c r="B514" s="8">
        <f t="shared" ref="B514:I514" si="185">+B538/B530</f>
        <v>0</v>
      </c>
      <c r="C514" s="8">
        <f t="shared" si="185"/>
        <v>0</v>
      </c>
      <c r="D514" s="8">
        <f t="shared" si="185"/>
        <v>0</v>
      </c>
      <c r="E514" s="8">
        <f t="shared" si="185"/>
        <v>0</v>
      </c>
      <c r="F514" s="8">
        <f t="shared" si="185"/>
        <v>0</v>
      </c>
      <c r="G514" s="8">
        <f t="shared" si="185"/>
        <v>0</v>
      </c>
      <c r="H514" s="8">
        <f t="shared" si="185"/>
        <v>0</v>
      </c>
      <c r="I514" s="8">
        <f t="shared" si="185"/>
        <v>0</v>
      </c>
    </row>
    <row r="515" spans="1:9" ht="15" customHeight="1" x14ac:dyDescent="0.2">
      <c r="A515" s="3" t="str">
        <f t="shared" si="177"/>
        <v>F9</v>
      </c>
      <c r="B515" s="8">
        <f t="shared" ref="B515:I515" si="186">+B539/B530</f>
        <v>0</v>
      </c>
      <c r="C515" s="8">
        <f t="shared" si="186"/>
        <v>0</v>
      </c>
      <c r="D515" s="8">
        <f t="shared" si="186"/>
        <v>0</v>
      </c>
      <c r="E515" s="8">
        <f t="shared" si="186"/>
        <v>0</v>
      </c>
      <c r="F515" s="8">
        <f t="shared" si="186"/>
        <v>0</v>
      </c>
      <c r="G515" s="8">
        <f t="shared" si="186"/>
        <v>0</v>
      </c>
      <c r="H515" s="8">
        <f t="shared" si="186"/>
        <v>0</v>
      </c>
      <c r="I515" s="8">
        <f t="shared" si="186"/>
        <v>0</v>
      </c>
    </row>
    <row r="516" spans="1:9" ht="15" customHeight="1" x14ac:dyDescent="0.2">
      <c r="A516" s="3" t="str">
        <f t="shared" si="177"/>
        <v>F10</v>
      </c>
      <c r="B516" s="8">
        <f t="shared" ref="B516:I516" si="187">+B540/B530</f>
        <v>0</v>
      </c>
      <c r="C516" s="8">
        <f t="shared" si="187"/>
        <v>0</v>
      </c>
      <c r="D516" s="8">
        <f t="shared" si="187"/>
        <v>0</v>
      </c>
      <c r="E516" s="8">
        <f t="shared" si="187"/>
        <v>0</v>
      </c>
      <c r="F516" s="8">
        <f t="shared" si="187"/>
        <v>0</v>
      </c>
      <c r="G516" s="8">
        <f t="shared" si="187"/>
        <v>0</v>
      </c>
      <c r="H516" s="8">
        <f t="shared" si="187"/>
        <v>0</v>
      </c>
      <c r="I516" s="8">
        <f t="shared" si="187"/>
        <v>0</v>
      </c>
    </row>
    <row r="518" spans="1:9" ht="15" customHeight="1" x14ac:dyDescent="0.2">
      <c r="A518" s="3" t="s">
        <v>57</v>
      </c>
    </row>
    <row r="519" spans="1:9" ht="15" customHeight="1" x14ac:dyDescent="0.2">
      <c r="A519" s="3" t="str">
        <f t="shared" ref="A519:A528" si="188">A507</f>
        <v>F1</v>
      </c>
      <c r="B519" s="8">
        <f t="shared" ref="B519:I528" si="189">+B868</f>
        <v>6.4352921514986672E-2</v>
      </c>
      <c r="C519" s="8">
        <f t="shared" si="189"/>
        <v>6.4352921514986672E-2</v>
      </c>
      <c r="D519" s="8">
        <f t="shared" si="189"/>
        <v>6.5861604653835504E-2</v>
      </c>
      <c r="E519" s="8">
        <f t="shared" si="189"/>
        <v>6.6287686648085528E-2</v>
      </c>
      <c r="F519" s="8">
        <f t="shared" si="189"/>
        <v>5.9754749337324775E-2</v>
      </c>
      <c r="G519" s="8">
        <f t="shared" si="189"/>
        <v>5.9754749337324775E-2</v>
      </c>
      <c r="H519" s="8">
        <f t="shared" si="189"/>
        <v>5.8254749337324781E-2</v>
      </c>
      <c r="I519" s="8">
        <f t="shared" si="189"/>
        <v>6.6045728963375794E-2</v>
      </c>
    </row>
    <row r="520" spans="1:9" ht="15" customHeight="1" x14ac:dyDescent="0.2">
      <c r="A520" s="3" t="str">
        <f t="shared" si="188"/>
        <v>F2</v>
      </c>
      <c r="B520" s="8">
        <f t="shared" si="189"/>
        <v>0</v>
      </c>
      <c r="C520" s="8">
        <f t="shared" si="189"/>
        <v>0</v>
      </c>
      <c r="D520" s="8">
        <f t="shared" si="189"/>
        <v>0</v>
      </c>
      <c r="E520" s="8">
        <f t="shared" si="189"/>
        <v>0</v>
      </c>
      <c r="F520" s="8">
        <f t="shared" si="189"/>
        <v>0</v>
      </c>
      <c r="G520" s="8">
        <f t="shared" si="189"/>
        <v>0</v>
      </c>
      <c r="H520" s="8">
        <f t="shared" si="189"/>
        <v>0</v>
      </c>
      <c r="I520" s="8">
        <f t="shared" si="189"/>
        <v>0</v>
      </c>
    </row>
    <row r="521" spans="1:9" ht="15" customHeight="1" x14ac:dyDescent="0.2">
      <c r="A521" s="3" t="str">
        <f t="shared" si="188"/>
        <v>F3</v>
      </c>
      <c r="B521" s="8">
        <f t="shared" si="189"/>
        <v>0</v>
      </c>
      <c r="C521" s="8">
        <f t="shared" si="189"/>
        <v>0</v>
      </c>
      <c r="D521" s="8">
        <f t="shared" si="189"/>
        <v>0</v>
      </c>
      <c r="E521" s="8">
        <f t="shared" si="189"/>
        <v>0</v>
      </c>
      <c r="F521" s="8">
        <f t="shared" si="189"/>
        <v>0</v>
      </c>
      <c r="G521" s="8">
        <f t="shared" si="189"/>
        <v>0</v>
      </c>
      <c r="H521" s="8">
        <f t="shared" si="189"/>
        <v>0</v>
      </c>
      <c r="I521" s="8">
        <f t="shared" si="189"/>
        <v>0</v>
      </c>
    </row>
    <row r="522" spans="1:9" ht="15" customHeight="1" x14ac:dyDescent="0.2">
      <c r="A522" s="3" t="str">
        <f t="shared" si="188"/>
        <v>F4</v>
      </c>
      <c r="B522" s="8">
        <f t="shared" si="189"/>
        <v>0</v>
      </c>
      <c r="C522" s="8">
        <f t="shared" si="189"/>
        <v>0</v>
      </c>
      <c r="D522" s="8">
        <f t="shared" si="189"/>
        <v>0</v>
      </c>
      <c r="E522" s="8">
        <f t="shared" si="189"/>
        <v>0</v>
      </c>
      <c r="F522" s="8">
        <f t="shared" si="189"/>
        <v>0</v>
      </c>
      <c r="G522" s="8">
        <f t="shared" si="189"/>
        <v>0</v>
      </c>
      <c r="H522" s="8">
        <f t="shared" si="189"/>
        <v>0</v>
      </c>
      <c r="I522" s="8">
        <f t="shared" si="189"/>
        <v>0</v>
      </c>
    </row>
    <row r="523" spans="1:9" ht="15" customHeight="1" x14ac:dyDescent="0.2">
      <c r="A523" s="3" t="str">
        <f t="shared" si="188"/>
        <v>F5</v>
      </c>
      <c r="B523" s="8">
        <f t="shared" si="189"/>
        <v>0</v>
      </c>
      <c r="C523" s="8">
        <f t="shared" si="189"/>
        <v>0</v>
      </c>
      <c r="D523" s="8">
        <f t="shared" si="189"/>
        <v>0</v>
      </c>
      <c r="E523" s="8">
        <f t="shared" si="189"/>
        <v>0</v>
      </c>
      <c r="F523" s="8">
        <f t="shared" si="189"/>
        <v>0</v>
      </c>
      <c r="G523" s="8">
        <f t="shared" si="189"/>
        <v>0</v>
      </c>
      <c r="H523" s="8">
        <f t="shared" si="189"/>
        <v>0</v>
      </c>
      <c r="I523" s="8">
        <f t="shared" si="189"/>
        <v>0</v>
      </c>
    </row>
    <row r="524" spans="1:9" ht="15" customHeight="1" x14ac:dyDescent="0.2">
      <c r="A524" s="3" t="str">
        <f t="shared" si="188"/>
        <v>F6</v>
      </c>
      <c r="B524" s="8">
        <f t="shared" si="189"/>
        <v>0</v>
      </c>
      <c r="C524" s="8">
        <f t="shared" si="189"/>
        <v>0</v>
      </c>
      <c r="D524" s="8">
        <f t="shared" si="189"/>
        <v>0</v>
      </c>
      <c r="E524" s="8">
        <f t="shared" si="189"/>
        <v>0</v>
      </c>
      <c r="F524" s="8">
        <f t="shared" si="189"/>
        <v>0</v>
      </c>
      <c r="G524" s="8">
        <f t="shared" si="189"/>
        <v>0</v>
      </c>
      <c r="H524" s="8">
        <f t="shared" si="189"/>
        <v>0</v>
      </c>
      <c r="I524" s="8">
        <f t="shared" si="189"/>
        <v>0</v>
      </c>
    </row>
    <row r="525" spans="1:9" ht="15" customHeight="1" x14ac:dyDescent="0.2">
      <c r="A525" s="3" t="str">
        <f t="shared" si="188"/>
        <v>F7</v>
      </c>
      <c r="B525" s="8">
        <f t="shared" si="189"/>
        <v>0</v>
      </c>
      <c r="C525" s="8">
        <f t="shared" si="189"/>
        <v>0</v>
      </c>
      <c r="D525" s="8">
        <f t="shared" si="189"/>
        <v>0</v>
      </c>
      <c r="E525" s="8">
        <f t="shared" si="189"/>
        <v>0</v>
      </c>
      <c r="F525" s="8">
        <f t="shared" si="189"/>
        <v>0</v>
      </c>
      <c r="G525" s="8">
        <f t="shared" si="189"/>
        <v>0</v>
      </c>
      <c r="H525" s="8">
        <f t="shared" si="189"/>
        <v>0</v>
      </c>
      <c r="I525" s="8">
        <f t="shared" si="189"/>
        <v>0</v>
      </c>
    </row>
    <row r="526" spans="1:9" ht="15" customHeight="1" x14ac:dyDescent="0.2">
      <c r="A526" s="3" t="str">
        <f t="shared" si="188"/>
        <v>F8</v>
      </c>
      <c r="B526" s="8">
        <f t="shared" si="189"/>
        <v>0</v>
      </c>
      <c r="C526" s="8">
        <f t="shared" si="189"/>
        <v>0</v>
      </c>
      <c r="D526" s="8">
        <f t="shared" si="189"/>
        <v>0</v>
      </c>
      <c r="E526" s="8">
        <f t="shared" si="189"/>
        <v>0</v>
      </c>
      <c r="F526" s="8">
        <f t="shared" si="189"/>
        <v>0</v>
      </c>
      <c r="G526" s="8">
        <f t="shared" si="189"/>
        <v>0</v>
      </c>
      <c r="H526" s="8">
        <f t="shared" si="189"/>
        <v>0</v>
      </c>
      <c r="I526" s="8">
        <f t="shared" si="189"/>
        <v>0</v>
      </c>
    </row>
    <row r="527" spans="1:9" ht="15" customHeight="1" x14ac:dyDescent="0.2">
      <c r="A527" s="3" t="str">
        <f t="shared" si="188"/>
        <v>F9</v>
      </c>
      <c r="B527" s="8">
        <f t="shared" si="189"/>
        <v>0</v>
      </c>
      <c r="C527" s="8">
        <f t="shared" si="189"/>
        <v>0</v>
      </c>
      <c r="D527" s="8">
        <f t="shared" si="189"/>
        <v>0</v>
      </c>
      <c r="E527" s="8">
        <f t="shared" si="189"/>
        <v>0</v>
      </c>
      <c r="F527" s="8">
        <f t="shared" si="189"/>
        <v>0</v>
      </c>
      <c r="G527" s="8">
        <f t="shared" si="189"/>
        <v>0</v>
      </c>
      <c r="H527" s="8">
        <f t="shared" si="189"/>
        <v>0</v>
      </c>
      <c r="I527" s="8">
        <f t="shared" si="189"/>
        <v>0</v>
      </c>
    </row>
    <row r="528" spans="1:9" ht="15" customHeight="1" x14ac:dyDescent="0.2">
      <c r="A528" s="3" t="str">
        <f t="shared" si="188"/>
        <v>F10</v>
      </c>
      <c r="B528" s="8">
        <f t="shared" si="189"/>
        <v>0</v>
      </c>
      <c r="C528" s="8">
        <f t="shared" si="189"/>
        <v>0</v>
      </c>
      <c r="D528" s="8">
        <f t="shared" si="189"/>
        <v>0</v>
      </c>
      <c r="E528" s="8">
        <f t="shared" si="189"/>
        <v>0</v>
      </c>
      <c r="F528" s="8">
        <f t="shared" si="189"/>
        <v>0</v>
      </c>
      <c r="G528" s="8">
        <f t="shared" si="189"/>
        <v>0</v>
      </c>
      <c r="H528" s="8">
        <f t="shared" si="189"/>
        <v>0</v>
      </c>
      <c r="I528" s="8">
        <f t="shared" si="189"/>
        <v>0</v>
      </c>
    </row>
    <row r="529" spans="1:9" ht="15" customHeight="1" x14ac:dyDescent="0.2">
      <c r="A529" s="1"/>
    </row>
    <row r="530" spans="1:9" ht="15" customHeight="1" x14ac:dyDescent="0.2">
      <c r="A530" s="3" t="s">
        <v>56</v>
      </c>
      <c r="B530" s="50">
        <f t="shared" ref="B530:I530" si="190">+SUM(B531:B540)</f>
        <v>212164</v>
      </c>
      <c r="C530" s="50">
        <f t="shared" si="190"/>
        <v>199800</v>
      </c>
      <c r="D530" s="50">
        <f t="shared" si="190"/>
        <v>182795</v>
      </c>
      <c r="E530" s="50">
        <f t="shared" si="190"/>
        <v>178144</v>
      </c>
      <c r="F530" s="50">
        <f t="shared" si="190"/>
        <v>176035</v>
      </c>
      <c r="G530" s="50">
        <f t="shared" si="190"/>
        <v>173992</v>
      </c>
      <c r="H530" s="50">
        <f t="shared" si="190"/>
        <v>170910</v>
      </c>
      <c r="I530" s="50">
        <f t="shared" si="190"/>
        <v>169404</v>
      </c>
    </row>
    <row r="531" spans="1:9" ht="15" customHeight="1" x14ac:dyDescent="0.2">
      <c r="A531" s="3" t="str">
        <f t="shared" ref="A531:A540" si="191">A519</f>
        <v>F1</v>
      </c>
      <c r="B531" s="50">
        <f t="shared" ref="B531:I540" si="192">+B880</f>
        <v>212164</v>
      </c>
      <c r="C531" s="50">
        <f t="shared" si="192"/>
        <v>199800</v>
      </c>
      <c r="D531" s="50">
        <f t="shared" si="192"/>
        <v>182795</v>
      </c>
      <c r="E531" s="50">
        <f t="shared" si="192"/>
        <v>178144</v>
      </c>
      <c r="F531" s="50">
        <f t="shared" si="192"/>
        <v>176035</v>
      </c>
      <c r="G531" s="50">
        <f t="shared" si="192"/>
        <v>173992</v>
      </c>
      <c r="H531" s="50">
        <f t="shared" si="192"/>
        <v>170910</v>
      </c>
      <c r="I531" s="50">
        <f t="shared" si="192"/>
        <v>169404</v>
      </c>
    </row>
    <row r="532" spans="1:9" ht="15" customHeight="1" x14ac:dyDescent="0.2">
      <c r="A532" s="3" t="str">
        <f t="shared" si="191"/>
        <v>F2</v>
      </c>
      <c r="B532" s="50">
        <f t="shared" si="192"/>
        <v>0</v>
      </c>
      <c r="C532" s="50">
        <f t="shared" si="192"/>
        <v>0</v>
      </c>
      <c r="D532" s="50">
        <f t="shared" si="192"/>
        <v>0</v>
      </c>
      <c r="E532" s="50">
        <f t="shared" si="192"/>
        <v>0</v>
      </c>
      <c r="F532" s="50">
        <f t="shared" si="192"/>
        <v>0</v>
      </c>
      <c r="G532" s="50">
        <f t="shared" si="192"/>
        <v>0</v>
      </c>
      <c r="H532" s="50">
        <f t="shared" si="192"/>
        <v>0</v>
      </c>
      <c r="I532" s="50">
        <f t="shared" si="192"/>
        <v>0</v>
      </c>
    </row>
    <row r="533" spans="1:9" ht="15" customHeight="1" x14ac:dyDescent="0.2">
      <c r="A533" s="3" t="str">
        <f t="shared" si="191"/>
        <v>F3</v>
      </c>
      <c r="B533" s="50">
        <f t="shared" si="192"/>
        <v>0</v>
      </c>
      <c r="C533" s="50">
        <f t="shared" si="192"/>
        <v>0</v>
      </c>
      <c r="D533" s="50">
        <f t="shared" si="192"/>
        <v>0</v>
      </c>
      <c r="E533" s="50">
        <f t="shared" si="192"/>
        <v>0</v>
      </c>
      <c r="F533" s="50">
        <f t="shared" si="192"/>
        <v>0</v>
      </c>
      <c r="G533" s="50">
        <f t="shared" si="192"/>
        <v>0</v>
      </c>
      <c r="H533" s="50">
        <f t="shared" si="192"/>
        <v>0</v>
      </c>
      <c r="I533" s="50">
        <f t="shared" si="192"/>
        <v>0</v>
      </c>
    </row>
    <row r="534" spans="1:9" ht="15" customHeight="1" x14ac:dyDescent="0.2">
      <c r="A534" s="3" t="str">
        <f t="shared" si="191"/>
        <v>F4</v>
      </c>
      <c r="B534" s="50">
        <f t="shared" si="192"/>
        <v>0</v>
      </c>
      <c r="C534" s="50">
        <f t="shared" si="192"/>
        <v>0</v>
      </c>
      <c r="D534" s="50">
        <f t="shared" si="192"/>
        <v>0</v>
      </c>
      <c r="E534" s="50">
        <f t="shared" si="192"/>
        <v>0</v>
      </c>
      <c r="F534" s="50">
        <f t="shared" si="192"/>
        <v>0</v>
      </c>
      <c r="G534" s="50">
        <f t="shared" si="192"/>
        <v>0</v>
      </c>
      <c r="H534" s="50">
        <f t="shared" si="192"/>
        <v>0</v>
      </c>
      <c r="I534" s="50">
        <f t="shared" si="192"/>
        <v>0</v>
      </c>
    </row>
    <row r="535" spans="1:9" ht="15" customHeight="1" x14ac:dyDescent="0.2">
      <c r="A535" s="3" t="str">
        <f t="shared" si="191"/>
        <v>F5</v>
      </c>
      <c r="B535" s="50">
        <f t="shared" si="192"/>
        <v>0</v>
      </c>
      <c r="C535" s="50">
        <f t="shared" si="192"/>
        <v>0</v>
      </c>
      <c r="D535" s="50">
        <f t="shared" si="192"/>
        <v>0</v>
      </c>
      <c r="E535" s="50">
        <f t="shared" si="192"/>
        <v>0</v>
      </c>
      <c r="F535" s="50">
        <f t="shared" si="192"/>
        <v>0</v>
      </c>
      <c r="G535" s="50">
        <f t="shared" si="192"/>
        <v>0</v>
      </c>
      <c r="H535" s="50">
        <f t="shared" si="192"/>
        <v>0</v>
      </c>
      <c r="I535" s="50">
        <f t="shared" si="192"/>
        <v>0</v>
      </c>
    </row>
    <row r="536" spans="1:9" ht="15" customHeight="1" x14ac:dyDescent="0.2">
      <c r="A536" s="3" t="str">
        <f t="shared" si="191"/>
        <v>F6</v>
      </c>
      <c r="B536" s="50">
        <f t="shared" si="192"/>
        <v>0</v>
      </c>
      <c r="C536" s="50">
        <f t="shared" si="192"/>
        <v>0</v>
      </c>
      <c r="D536" s="50">
        <f t="shared" si="192"/>
        <v>0</v>
      </c>
      <c r="E536" s="50">
        <f t="shared" si="192"/>
        <v>0</v>
      </c>
      <c r="F536" s="50">
        <f t="shared" si="192"/>
        <v>0</v>
      </c>
      <c r="G536" s="50">
        <f t="shared" si="192"/>
        <v>0</v>
      </c>
      <c r="H536" s="50">
        <f t="shared" si="192"/>
        <v>0</v>
      </c>
      <c r="I536" s="50">
        <f t="shared" si="192"/>
        <v>0</v>
      </c>
    </row>
    <row r="537" spans="1:9" ht="15" customHeight="1" x14ac:dyDescent="0.2">
      <c r="A537" s="3" t="str">
        <f t="shared" si="191"/>
        <v>F7</v>
      </c>
      <c r="B537" s="50">
        <f t="shared" si="192"/>
        <v>0</v>
      </c>
      <c r="C537" s="50">
        <f t="shared" si="192"/>
        <v>0</v>
      </c>
      <c r="D537" s="50">
        <f t="shared" si="192"/>
        <v>0</v>
      </c>
      <c r="E537" s="50">
        <f t="shared" si="192"/>
        <v>0</v>
      </c>
      <c r="F537" s="50">
        <f t="shared" si="192"/>
        <v>0</v>
      </c>
      <c r="G537" s="50">
        <f t="shared" si="192"/>
        <v>0</v>
      </c>
      <c r="H537" s="50">
        <f t="shared" si="192"/>
        <v>0</v>
      </c>
      <c r="I537" s="50">
        <f t="shared" si="192"/>
        <v>0</v>
      </c>
    </row>
    <row r="538" spans="1:9" ht="15" customHeight="1" x14ac:dyDescent="0.2">
      <c r="A538" s="3" t="str">
        <f t="shared" si="191"/>
        <v>F8</v>
      </c>
      <c r="B538" s="50">
        <f t="shared" si="192"/>
        <v>0</v>
      </c>
      <c r="C538" s="50">
        <f t="shared" si="192"/>
        <v>0</v>
      </c>
      <c r="D538" s="50">
        <f t="shared" si="192"/>
        <v>0</v>
      </c>
      <c r="E538" s="50">
        <f t="shared" si="192"/>
        <v>0</v>
      </c>
      <c r="F538" s="50">
        <f t="shared" si="192"/>
        <v>0</v>
      </c>
      <c r="G538" s="50">
        <f t="shared" si="192"/>
        <v>0</v>
      </c>
      <c r="H538" s="50">
        <f t="shared" si="192"/>
        <v>0</v>
      </c>
      <c r="I538" s="50">
        <f t="shared" si="192"/>
        <v>0</v>
      </c>
    </row>
    <row r="539" spans="1:9" ht="15" customHeight="1" x14ac:dyDescent="0.2">
      <c r="A539" s="3" t="str">
        <f t="shared" si="191"/>
        <v>F9</v>
      </c>
      <c r="B539" s="50">
        <f t="shared" si="192"/>
        <v>0</v>
      </c>
      <c r="C539" s="50">
        <f t="shared" si="192"/>
        <v>0</v>
      </c>
      <c r="D539" s="50">
        <f t="shared" si="192"/>
        <v>0</v>
      </c>
      <c r="E539" s="50">
        <f t="shared" si="192"/>
        <v>0</v>
      </c>
      <c r="F539" s="50">
        <f t="shared" si="192"/>
        <v>0</v>
      </c>
      <c r="G539" s="50">
        <f t="shared" si="192"/>
        <v>0</v>
      </c>
      <c r="H539" s="50">
        <f t="shared" si="192"/>
        <v>0</v>
      </c>
      <c r="I539" s="50">
        <f t="shared" si="192"/>
        <v>0</v>
      </c>
    </row>
    <row r="540" spans="1:9" ht="15" customHeight="1" x14ac:dyDescent="0.2">
      <c r="A540" s="3" t="str">
        <f t="shared" si="191"/>
        <v>F10</v>
      </c>
      <c r="B540" s="50">
        <f t="shared" si="192"/>
        <v>0</v>
      </c>
      <c r="C540" s="50">
        <f t="shared" si="192"/>
        <v>0</v>
      </c>
      <c r="D540" s="50">
        <f t="shared" si="192"/>
        <v>0</v>
      </c>
      <c r="E540" s="50">
        <f t="shared" si="192"/>
        <v>0</v>
      </c>
      <c r="F540" s="50">
        <f t="shared" si="192"/>
        <v>0</v>
      </c>
      <c r="G540" s="50">
        <f t="shared" si="192"/>
        <v>0</v>
      </c>
      <c r="H540" s="50">
        <f t="shared" si="192"/>
        <v>0</v>
      </c>
      <c r="I540" s="50">
        <f t="shared" si="192"/>
        <v>0</v>
      </c>
    </row>
    <row r="542" spans="1:9" ht="15" customHeight="1" x14ac:dyDescent="0.2">
      <c r="A542" s="6" t="s">
        <v>309</v>
      </c>
      <c r="B542" s="6"/>
      <c r="C542" s="6"/>
      <c r="D542" s="6"/>
      <c r="E542" s="6"/>
      <c r="F542" s="6"/>
      <c r="G542" s="6"/>
      <c r="H542" s="6"/>
      <c r="I542" s="6"/>
    </row>
    <row r="543" spans="1:9" ht="15" customHeight="1" x14ac:dyDescent="0.2">
      <c r="A543" s="3" t="s">
        <v>308</v>
      </c>
      <c r="B543" s="37">
        <f t="shared" ref="B543:I543" si="193">IF(B637=0,0,B636/B637)</f>
        <v>0</v>
      </c>
      <c r="C543" s="37">
        <f t="shared" si="193"/>
        <v>0</v>
      </c>
      <c r="D543" s="37">
        <f t="shared" si="193"/>
        <v>0</v>
      </c>
      <c r="E543" s="37">
        <f t="shared" si="193"/>
        <v>0</v>
      </c>
      <c r="F543" s="37">
        <f t="shared" si="193"/>
        <v>0</v>
      </c>
      <c r="G543" s="37">
        <f t="shared" si="193"/>
        <v>0</v>
      </c>
      <c r="H543" s="37">
        <f t="shared" si="193"/>
        <v>0</v>
      </c>
      <c r="I543" s="37">
        <f t="shared" si="193"/>
        <v>0</v>
      </c>
    </row>
    <row r="545" spans="1:9" ht="15" customHeight="1" x14ac:dyDescent="0.2">
      <c r="A545" s="6" t="s">
        <v>106</v>
      </c>
      <c r="B545" s="6"/>
      <c r="C545" s="6"/>
      <c r="D545" s="6"/>
      <c r="E545" s="6"/>
      <c r="F545" s="6"/>
      <c r="G545" s="6"/>
      <c r="H545" s="6"/>
      <c r="I545" s="6"/>
    </row>
    <row r="546" spans="1:9" ht="15" customHeight="1" x14ac:dyDescent="0.2">
      <c r="A546" s="3" t="s">
        <v>129</v>
      </c>
      <c r="B546" s="52">
        <f t="shared" ref="B546:I546" ca="1" si="194">B548*(1-B547)</f>
        <v>1.8880000000000001E-2</v>
      </c>
      <c r="C546" s="52">
        <f t="shared" ca="1" si="194"/>
        <v>1.9199999999999998E-2</v>
      </c>
      <c r="D546" s="52">
        <f t="shared" ca="1" si="194"/>
        <v>2.2272E-2</v>
      </c>
      <c r="E546" s="52">
        <f t="shared" ca="1" si="194"/>
        <v>2.232E-2</v>
      </c>
      <c r="F546" s="52">
        <f t="shared" ca="1" si="194"/>
        <v>2.2939999999999999E-2</v>
      </c>
      <c r="G546" s="52">
        <f t="shared" ca="1" si="194"/>
        <v>2.3063999999999998E-2</v>
      </c>
      <c r="H546" s="52">
        <f t="shared" ca="1" si="194"/>
        <v>2.5047999999999997E-2</v>
      </c>
      <c r="I546" s="52">
        <f t="shared" ca="1" si="194"/>
        <v>2.4799999999999999E-2</v>
      </c>
    </row>
    <row r="547" spans="1:9" ht="15" customHeight="1" x14ac:dyDescent="0.2">
      <c r="A547" s="48" t="s">
        <v>23</v>
      </c>
      <c r="B547" s="95">
        <f t="shared" ref="B547:I547" si="195">B818</f>
        <v>0.36</v>
      </c>
      <c r="C547" s="95">
        <f t="shared" si="195"/>
        <v>0.36</v>
      </c>
      <c r="D547" s="95">
        <f t="shared" si="195"/>
        <v>0.36</v>
      </c>
      <c r="E547" s="95">
        <f t="shared" si="195"/>
        <v>0.38</v>
      </c>
      <c r="F547" s="95">
        <f t="shared" si="195"/>
        <v>0.38</v>
      </c>
      <c r="G547" s="95">
        <f t="shared" si="195"/>
        <v>0.38</v>
      </c>
      <c r="H547" s="95">
        <f t="shared" si="195"/>
        <v>0.38</v>
      </c>
      <c r="I547" s="95">
        <f t="shared" si="195"/>
        <v>0.38</v>
      </c>
    </row>
    <row r="548" spans="1:9" ht="15" customHeight="1" x14ac:dyDescent="0.2">
      <c r="A548" s="42" t="s">
        <v>303</v>
      </c>
      <c r="B548" s="52">
        <f t="shared" ref="B548:I548" ca="1" si="196">IF(B$9="Yes",B564,B893)</f>
        <v>2.9499999999999998E-2</v>
      </c>
      <c r="C548" s="52">
        <f t="shared" ca="1" si="196"/>
        <v>0.03</v>
      </c>
      <c r="D548" s="52">
        <f t="shared" ca="1" si="196"/>
        <v>3.4799999999999998E-2</v>
      </c>
      <c r="E548" s="52">
        <f t="shared" ca="1" si="196"/>
        <v>3.5999999999999997E-2</v>
      </c>
      <c r="F548" s="52">
        <f t="shared" ca="1" si="196"/>
        <v>3.6999999999999998E-2</v>
      </c>
      <c r="G548" s="52">
        <f t="shared" ca="1" si="196"/>
        <v>3.7199999999999997E-2</v>
      </c>
      <c r="H548" s="52">
        <f t="shared" ca="1" si="196"/>
        <v>4.0399999999999998E-2</v>
      </c>
      <c r="I548" s="52">
        <f t="shared" ca="1" si="196"/>
        <v>0.04</v>
      </c>
    </row>
    <row r="550" spans="1:9" ht="15" customHeight="1" x14ac:dyDescent="0.2">
      <c r="A550" s="3" t="s">
        <v>417</v>
      </c>
      <c r="B550" s="44">
        <f t="shared" ref="B550:I550" si="197">+B558+B563+B564</f>
        <v>2.9499999999999998E-2</v>
      </c>
      <c r="C550" s="44">
        <f t="shared" si="197"/>
        <v>0.03</v>
      </c>
      <c r="D550" s="44">
        <f t="shared" si="197"/>
        <v>3.4799999999999998E-2</v>
      </c>
      <c r="E550" s="44">
        <f t="shared" si="197"/>
        <v>3.5999999999999997E-2</v>
      </c>
      <c r="F550" s="44">
        <f t="shared" si="197"/>
        <v>3.6999999999999998E-2</v>
      </c>
      <c r="G550" s="44">
        <f t="shared" si="197"/>
        <v>3.7199999999999997E-2</v>
      </c>
      <c r="H550" s="44">
        <f t="shared" si="197"/>
        <v>4.0399999999999998E-2</v>
      </c>
      <c r="I550" s="44">
        <f t="shared" si="197"/>
        <v>0.04</v>
      </c>
    </row>
    <row r="551" spans="1:9" ht="15" customHeight="1" x14ac:dyDescent="0.2">
      <c r="A551" s="3" t="s">
        <v>418</v>
      </c>
      <c r="B551" s="44">
        <f t="shared" ref="B551:I551" ca="1" si="198">+B557+B563+B564</f>
        <v>2.7E-2</v>
      </c>
      <c r="C551" s="44">
        <f t="shared" ca="1" si="198"/>
        <v>2.75E-2</v>
      </c>
      <c r="D551" s="44">
        <f t="shared" ca="1" si="198"/>
        <v>3.2299999999999995E-2</v>
      </c>
      <c r="E551" s="44">
        <f t="shared" ca="1" si="198"/>
        <v>3.3500000000000002E-2</v>
      </c>
      <c r="F551" s="44">
        <f t="shared" ca="1" si="198"/>
        <v>3.4500000000000003E-2</v>
      </c>
      <c r="G551" s="44">
        <f t="shared" ca="1" si="198"/>
        <v>3.4699999999999995E-2</v>
      </c>
      <c r="H551" s="44">
        <f t="shared" ca="1" si="198"/>
        <v>3.7900000000000003E-2</v>
      </c>
      <c r="I551" s="44">
        <f t="shared" ca="1" si="198"/>
        <v>3.7499999999999999E-2</v>
      </c>
    </row>
    <row r="553" spans="1:9" ht="15" customHeight="1" x14ac:dyDescent="0.2">
      <c r="A553" s="42" t="s">
        <v>103</v>
      </c>
      <c r="B553" s="97">
        <f t="shared" ref="B553:I553" ca="1" si="199">IF(B554=0,#N/A,IF(B555&lt;0,-100000,B555/B554))</f>
        <v>100.43568124105063</v>
      </c>
      <c r="C553" s="97">
        <f t="shared" ca="1" si="199"/>
        <v>105.69224542020905</v>
      </c>
      <c r="D553" s="97">
        <f t="shared" ca="1" si="199"/>
        <v>98.734823628166822</v>
      </c>
      <c r="E553" s="97">
        <f t="shared" ca="1" si="199"/>
        <v>103.56083064730724</v>
      </c>
      <c r="F553" s="97">
        <f t="shared" ca="1" si="199"/>
        <v>111.12957286059886</v>
      </c>
      <c r="G553" s="97">
        <f t="shared" ca="1" si="199"/>
        <v>133.69140575455259</v>
      </c>
      <c r="H553" s="97">
        <f t="shared" ca="1" si="199"/>
        <v>165.93726330618196</v>
      </c>
      <c r="I553" s="97">
        <f t="shared" ca="1" si="199"/>
        <v>244.82923612403957</v>
      </c>
    </row>
    <row r="554" spans="1:9" ht="15" customHeight="1" x14ac:dyDescent="0.2">
      <c r="A554" s="42" t="s">
        <v>485</v>
      </c>
      <c r="B554" s="73">
        <f t="shared" ref="B554:I554" ca="1" si="200">+B668+IF(B672="No",0,B678*B676)+IF(B642="No",0,B548*B646)</f>
        <v>638.60593674848326</v>
      </c>
      <c r="C554" s="73">
        <f t="shared" ca="1" si="200"/>
        <v>562.52908534596827</v>
      </c>
      <c r="D554" s="73">
        <f t="shared" ca="1" si="200"/>
        <v>533.57793138921465</v>
      </c>
      <c r="E554" s="73">
        <f t="shared" ca="1" si="200"/>
        <v>497.3718005326316</v>
      </c>
      <c r="F554" s="73">
        <f t="shared" ca="1" si="200"/>
        <v>453.78862204040536</v>
      </c>
      <c r="G554" s="73">
        <f t="shared" ca="1" si="200"/>
        <v>369.46843104211905</v>
      </c>
      <c r="H554" s="73">
        <f t="shared" ca="1" si="200"/>
        <v>296.18647760612589</v>
      </c>
      <c r="I554" s="73">
        <f t="shared" ca="1" si="200"/>
        <v>203.97312338999225</v>
      </c>
    </row>
    <row r="555" spans="1:9" ht="15" customHeight="1" x14ac:dyDescent="0.2">
      <c r="A555" s="42" t="s">
        <v>484</v>
      </c>
      <c r="B555" s="73">
        <f t="shared" ref="B555:I555" ca="1" si="201">B819+IF(B642="No",0,B644)</f>
        <v>64138.822301913206</v>
      </c>
      <c r="C555" s="73">
        <f t="shared" ca="1" si="201"/>
        <v>59454.9621443918</v>
      </c>
      <c r="D555" s="73">
        <f t="shared" ca="1" si="201"/>
        <v>52682.722947596209</v>
      </c>
      <c r="E555" s="73">
        <f t="shared" ca="1" si="201"/>
        <v>51508.236803706139</v>
      </c>
      <c r="F555" s="73">
        <f t="shared" ca="1" si="201"/>
        <v>50429.335736349982</v>
      </c>
      <c r="G555" s="73">
        <f t="shared" ca="1" si="201"/>
        <v>49394.753927949867</v>
      </c>
      <c r="H555" s="73">
        <f t="shared" ca="1" si="201"/>
        <v>49148.373522258276</v>
      </c>
      <c r="I555" s="73">
        <f t="shared" ca="1" si="201"/>
        <v>49938.583989406274</v>
      </c>
    </row>
    <row r="557" spans="1:9" ht="15" customHeight="1" x14ac:dyDescent="0.2">
      <c r="A557" s="42" t="s">
        <v>322</v>
      </c>
      <c r="B557" s="8">
        <f t="shared" ref="B557:I558" ca="1" si="202">B896</f>
        <v>7.4999999999999997E-3</v>
      </c>
      <c r="C557" s="8">
        <f t="shared" ca="1" si="202"/>
        <v>7.4999999999999997E-3</v>
      </c>
      <c r="D557" s="8">
        <f t="shared" ca="1" si="202"/>
        <v>7.4999999999999997E-3</v>
      </c>
      <c r="E557" s="8">
        <f t="shared" ca="1" si="202"/>
        <v>7.4999999999999997E-3</v>
      </c>
      <c r="F557" s="8">
        <f t="shared" ca="1" si="202"/>
        <v>7.4999999999999997E-3</v>
      </c>
      <c r="G557" s="8">
        <f t="shared" ca="1" si="202"/>
        <v>7.4999999999999997E-3</v>
      </c>
      <c r="H557" s="8">
        <f t="shared" ca="1" si="202"/>
        <v>7.4999999999999997E-3</v>
      </c>
      <c r="I557" s="8">
        <f t="shared" ca="1" si="202"/>
        <v>7.4999999999999997E-3</v>
      </c>
    </row>
    <row r="558" spans="1:9" ht="15" customHeight="1" x14ac:dyDescent="0.2">
      <c r="A558" s="3" t="s">
        <v>139</v>
      </c>
      <c r="B558" s="8">
        <f t="shared" si="202"/>
        <v>0.01</v>
      </c>
      <c r="C558" s="8">
        <f t="shared" si="202"/>
        <v>0.01</v>
      </c>
      <c r="D558" s="8">
        <f t="shared" si="202"/>
        <v>0.01</v>
      </c>
      <c r="E558" s="8">
        <f t="shared" si="202"/>
        <v>0.01</v>
      </c>
      <c r="F558" s="8">
        <f t="shared" si="202"/>
        <v>0.01</v>
      </c>
      <c r="G558" s="8">
        <f t="shared" si="202"/>
        <v>0.01</v>
      </c>
      <c r="H558" s="8">
        <f t="shared" si="202"/>
        <v>0.01</v>
      </c>
      <c r="I558" s="8">
        <f t="shared" si="202"/>
        <v>0.01</v>
      </c>
    </row>
    <row r="560" spans="1:9" ht="15" customHeight="1" x14ac:dyDescent="0.2">
      <c r="A560" s="42" t="s">
        <v>141</v>
      </c>
      <c r="B560" s="98" t="str">
        <f t="shared" ref="B560:I560" ca="1" si="203">B899</f>
        <v>Aaa/AAA</v>
      </c>
      <c r="C560" s="98" t="str">
        <f t="shared" ca="1" si="203"/>
        <v>Aaa/AAA</v>
      </c>
      <c r="D560" s="98" t="str">
        <f t="shared" ca="1" si="203"/>
        <v>Aaa/AAA</v>
      </c>
      <c r="E560" s="98" t="str">
        <f t="shared" ca="1" si="203"/>
        <v>Aaa/AAA</v>
      </c>
      <c r="F560" s="98" t="str">
        <f t="shared" ca="1" si="203"/>
        <v>Aaa/AAA</v>
      </c>
      <c r="G560" s="98" t="str">
        <f t="shared" ca="1" si="203"/>
        <v>Aaa/AAA</v>
      </c>
      <c r="H560" s="98" t="str">
        <f t="shared" ca="1" si="203"/>
        <v>Aaa/AAA</v>
      </c>
      <c r="I560" s="98" t="str">
        <f t="shared" ca="1" si="203"/>
        <v>Aaa/AAA</v>
      </c>
    </row>
    <row r="561" spans="1:9" ht="15" customHeight="1" x14ac:dyDescent="0.2">
      <c r="A561" s="3" t="s">
        <v>416</v>
      </c>
      <c r="B561" s="98" t="str">
        <f t="shared" ref="B561:I561" si="204">B901</f>
        <v>A2/A</v>
      </c>
      <c r="C561" s="98" t="str">
        <f t="shared" si="204"/>
        <v>A2/A</v>
      </c>
      <c r="D561" s="98" t="str">
        <f t="shared" si="204"/>
        <v>A2/A</v>
      </c>
      <c r="E561" s="98" t="str">
        <f t="shared" si="204"/>
        <v>A2/A</v>
      </c>
      <c r="F561" s="98" t="str">
        <f t="shared" si="204"/>
        <v>A2/A</v>
      </c>
      <c r="G561" s="98" t="str">
        <f t="shared" si="204"/>
        <v>A2/A</v>
      </c>
      <c r="H561" s="98" t="str">
        <f t="shared" si="204"/>
        <v>A2/A</v>
      </c>
      <c r="I561" s="98" t="str">
        <f t="shared" si="204"/>
        <v>A2/A</v>
      </c>
    </row>
    <row r="563" spans="1:9" ht="15" customHeight="1" x14ac:dyDescent="0.2">
      <c r="A563" s="42" t="s">
        <v>105</v>
      </c>
      <c r="B563" s="37">
        <f t="shared" ref="B563:I563" si="205">B894</f>
        <v>0</v>
      </c>
      <c r="C563" s="37">
        <f t="shared" si="205"/>
        <v>0</v>
      </c>
      <c r="D563" s="37">
        <f t="shared" si="205"/>
        <v>0</v>
      </c>
      <c r="E563" s="37">
        <f t="shared" si="205"/>
        <v>0</v>
      </c>
      <c r="F563" s="37">
        <f t="shared" si="205"/>
        <v>0</v>
      </c>
      <c r="G563" s="37">
        <f t="shared" si="205"/>
        <v>0</v>
      </c>
      <c r="H563" s="37">
        <f t="shared" si="205"/>
        <v>0</v>
      </c>
      <c r="I563" s="37">
        <f t="shared" si="205"/>
        <v>0</v>
      </c>
    </row>
    <row r="564" spans="1:9" ht="15" customHeight="1" x14ac:dyDescent="0.2">
      <c r="A564" s="42" t="s">
        <v>104</v>
      </c>
      <c r="B564" s="52">
        <f t="shared" ref="B564:I564" si="206">B903</f>
        <v>1.95E-2</v>
      </c>
      <c r="C564" s="52">
        <f t="shared" si="206"/>
        <v>0.02</v>
      </c>
      <c r="D564" s="52">
        <f t="shared" si="206"/>
        <v>2.4799999999999999E-2</v>
      </c>
      <c r="E564" s="52">
        <f t="shared" si="206"/>
        <v>2.5999999999999999E-2</v>
      </c>
      <c r="F564" s="52">
        <f t="shared" si="206"/>
        <v>2.7E-2</v>
      </c>
      <c r="G564" s="52">
        <f t="shared" si="206"/>
        <v>2.7199999999999998E-2</v>
      </c>
      <c r="H564" s="52">
        <f t="shared" si="206"/>
        <v>3.04E-2</v>
      </c>
      <c r="I564" s="52">
        <f t="shared" si="206"/>
        <v>0.03</v>
      </c>
    </row>
    <row r="565" spans="1:9" ht="15" customHeight="1" x14ac:dyDescent="0.2">
      <c r="A565" s="42"/>
      <c r="B565" s="52"/>
      <c r="C565" s="52"/>
      <c r="D565" s="52"/>
      <c r="E565" s="52"/>
      <c r="F565" s="52"/>
      <c r="G565" s="52"/>
      <c r="H565" s="52"/>
      <c r="I565" s="52"/>
    </row>
    <row r="566" spans="1:9" ht="15" customHeight="1" x14ac:dyDescent="0.2">
      <c r="A566" s="42"/>
      <c r="B566" s="52"/>
      <c r="C566" s="52"/>
      <c r="D566" s="52"/>
      <c r="E566" s="52"/>
      <c r="F566" s="52"/>
      <c r="G566" s="52"/>
      <c r="H566" s="52"/>
      <c r="I566" s="52"/>
    </row>
    <row r="567" spans="1:9" ht="15" customHeight="1" x14ac:dyDescent="0.2">
      <c r="A567" s="6" t="s">
        <v>74</v>
      </c>
      <c r="B567" s="99"/>
      <c r="C567" s="99"/>
      <c r="D567" s="99"/>
      <c r="E567" s="99"/>
      <c r="F567" s="99"/>
      <c r="G567" s="99"/>
      <c r="H567" s="99"/>
      <c r="I567" s="99"/>
    </row>
    <row r="568" spans="1:9" ht="15" customHeight="1" x14ac:dyDescent="0.2">
      <c r="A568" s="42" t="s">
        <v>333</v>
      </c>
      <c r="B568" s="51">
        <f t="shared" ref="B568:I568" ca="1" si="207">IF(B585=0,#N/A,B570/B585)</f>
        <v>157.64672188938582</v>
      </c>
      <c r="C568" s="51">
        <f t="shared" ca="1" si="207"/>
        <v>85.666243295784739</v>
      </c>
      <c r="D568" s="51">
        <f t="shared" ca="1" si="207"/>
        <v>36.468130569132882</v>
      </c>
      <c r="E568" s="51">
        <f t="shared" ca="1" si="207"/>
        <v>-71.608965935248946</v>
      </c>
      <c r="F568" s="51">
        <f t="shared" ca="1" si="207"/>
        <v>84.816117278094339</v>
      </c>
      <c r="G568" s="51">
        <f t="shared" ca="1" si="207"/>
        <v>67.587454271401455</v>
      </c>
      <c r="H568" s="51">
        <f t="shared" ca="1" si="207"/>
        <v>30.329898618359341</v>
      </c>
      <c r="I568" s="51">
        <f t="shared" ca="1" si="207"/>
        <v>40.42989340314189</v>
      </c>
    </row>
    <row r="569" spans="1:9" ht="15" customHeight="1" x14ac:dyDescent="0.2">
      <c r="A569" s="42"/>
      <c r="B569" s="51"/>
      <c r="C569" s="51"/>
      <c r="D569" s="51"/>
      <c r="E569" s="51"/>
      <c r="F569" s="51"/>
      <c r="G569" s="51"/>
      <c r="H569" s="51"/>
      <c r="I569" s="51"/>
    </row>
    <row r="570" spans="1:9" ht="15" customHeight="1" x14ac:dyDescent="0.2">
      <c r="A570" s="42" t="s">
        <v>327</v>
      </c>
      <c r="B570" s="73">
        <f t="shared" ref="B570:I570" ca="1" si="208">B575+B576-B571-B572</f>
        <v>562912.55260673619</v>
      </c>
      <c r="C570" s="73">
        <f t="shared" ca="1" si="208"/>
        <v>613267.74621481216</v>
      </c>
      <c r="D570" s="73">
        <f t="shared" ca="1" si="208"/>
        <v>473521.04015354102</v>
      </c>
      <c r="E570" s="73">
        <f t="shared" ca="1" si="208"/>
        <v>428693.836580895</v>
      </c>
      <c r="F570" s="73">
        <f t="shared" ca="1" si="208"/>
        <v>356177.99958520418</v>
      </c>
      <c r="G570" s="73">
        <f t="shared" ca="1" si="208"/>
        <v>347674.49967645854</v>
      </c>
      <c r="H570" s="73">
        <f t="shared" ca="1" si="208"/>
        <v>326892.97287686914</v>
      </c>
      <c r="I570" s="73">
        <f t="shared" ca="1" si="208"/>
        <v>331951.67369201302</v>
      </c>
    </row>
    <row r="571" spans="1:9" ht="15" customHeight="1" x14ac:dyDescent="0.2">
      <c r="A571" s="42" t="s">
        <v>324</v>
      </c>
      <c r="B571" s="73">
        <f t="shared" ref="B571:I571" si="209">B$983</f>
        <v>193539</v>
      </c>
      <c r="C571" s="73">
        <f t="shared" si="209"/>
        <v>177955</v>
      </c>
      <c r="D571" s="73">
        <f t="shared" si="209"/>
        <v>155239</v>
      </c>
      <c r="E571" s="73">
        <f t="shared" si="209"/>
        <v>164490</v>
      </c>
      <c r="F571" s="73">
        <f t="shared" si="209"/>
        <v>150589</v>
      </c>
      <c r="G571" s="73">
        <f t="shared" si="209"/>
        <v>158842</v>
      </c>
      <c r="H571" s="73">
        <f t="shared" si="209"/>
        <v>146761</v>
      </c>
      <c r="I571" s="73">
        <f t="shared" si="209"/>
        <v>146620</v>
      </c>
    </row>
    <row r="572" spans="1:9" ht="15" customHeight="1" x14ac:dyDescent="0.2">
      <c r="A572" s="48" t="s">
        <v>435</v>
      </c>
      <c r="B572" s="73">
        <f t="shared" ref="B572:I572" si="210">B730</f>
        <v>0</v>
      </c>
      <c r="C572" s="73">
        <f t="shared" si="210"/>
        <v>0</v>
      </c>
      <c r="D572" s="73">
        <f t="shared" si="210"/>
        <v>0</v>
      </c>
      <c r="E572" s="73">
        <f t="shared" si="210"/>
        <v>0</v>
      </c>
      <c r="F572" s="73">
        <f t="shared" si="210"/>
        <v>0</v>
      </c>
      <c r="G572" s="73">
        <f t="shared" si="210"/>
        <v>0</v>
      </c>
      <c r="H572" s="73">
        <f t="shared" si="210"/>
        <v>0</v>
      </c>
      <c r="I572" s="73">
        <f t="shared" si="210"/>
        <v>0</v>
      </c>
    </row>
    <row r="573" spans="1:9" ht="15" customHeight="1" x14ac:dyDescent="0.2">
      <c r="A573" s="1"/>
    </row>
    <row r="574" spans="1:9" ht="15" customHeight="1" x14ac:dyDescent="0.2">
      <c r="A574" s="42" t="s">
        <v>326</v>
      </c>
      <c r="B574" s="73">
        <f t="shared" ref="B574:I574" ca="1" si="211">B575+B576</f>
        <v>756451.55260673619</v>
      </c>
      <c r="C574" s="73">
        <f t="shared" ca="1" si="211"/>
        <v>791222.74621481216</v>
      </c>
      <c r="D574" s="73">
        <f t="shared" ca="1" si="211"/>
        <v>628760.04015354102</v>
      </c>
      <c r="E574" s="73">
        <f t="shared" ca="1" si="211"/>
        <v>593183.836580895</v>
      </c>
      <c r="F574" s="73">
        <f t="shared" ca="1" si="211"/>
        <v>506766.99958520418</v>
      </c>
      <c r="G574" s="73">
        <f t="shared" ca="1" si="211"/>
        <v>506516.49967645854</v>
      </c>
      <c r="H574" s="73">
        <f t="shared" ca="1" si="211"/>
        <v>473653.97287686914</v>
      </c>
      <c r="I574" s="73">
        <f t="shared" ca="1" si="211"/>
        <v>478571.67369201302</v>
      </c>
    </row>
    <row r="575" spans="1:9" ht="15" customHeight="1" x14ac:dyDescent="0.2">
      <c r="A575" s="42" t="s">
        <v>310</v>
      </c>
      <c r="B575" s="73">
        <f t="shared" ref="B575:I575" ca="1" si="212">B406</f>
        <v>756451.55260673619</v>
      </c>
      <c r="C575" s="73">
        <f t="shared" ca="1" si="212"/>
        <v>791222.74621481216</v>
      </c>
      <c r="D575" s="73">
        <f t="shared" ca="1" si="212"/>
        <v>628760.04015354102</v>
      </c>
      <c r="E575" s="73">
        <f t="shared" ca="1" si="212"/>
        <v>593183.836580895</v>
      </c>
      <c r="F575" s="73">
        <f t="shared" ca="1" si="212"/>
        <v>506766.99958520418</v>
      </c>
      <c r="G575" s="73">
        <f t="shared" ca="1" si="212"/>
        <v>506516.49967645854</v>
      </c>
      <c r="H575" s="73">
        <f t="shared" ca="1" si="212"/>
        <v>473653.97287686914</v>
      </c>
      <c r="I575" s="73">
        <f t="shared" ca="1" si="212"/>
        <v>478571.67369201302</v>
      </c>
    </row>
    <row r="576" spans="1:9" ht="15" customHeight="1" x14ac:dyDescent="0.2">
      <c r="A576" s="48" t="s">
        <v>325</v>
      </c>
      <c r="B576" s="73">
        <f t="shared" ref="B576:I576" si="213">B736</f>
        <v>0</v>
      </c>
      <c r="C576" s="73">
        <f t="shared" si="213"/>
        <v>0</v>
      </c>
      <c r="D576" s="73">
        <f t="shared" si="213"/>
        <v>0</v>
      </c>
      <c r="E576" s="73">
        <f t="shared" si="213"/>
        <v>0</v>
      </c>
      <c r="F576" s="73">
        <f t="shared" si="213"/>
        <v>0</v>
      </c>
      <c r="G576" s="73">
        <f t="shared" si="213"/>
        <v>0</v>
      </c>
      <c r="H576" s="73">
        <f t="shared" si="213"/>
        <v>0</v>
      </c>
      <c r="I576" s="73">
        <f t="shared" si="213"/>
        <v>0</v>
      </c>
    </row>
    <row r="577" spans="1:9" ht="15" customHeight="1" x14ac:dyDescent="0.2">
      <c r="A577" s="1"/>
    </row>
    <row r="578" spans="1:9" ht="15" customHeight="1" x14ac:dyDescent="0.2">
      <c r="A578" s="6" t="s">
        <v>310</v>
      </c>
      <c r="B578" s="6"/>
      <c r="C578" s="6"/>
      <c r="D578" s="6"/>
      <c r="E578" s="6"/>
      <c r="F578" s="6"/>
      <c r="G578" s="6"/>
      <c r="H578" s="6"/>
      <c r="I578" s="6"/>
    </row>
    <row r="579" spans="1:9" ht="15" customHeight="1" x14ac:dyDescent="0.2">
      <c r="A579" s="42" t="s">
        <v>310</v>
      </c>
      <c r="B579" s="100">
        <f t="shared" ref="B579:I579" ca="1" si="214">+B580+B581+B582</f>
        <v>756451.55260673619</v>
      </c>
      <c r="C579" s="100">
        <f t="shared" ca="1" si="214"/>
        <v>791222.74621481216</v>
      </c>
      <c r="D579" s="100">
        <f t="shared" ca="1" si="214"/>
        <v>628760.04015354102</v>
      </c>
      <c r="E579" s="100">
        <f t="shared" ca="1" si="214"/>
        <v>593183.836580895</v>
      </c>
      <c r="F579" s="100">
        <f t="shared" ca="1" si="214"/>
        <v>506766.99958520418</v>
      </c>
      <c r="G579" s="100">
        <f t="shared" ca="1" si="214"/>
        <v>506516.49967645854</v>
      </c>
      <c r="H579" s="100">
        <f t="shared" ca="1" si="214"/>
        <v>473653.97287686914</v>
      </c>
      <c r="I579" s="100">
        <f t="shared" ca="1" si="214"/>
        <v>478571.67369201302</v>
      </c>
    </row>
    <row r="580" spans="1:9" ht="15" customHeight="1" x14ac:dyDescent="0.2">
      <c r="A580" s="42" t="s">
        <v>355</v>
      </c>
      <c r="B580" s="100">
        <f t="shared" ref="B580:I580" ca="1" si="215">+B680+B601+B613</f>
        <v>710410.27789810672</v>
      </c>
      <c r="C580" s="100">
        <f t="shared" ca="1" si="215"/>
        <v>752305.41005055385</v>
      </c>
      <c r="D580" s="100">
        <f t="shared" ca="1" si="215"/>
        <v>591533.05452659226</v>
      </c>
      <c r="E580" s="100">
        <f t="shared" ca="1" si="215"/>
        <v>573349.84406837169</v>
      </c>
      <c r="F580" s="100">
        <f t="shared" ca="1" si="215"/>
        <v>486684.03491313069</v>
      </c>
      <c r="G580" s="100">
        <f t="shared" ca="1" si="215"/>
        <v>486684.04013434192</v>
      </c>
      <c r="H580" s="100">
        <f t="shared" ca="1" si="215"/>
        <v>454251.84037289221</v>
      </c>
      <c r="I580" s="100">
        <f t="shared" ca="1" si="215"/>
        <v>459641.34025906114</v>
      </c>
    </row>
    <row r="581" spans="1:9" ht="15" customHeight="1" x14ac:dyDescent="0.2">
      <c r="A581" s="42" t="s">
        <v>356</v>
      </c>
      <c r="B581" s="100">
        <f t="shared" ref="B581:I581" si="216">B634</f>
        <v>0</v>
      </c>
      <c r="C581" s="100">
        <f t="shared" si="216"/>
        <v>0</v>
      </c>
      <c r="D581" s="100">
        <f t="shared" si="216"/>
        <v>0</v>
      </c>
      <c r="E581" s="100">
        <f t="shared" si="216"/>
        <v>0</v>
      </c>
      <c r="F581" s="100">
        <f t="shared" si="216"/>
        <v>0</v>
      </c>
      <c r="G581" s="100">
        <f t="shared" si="216"/>
        <v>0</v>
      </c>
      <c r="H581" s="100">
        <f t="shared" si="216"/>
        <v>0</v>
      </c>
      <c r="I581" s="100">
        <f t="shared" si="216"/>
        <v>0</v>
      </c>
    </row>
    <row r="582" spans="1:9" ht="15" customHeight="1" x14ac:dyDescent="0.2">
      <c r="A582" s="42" t="s">
        <v>357</v>
      </c>
      <c r="B582" s="100">
        <f t="shared" ref="B582:I582" ca="1" si="217">+B663+B675+B646</f>
        <v>46041.274708629433</v>
      </c>
      <c r="C582" s="100">
        <f t="shared" ca="1" si="217"/>
        <v>38917.336164258282</v>
      </c>
      <c r="D582" s="100">
        <f t="shared" ca="1" si="217"/>
        <v>37226.98562694875</v>
      </c>
      <c r="E582" s="100">
        <f t="shared" ca="1" si="217"/>
        <v>19833.992512523291</v>
      </c>
      <c r="F582" s="100">
        <f t="shared" ca="1" si="217"/>
        <v>20082.964672073518</v>
      </c>
      <c r="G582" s="100">
        <f t="shared" ca="1" si="217"/>
        <v>19832.45954211659</v>
      </c>
      <c r="H582" s="100">
        <f t="shared" ca="1" si="217"/>
        <v>19402.132503976922</v>
      </c>
      <c r="I582" s="100">
        <f t="shared" ca="1" si="217"/>
        <v>18930.333432951898</v>
      </c>
    </row>
    <row r="584" spans="1:9" ht="15" customHeight="1" x14ac:dyDescent="0.2">
      <c r="A584" s="6" t="s">
        <v>332</v>
      </c>
      <c r="B584" s="6"/>
      <c r="C584" s="6"/>
      <c r="D584" s="6"/>
      <c r="E584" s="6"/>
      <c r="F584" s="6"/>
      <c r="G584" s="6"/>
      <c r="H584" s="6"/>
      <c r="I584" s="6"/>
    </row>
    <row r="585" spans="1:9" ht="15" customHeight="1" x14ac:dyDescent="0.2">
      <c r="A585" s="42" t="s">
        <v>334</v>
      </c>
      <c r="B585" s="100">
        <f t="shared" ref="B585:I585" ca="1" si="218">+B699+B587+B588-B589-B590-B591+B592</f>
        <v>3570.7215846943436</v>
      </c>
      <c r="C585" s="100">
        <f t="shared" ca="1" si="218"/>
        <v>7158.8028448655969</v>
      </c>
      <c r="D585" s="100">
        <f t="shared" ca="1" si="218"/>
        <v>12984.51641923032</v>
      </c>
      <c r="E585" s="100">
        <f t="shared" ca="1" si="218"/>
        <v>-5986.5944296491216</v>
      </c>
      <c r="F585" s="100">
        <f t="shared" ca="1" si="218"/>
        <v>4199.4141092001519</v>
      </c>
      <c r="G585" s="100">
        <f t="shared" ca="1" si="218"/>
        <v>5144.0685764010414</v>
      </c>
      <c r="H585" s="100">
        <f t="shared" ca="1" si="218"/>
        <v>10777.911821933812</v>
      </c>
      <c r="I585" s="100">
        <f t="shared" ca="1" si="218"/>
        <v>8210.5503069720289</v>
      </c>
    </row>
    <row r="586" spans="1:9" ht="15" customHeight="1" x14ac:dyDescent="0.2">
      <c r="A586" s="43" t="s">
        <v>442</v>
      </c>
      <c r="B586" s="100">
        <f t="shared" ref="B586:I586" si="219">+B699</f>
        <v>0</v>
      </c>
      <c r="C586" s="100">
        <f t="shared" si="219"/>
        <v>0</v>
      </c>
      <c r="D586" s="100">
        <f t="shared" si="219"/>
        <v>0</v>
      </c>
      <c r="E586" s="100">
        <f t="shared" si="219"/>
        <v>0</v>
      </c>
      <c r="F586" s="100">
        <f t="shared" si="219"/>
        <v>0</v>
      </c>
      <c r="G586" s="100">
        <f t="shared" si="219"/>
        <v>0</v>
      </c>
      <c r="H586" s="100">
        <f t="shared" si="219"/>
        <v>0</v>
      </c>
      <c r="I586" s="100">
        <f t="shared" si="219"/>
        <v>0</v>
      </c>
    </row>
    <row r="587" spans="1:9" ht="15" customHeight="1" x14ac:dyDescent="0.2">
      <c r="A587" s="42" t="s">
        <v>331</v>
      </c>
      <c r="B587" s="100">
        <f t="shared" ref="B587:I587" si="220">B713</f>
        <v>19839.300000000003</v>
      </c>
      <c r="C587" s="100">
        <f t="shared" si="220"/>
        <v>20998.5</v>
      </c>
      <c r="D587" s="100">
        <f t="shared" si="220"/>
        <v>17083.300000000003</v>
      </c>
      <c r="E587" s="100">
        <f t="shared" si="220"/>
        <v>16565.300000000003</v>
      </c>
      <c r="F587" s="100">
        <f t="shared" si="220"/>
        <v>13626.1</v>
      </c>
      <c r="G587" s="100">
        <f t="shared" si="220"/>
        <v>13323.1</v>
      </c>
      <c r="H587" s="100">
        <f t="shared" si="220"/>
        <v>13064.9</v>
      </c>
      <c r="I587" s="100">
        <f t="shared" si="220"/>
        <v>10819.222222222223</v>
      </c>
    </row>
    <row r="588" spans="1:9" ht="15" customHeight="1" x14ac:dyDescent="0.2">
      <c r="A588" s="42" t="s">
        <v>330</v>
      </c>
      <c r="B588" s="100">
        <f t="shared" ref="B588:I588" ca="1" si="221">B646</f>
        <v>4393.421584694348</v>
      </c>
      <c r="C588" s="100">
        <f t="shared" ca="1" si="221"/>
        <v>4384.3028448656114</v>
      </c>
      <c r="D588" s="100">
        <f t="shared" ca="1" si="221"/>
        <v>4298.2164192303071</v>
      </c>
      <c r="E588" s="100">
        <f t="shared" ca="1" si="221"/>
        <v>4038.1055703508791</v>
      </c>
      <c r="F588" s="100">
        <f t="shared" ca="1" si="221"/>
        <v>4021.3141092001442</v>
      </c>
      <c r="G588" s="100">
        <f t="shared" ca="1" si="221"/>
        <v>4017.968576401051</v>
      </c>
      <c r="H588" s="100">
        <f t="shared" ca="1" si="221"/>
        <v>3965.0118219338092</v>
      </c>
      <c r="I588" s="100">
        <f t="shared" ca="1" si="221"/>
        <v>3699.3280847498063</v>
      </c>
    </row>
    <row r="589" spans="1:9" ht="15" customHeight="1" x14ac:dyDescent="0.2">
      <c r="A589" s="42" t="s">
        <v>328</v>
      </c>
      <c r="B589" s="100">
        <f t="shared" ref="B589:I589" si="222">B742</f>
        <v>0</v>
      </c>
      <c r="C589" s="100">
        <f t="shared" si="222"/>
        <v>0</v>
      </c>
      <c r="D589" s="100">
        <f t="shared" si="222"/>
        <v>0</v>
      </c>
      <c r="E589" s="100">
        <f t="shared" si="222"/>
        <v>0</v>
      </c>
      <c r="F589" s="100">
        <f t="shared" si="222"/>
        <v>0</v>
      </c>
      <c r="G589" s="100">
        <f t="shared" si="222"/>
        <v>0</v>
      </c>
      <c r="H589" s="100">
        <f t="shared" si="222"/>
        <v>0</v>
      </c>
      <c r="I589" s="100">
        <f t="shared" si="222"/>
        <v>0</v>
      </c>
    </row>
    <row r="590" spans="1:9" ht="15" customHeight="1" x14ac:dyDescent="0.2">
      <c r="A590" s="43" t="s">
        <v>437</v>
      </c>
      <c r="B590" s="100">
        <f t="shared" ref="B590:I590" si="223">B732</f>
        <v>0</v>
      </c>
      <c r="C590" s="100">
        <f t="shared" si="223"/>
        <v>0</v>
      </c>
      <c r="D590" s="100">
        <f t="shared" si="223"/>
        <v>0</v>
      </c>
      <c r="E590" s="100">
        <f t="shared" si="223"/>
        <v>0</v>
      </c>
      <c r="F590" s="100">
        <f t="shared" si="223"/>
        <v>0</v>
      </c>
      <c r="G590" s="100">
        <f t="shared" si="223"/>
        <v>0</v>
      </c>
      <c r="H590" s="100">
        <f t="shared" si="223"/>
        <v>0</v>
      </c>
      <c r="I590" s="100">
        <f t="shared" si="223"/>
        <v>0</v>
      </c>
    </row>
    <row r="591" spans="1:9" ht="15" customHeight="1" x14ac:dyDescent="0.2">
      <c r="A591" s="43" t="s">
        <v>429</v>
      </c>
      <c r="B591" s="100">
        <f t="shared" ref="B591:I591" si="224">B$983</f>
        <v>193539</v>
      </c>
      <c r="C591" s="100">
        <f t="shared" si="224"/>
        <v>177955</v>
      </c>
      <c r="D591" s="100">
        <f t="shared" si="224"/>
        <v>155239</v>
      </c>
      <c r="E591" s="100">
        <f t="shared" si="224"/>
        <v>164490</v>
      </c>
      <c r="F591" s="100">
        <f t="shared" si="224"/>
        <v>150589</v>
      </c>
      <c r="G591" s="100">
        <f t="shared" si="224"/>
        <v>158842</v>
      </c>
      <c r="H591" s="100">
        <f t="shared" si="224"/>
        <v>146761</v>
      </c>
      <c r="I591" s="100">
        <f t="shared" si="224"/>
        <v>146620</v>
      </c>
    </row>
    <row r="592" spans="1:9" ht="15" customHeight="1" x14ac:dyDescent="0.2">
      <c r="A592" s="34" t="s">
        <v>337</v>
      </c>
      <c r="B592" s="45">
        <f t="shared" ref="B592:I592" si="225">B595</f>
        <v>172877</v>
      </c>
      <c r="C592" s="45">
        <f t="shared" si="225"/>
        <v>159731</v>
      </c>
      <c r="D592" s="45">
        <f t="shared" si="225"/>
        <v>146842</v>
      </c>
      <c r="E592" s="45">
        <f t="shared" si="225"/>
        <v>137900</v>
      </c>
      <c r="F592" s="45">
        <f t="shared" si="225"/>
        <v>137141</v>
      </c>
      <c r="G592" s="45">
        <f t="shared" si="225"/>
        <v>146645</v>
      </c>
      <c r="H592" s="45">
        <f t="shared" si="225"/>
        <v>140509</v>
      </c>
      <c r="I592" s="45">
        <f t="shared" si="225"/>
        <v>140312</v>
      </c>
    </row>
    <row r="594" spans="1:9" ht="15" customHeight="1" x14ac:dyDescent="0.2">
      <c r="A594" s="6" t="s">
        <v>335</v>
      </c>
      <c r="B594" s="6"/>
      <c r="C594" s="6"/>
      <c r="D594" s="6"/>
      <c r="E594" s="6"/>
      <c r="F594" s="6"/>
      <c r="G594" s="6"/>
      <c r="H594" s="6"/>
      <c r="I594" s="6"/>
    </row>
    <row r="595" spans="1:9" ht="15" customHeight="1" x14ac:dyDescent="0.2">
      <c r="A595" s="42" t="s">
        <v>336</v>
      </c>
      <c r="B595" s="100">
        <f t="shared" ref="B595:I595" si="226">B598+B597+B596</f>
        <v>172877</v>
      </c>
      <c r="C595" s="100">
        <f t="shared" si="226"/>
        <v>159731</v>
      </c>
      <c r="D595" s="100">
        <f t="shared" si="226"/>
        <v>146842</v>
      </c>
      <c r="E595" s="100">
        <f t="shared" si="226"/>
        <v>137900</v>
      </c>
      <c r="F595" s="100">
        <f t="shared" si="226"/>
        <v>137141</v>
      </c>
      <c r="G595" s="100">
        <f t="shared" si="226"/>
        <v>146645</v>
      </c>
      <c r="H595" s="100">
        <f t="shared" si="226"/>
        <v>140509</v>
      </c>
      <c r="I595" s="100">
        <f t="shared" si="226"/>
        <v>140312</v>
      </c>
    </row>
    <row r="596" spans="1:9" ht="15" customHeight="1" x14ac:dyDescent="0.2">
      <c r="A596" s="42" t="s">
        <v>355</v>
      </c>
      <c r="B596" s="100">
        <f t="shared" ref="B596:I596" si="227">B609</f>
        <v>129006</v>
      </c>
      <c r="C596" s="100">
        <f t="shared" si="227"/>
        <v>123328</v>
      </c>
      <c r="D596" s="100">
        <f t="shared" si="227"/>
        <v>111547</v>
      </c>
      <c r="E596" s="100">
        <f t="shared" si="227"/>
        <v>120940</v>
      </c>
      <c r="F596" s="100">
        <f t="shared" si="227"/>
        <v>120179</v>
      </c>
      <c r="G596" s="100">
        <f t="shared" si="227"/>
        <v>129684</v>
      </c>
      <c r="H596" s="100">
        <f t="shared" si="227"/>
        <v>123549</v>
      </c>
      <c r="I596" s="100">
        <f t="shared" si="227"/>
        <v>123354</v>
      </c>
    </row>
    <row r="597" spans="1:9" ht="15" customHeight="1" x14ac:dyDescent="0.2">
      <c r="A597" s="42" t="s">
        <v>356</v>
      </c>
      <c r="B597" s="100">
        <f t="shared" ref="B597:I597" si="228">B639</f>
        <v>0</v>
      </c>
      <c r="C597" s="100">
        <f t="shared" si="228"/>
        <v>0</v>
      </c>
      <c r="D597" s="100">
        <f t="shared" si="228"/>
        <v>0</v>
      </c>
      <c r="E597" s="100">
        <f t="shared" si="228"/>
        <v>0</v>
      </c>
      <c r="F597" s="100">
        <f t="shared" si="228"/>
        <v>0</v>
      </c>
      <c r="G597" s="100">
        <f t="shared" si="228"/>
        <v>0</v>
      </c>
      <c r="H597" s="100">
        <f t="shared" si="228"/>
        <v>0</v>
      </c>
      <c r="I597" s="100">
        <f t="shared" si="228"/>
        <v>0</v>
      </c>
    </row>
    <row r="598" spans="1:9" ht="15" customHeight="1" x14ac:dyDescent="0.2">
      <c r="A598" s="42" t="s">
        <v>357</v>
      </c>
      <c r="B598" s="100">
        <f t="shared" ref="B598:I598" si="229">+B669+B695</f>
        <v>43871</v>
      </c>
      <c r="C598" s="100">
        <f t="shared" si="229"/>
        <v>36403</v>
      </c>
      <c r="D598" s="100">
        <f t="shared" si="229"/>
        <v>35295</v>
      </c>
      <c r="E598" s="100">
        <f t="shared" si="229"/>
        <v>16960</v>
      </c>
      <c r="F598" s="100">
        <f t="shared" si="229"/>
        <v>16962</v>
      </c>
      <c r="G598" s="100">
        <f t="shared" si="229"/>
        <v>16961</v>
      </c>
      <c r="H598" s="100">
        <f t="shared" si="229"/>
        <v>16960</v>
      </c>
      <c r="I598" s="100">
        <f t="shared" si="229"/>
        <v>16958</v>
      </c>
    </row>
    <row r="600" spans="1:9" ht="15" customHeight="1" x14ac:dyDescent="0.2">
      <c r="A600" s="6" t="s">
        <v>88</v>
      </c>
      <c r="B600" s="6"/>
      <c r="C600" s="6"/>
      <c r="D600" s="6"/>
      <c r="E600" s="6"/>
      <c r="F600" s="6"/>
      <c r="G600" s="6"/>
      <c r="H600" s="6"/>
      <c r="I600" s="6"/>
    </row>
    <row r="601" spans="1:9" ht="15" customHeight="1" x14ac:dyDescent="0.2">
      <c r="A601" s="48" t="s">
        <v>420</v>
      </c>
      <c r="B601" s="73">
        <f t="shared" ref="B601:I601" si="230">+B604*B603</f>
        <v>710166.5</v>
      </c>
      <c r="C601" s="73">
        <f t="shared" si="230"/>
        <v>751916.97750000004</v>
      </c>
      <c r="D601" s="73">
        <f t="shared" si="230"/>
        <v>590999.5</v>
      </c>
      <c r="E601" s="73">
        <f t="shared" si="230"/>
        <v>571200.32500000007</v>
      </c>
      <c r="F601" s="73">
        <f t="shared" si="230"/>
        <v>486679.69999999995</v>
      </c>
      <c r="G601" s="73">
        <f t="shared" si="230"/>
        <v>486679.69999999995</v>
      </c>
      <c r="H601" s="73">
        <f t="shared" si="230"/>
        <v>454250</v>
      </c>
      <c r="I601" s="73">
        <f t="shared" si="230"/>
        <v>459628.52</v>
      </c>
    </row>
    <row r="603" spans="1:9" ht="15" customHeight="1" x14ac:dyDescent="0.2">
      <c r="A603" s="48" t="s">
        <v>86</v>
      </c>
      <c r="B603" s="68">
        <f t="shared" ref="B603:I603" si="231">B908</f>
        <v>5762</v>
      </c>
      <c r="C603" s="68">
        <f t="shared" si="231"/>
        <v>5824.75</v>
      </c>
      <c r="D603" s="68">
        <f t="shared" si="231"/>
        <v>5866</v>
      </c>
      <c r="E603" s="68">
        <f t="shared" si="231"/>
        <v>6012.6350000000002</v>
      </c>
      <c r="F603" s="68">
        <f t="shared" si="231"/>
        <v>6029.66</v>
      </c>
      <c r="G603" s="68">
        <f t="shared" si="231"/>
        <v>6029.66</v>
      </c>
      <c r="H603" s="68">
        <f t="shared" si="231"/>
        <v>6359.5</v>
      </c>
      <c r="I603" s="68">
        <f t="shared" si="231"/>
        <v>6359</v>
      </c>
    </row>
    <row r="604" spans="1:9" ht="15" customHeight="1" x14ac:dyDescent="0.2">
      <c r="A604" s="48" t="s">
        <v>87</v>
      </c>
      <c r="B604" s="53">
        <f t="shared" ref="B604:I604" si="232">B907</f>
        <v>123.25</v>
      </c>
      <c r="C604" s="53">
        <f t="shared" si="232"/>
        <v>129.09</v>
      </c>
      <c r="D604" s="53">
        <f t="shared" si="232"/>
        <v>100.75</v>
      </c>
      <c r="E604" s="53">
        <f t="shared" si="232"/>
        <v>95</v>
      </c>
      <c r="F604" s="53">
        <f t="shared" si="232"/>
        <v>80.714285714285708</v>
      </c>
      <c r="G604" s="53">
        <f t="shared" si="232"/>
        <v>80.714285714285708</v>
      </c>
      <c r="H604" s="53">
        <f t="shared" si="232"/>
        <v>71.428571428571431</v>
      </c>
      <c r="I604" s="53">
        <f t="shared" si="232"/>
        <v>72.28</v>
      </c>
    </row>
    <row r="605" spans="1:9" ht="15" customHeight="1" x14ac:dyDescent="0.2">
      <c r="A605" s="48"/>
      <c r="B605" s="68"/>
      <c r="C605" s="68"/>
      <c r="D605" s="68"/>
      <c r="E605" s="68"/>
      <c r="F605" s="68"/>
      <c r="G605" s="68"/>
      <c r="H605" s="68"/>
      <c r="I605" s="68"/>
    </row>
    <row r="606" spans="1:9" ht="15" customHeight="1" x14ac:dyDescent="0.2">
      <c r="A606" s="48" t="s">
        <v>31</v>
      </c>
      <c r="B606" s="52">
        <f t="shared" ref="B606:I607" si="233">B910</f>
        <v>0.2674722594236017</v>
      </c>
      <c r="C606" s="52">
        <f t="shared" si="233"/>
        <v>0.3</v>
      </c>
      <c r="D606" s="52">
        <f t="shared" si="233"/>
        <v>0.3</v>
      </c>
      <c r="E606" s="52">
        <f t="shared" si="233"/>
        <v>0.35</v>
      </c>
      <c r="F606" s="52">
        <f t="shared" si="233"/>
        <v>0.35</v>
      </c>
      <c r="G606" s="52">
        <f t="shared" si="233"/>
        <v>0.35</v>
      </c>
      <c r="H606" s="52">
        <f t="shared" si="233"/>
        <v>0.35</v>
      </c>
      <c r="I606" s="52">
        <f t="shared" si="233"/>
        <v>0.3</v>
      </c>
    </row>
    <row r="607" spans="1:9" ht="15" customHeight="1" x14ac:dyDescent="0.2">
      <c r="A607" s="48" t="s">
        <v>81</v>
      </c>
      <c r="B607" s="52">
        <f t="shared" si="233"/>
        <v>0</v>
      </c>
      <c r="C607" s="52">
        <f t="shared" si="233"/>
        <v>0</v>
      </c>
      <c r="D607" s="52">
        <f t="shared" si="233"/>
        <v>0</v>
      </c>
      <c r="E607" s="52">
        <f t="shared" si="233"/>
        <v>0</v>
      </c>
      <c r="F607" s="52">
        <f t="shared" si="233"/>
        <v>0</v>
      </c>
      <c r="G607" s="52">
        <f t="shared" si="233"/>
        <v>0</v>
      </c>
      <c r="H607" s="52">
        <f t="shared" si="233"/>
        <v>0</v>
      </c>
      <c r="I607" s="52">
        <f t="shared" si="233"/>
        <v>0</v>
      </c>
    </row>
    <row r="608" spans="1:9" ht="15" customHeight="1" x14ac:dyDescent="0.2">
      <c r="A608" s="48"/>
      <c r="B608" s="68"/>
      <c r="C608" s="68"/>
      <c r="D608" s="68"/>
      <c r="E608" s="68"/>
      <c r="F608" s="68"/>
      <c r="G608" s="68"/>
      <c r="H608" s="68"/>
      <c r="I608" s="68"/>
    </row>
    <row r="609" spans="1:9" ht="15" customHeight="1" x14ac:dyDescent="0.2">
      <c r="A609" s="48" t="s">
        <v>419</v>
      </c>
      <c r="B609" s="70">
        <f t="shared" ref="B609:I609" si="234">B915</f>
        <v>129006</v>
      </c>
      <c r="C609" s="70">
        <f t="shared" si="234"/>
        <v>123328</v>
      </c>
      <c r="D609" s="70">
        <f t="shared" si="234"/>
        <v>111547</v>
      </c>
      <c r="E609" s="70">
        <f t="shared" si="234"/>
        <v>120940</v>
      </c>
      <c r="F609" s="70">
        <f t="shared" si="234"/>
        <v>120179</v>
      </c>
      <c r="G609" s="70">
        <f t="shared" si="234"/>
        <v>129684</v>
      </c>
      <c r="H609" s="70">
        <f t="shared" si="234"/>
        <v>123549</v>
      </c>
      <c r="I609" s="70">
        <f t="shared" si="234"/>
        <v>123354</v>
      </c>
    </row>
    <row r="610" spans="1:9" ht="15" customHeight="1" x14ac:dyDescent="0.2">
      <c r="A610" s="48"/>
      <c r="B610" s="68"/>
      <c r="C610" s="68"/>
      <c r="D610" s="68"/>
      <c r="E610" s="68"/>
      <c r="F610" s="68"/>
      <c r="G610" s="68"/>
      <c r="H610" s="68"/>
      <c r="I610" s="68"/>
    </row>
    <row r="611" spans="1:9" ht="15" customHeight="1" x14ac:dyDescent="0.2">
      <c r="A611" s="6" t="s">
        <v>80</v>
      </c>
      <c r="B611" s="6"/>
      <c r="C611" s="6"/>
      <c r="D611" s="6"/>
      <c r="E611" s="6"/>
      <c r="F611" s="6"/>
      <c r="G611" s="6"/>
      <c r="H611" s="6"/>
      <c r="I611" s="6"/>
    </row>
    <row r="612" spans="1:9" ht="15" customHeight="1" x14ac:dyDescent="0.2">
      <c r="A612" s="3" t="s">
        <v>28</v>
      </c>
      <c r="B612" s="3" t="str">
        <f t="shared" ref="B612:I612" si="235">B919</f>
        <v>Yes</v>
      </c>
      <c r="C612" s="3" t="str">
        <f t="shared" si="235"/>
        <v>Yes</v>
      </c>
      <c r="D612" s="3" t="str">
        <f t="shared" si="235"/>
        <v>Yes</v>
      </c>
      <c r="E612" s="3" t="str">
        <f t="shared" si="235"/>
        <v>Yes</v>
      </c>
      <c r="F612" s="3" t="str">
        <f t="shared" si="235"/>
        <v>Yes</v>
      </c>
      <c r="G612" s="3" t="str">
        <f t="shared" si="235"/>
        <v>Yes</v>
      </c>
      <c r="H612" s="3" t="str">
        <f t="shared" si="235"/>
        <v>Yes</v>
      </c>
      <c r="I612" s="3" t="str">
        <f t="shared" si="235"/>
        <v>Yes</v>
      </c>
    </row>
    <row r="613" spans="1:9" ht="15" customHeight="1" x14ac:dyDescent="0.2">
      <c r="A613" s="42" t="s">
        <v>75</v>
      </c>
      <c r="B613" s="70">
        <f t="shared" ref="B613:I613" ca="1" si="236">IF(B612="No",0,B614*B624)</f>
        <v>243.77789810670859</v>
      </c>
      <c r="C613" s="70">
        <f t="shared" ca="1" si="236"/>
        <v>388.43255055377296</v>
      </c>
      <c r="D613" s="70">
        <f t="shared" ca="1" si="236"/>
        <v>533.55452659223045</v>
      </c>
      <c r="E613" s="70">
        <f t="shared" ca="1" si="236"/>
        <v>2149.5190683715878</v>
      </c>
      <c r="F613" s="70">
        <f t="shared" ca="1" si="236"/>
        <v>4.3349131307109214</v>
      </c>
      <c r="G613" s="70">
        <f t="shared" ca="1" si="236"/>
        <v>4.3401343419853813</v>
      </c>
      <c r="H613" s="70">
        <f t="shared" ca="1" si="236"/>
        <v>1.8403728921915363</v>
      </c>
      <c r="I613" s="70">
        <f t="shared" ca="1" si="236"/>
        <v>12.820259061110194</v>
      </c>
    </row>
    <row r="614" spans="1:9" ht="15" customHeight="1" x14ac:dyDescent="0.2">
      <c r="A614" s="42" t="s">
        <v>83</v>
      </c>
      <c r="B614" s="70">
        <f t="shared" ref="B614:I614" ca="1" si="237">IF(B612="No",0,B616*B623)</f>
        <v>243.77789810670859</v>
      </c>
      <c r="C614" s="70">
        <f t="shared" ca="1" si="237"/>
        <v>388.43255055377296</v>
      </c>
      <c r="D614" s="70">
        <f t="shared" ca="1" si="237"/>
        <v>533.55452659223045</v>
      </c>
      <c r="E614" s="70">
        <f t="shared" ca="1" si="237"/>
        <v>2149.5190683715878</v>
      </c>
      <c r="F614" s="70">
        <f t="shared" ca="1" si="237"/>
        <v>4.3349131307109214</v>
      </c>
      <c r="G614" s="70">
        <f t="shared" ca="1" si="237"/>
        <v>4.3401343419853813</v>
      </c>
      <c r="H614" s="70">
        <f t="shared" ca="1" si="237"/>
        <v>1.8403728921915363</v>
      </c>
      <c r="I614" s="70">
        <f t="shared" ca="1" si="237"/>
        <v>12.820259061110194</v>
      </c>
    </row>
    <row r="616" spans="1:9" ht="15" customHeight="1" x14ac:dyDescent="0.2">
      <c r="A616" s="42" t="s">
        <v>422</v>
      </c>
      <c r="B616" s="53">
        <f t="shared" ref="B616:I616" ca="1" si="238">IF(B612="No",0,IF(OR(B618="",B618=0),B617,B618))</f>
        <v>105.99039048117766</v>
      </c>
      <c r="C616" s="53">
        <f t="shared" ca="1" si="238"/>
        <v>110.98072872964941</v>
      </c>
      <c r="D616" s="53">
        <f t="shared" ca="1" si="238"/>
        <v>80.841594938216744</v>
      </c>
      <c r="E616" s="53">
        <f t="shared" ca="1" si="238"/>
        <v>75.411137677925467</v>
      </c>
      <c r="F616" s="53">
        <f t="shared" ca="1" si="238"/>
        <v>1.0645660930036644</v>
      </c>
      <c r="G616" s="53">
        <f t="shared" ca="1" si="238"/>
        <v>1.065848315811734</v>
      </c>
      <c r="H616" s="53">
        <f t="shared" ca="1" si="238"/>
        <v>0.44952928485381927</v>
      </c>
      <c r="I616" s="53">
        <f t="shared" ca="1" si="238"/>
        <v>1.9708315236141729</v>
      </c>
    </row>
    <row r="617" spans="1:9" ht="15" customHeight="1" x14ac:dyDescent="0.2">
      <c r="A617" s="42" t="s">
        <v>89</v>
      </c>
      <c r="B617" s="53">
        <f t="shared" ref="B617:I617" ca="1" si="239">IF(B612="No",0,IF(ISERROR(((EXP((0-B629)*B622))*B620*(NORMSDIST(((LN(B620/B621)+((B631-B629)+((B628^2)/2))*B622)/((((B628^2))^(0.5))*(B622^0.5)))))-B621*(EXP((0-B631)*B622))*(NORMSDIST((((LN(B620/B621)+((B631-B629)+((B628^2)/2))*B622)/((((B628^2))^(0.5))*(B622^0.5)))-(((B628^2)^0.5)*(B622^(0.5)))))))),0,((EXP((0-B629)*B622))*B620*(NORMSDIST(((LN(B620/B621)+((B631-B629)+((B628^2)/2))*B622)/((((B628^2))^(0.5))*(B622^0.5)))))-B621*(EXP((0-B631)*B622))*(NORMSDIST((((LN(B620/B621)+((B631-B629)+((B628^2)/2))*B622)/((((B628^2))^(0.5))*(B622^0.5)))-(((B628^2)^0.5)*(B622^(0.5)))))))))</f>
        <v>105.99039048117766</v>
      </c>
      <c r="C617" s="53">
        <f t="shared" ca="1" si="239"/>
        <v>110.98072872964941</v>
      </c>
      <c r="D617" s="53">
        <f t="shared" ca="1" si="239"/>
        <v>80.841594938216744</v>
      </c>
      <c r="E617" s="53">
        <f t="shared" ca="1" si="239"/>
        <v>75.411137677925467</v>
      </c>
      <c r="F617" s="53">
        <f t="shared" ca="1" si="239"/>
        <v>1.0645660930036644</v>
      </c>
      <c r="G617" s="53">
        <f t="shared" ca="1" si="239"/>
        <v>1.065848315811734</v>
      </c>
      <c r="H617" s="53">
        <f t="shared" ca="1" si="239"/>
        <v>0.44952928485381927</v>
      </c>
      <c r="I617" s="53">
        <f t="shared" ca="1" si="239"/>
        <v>1.9708315236141729</v>
      </c>
    </row>
    <row r="618" spans="1:9" ht="15" customHeight="1" x14ac:dyDescent="0.2">
      <c r="A618" s="42" t="s">
        <v>421</v>
      </c>
      <c r="B618" s="53">
        <f t="shared" ref="B618:I618" si="240">IF(B612="No",0,IF(B920="",0,B920))</f>
        <v>0</v>
      </c>
      <c r="C618" s="53">
        <f t="shared" si="240"/>
        <v>0</v>
      </c>
      <c r="D618" s="53">
        <f t="shared" si="240"/>
        <v>0</v>
      </c>
      <c r="E618" s="53">
        <f t="shared" si="240"/>
        <v>0</v>
      </c>
      <c r="F618" s="53">
        <f t="shared" si="240"/>
        <v>0</v>
      </c>
      <c r="G618" s="53">
        <f t="shared" si="240"/>
        <v>0</v>
      </c>
      <c r="H618" s="53">
        <f t="shared" si="240"/>
        <v>0</v>
      </c>
      <c r="I618" s="53">
        <f t="shared" si="240"/>
        <v>0</v>
      </c>
    </row>
    <row r="620" spans="1:9" ht="15" customHeight="1" x14ac:dyDescent="0.2">
      <c r="A620" s="42" t="s">
        <v>85</v>
      </c>
      <c r="B620" s="101">
        <f t="shared" ref="B620:I620" ca="1" si="241">IF(B612="No",0,IF(B$9="Yes",B627,IF(B625+B623=0,#N/A,(B627*B625+B616*B623)/(B625+B623))))</f>
        <v>123.24311328315784</v>
      </c>
      <c r="C620" s="101">
        <f t="shared" ca="1" si="241"/>
        <v>129.0791249604176</v>
      </c>
      <c r="D620" s="101">
        <f t="shared" ca="1" si="241"/>
        <v>100.72762567288632</v>
      </c>
      <c r="E620" s="101">
        <f t="shared" ca="1" si="241"/>
        <v>94.907573566569425</v>
      </c>
      <c r="F620" s="101">
        <f t="shared" ca="1" si="241"/>
        <v>80.660532306229499</v>
      </c>
      <c r="G620" s="101">
        <f t="shared" ca="1" si="241"/>
        <v>80.660533171566442</v>
      </c>
      <c r="H620" s="101">
        <f t="shared" ca="1" si="241"/>
        <v>71.382907264808566</v>
      </c>
      <c r="I620" s="101">
        <f t="shared" ca="1" si="241"/>
        <v>72.20815006178789</v>
      </c>
    </row>
    <row r="621" spans="1:9" ht="15" customHeight="1" x14ac:dyDescent="0.2">
      <c r="A621" s="48" t="s">
        <v>29</v>
      </c>
      <c r="B621" s="53">
        <f t="shared" ref="B621:I621" si="242">IF(B612="No",0,B921)</f>
        <v>18.149999999999999</v>
      </c>
      <c r="C621" s="53">
        <f t="shared" si="242"/>
        <v>19.61</v>
      </c>
      <c r="D621" s="53">
        <f t="shared" si="242"/>
        <v>21.99</v>
      </c>
      <c r="E621" s="53">
        <f t="shared" si="242"/>
        <v>20.009999999999998</v>
      </c>
      <c r="F621" s="53">
        <f t="shared" si="242"/>
        <v>140.07</v>
      </c>
      <c r="G621" s="53">
        <f t="shared" si="242"/>
        <v>140.07</v>
      </c>
      <c r="H621" s="53">
        <f t="shared" si="242"/>
        <v>139.65</v>
      </c>
      <c r="I621" s="53">
        <f t="shared" si="242"/>
        <v>127.56</v>
      </c>
    </row>
    <row r="622" spans="1:9" ht="15" customHeight="1" x14ac:dyDescent="0.2">
      <c r="A622" s="48" t="s">
        <v>30</v>
      </c>
      <c r="B622" s="54">
        <f t="shared" ref="B622:I622" si="243">IF(B612="No",0,B922)</f>
        <v>2.6</v>
      </c>
      <c r="C622" s="54">
        <f t="shared" si="243"/>
        <v>4</v>
      </c>
      <c r="D622" s="54">
        <f t="shared" si="243"/>
        <v>4</v>
      </c>
      <c r="E622" s="54">
        <f t="shared" si="243"/>
        <v>1</v>
      </c>
      <c r="F622" s="54">
        <f t="shared" si="243"/>
        <v>1</v>
      </c>
      <c r="G622" s="54">
        <f t="shared" si="243"/>
        <v>1</v>
      </c>
      <c r="H622" s="54">
        <f t="shared" si="243"/>
        <v>1</v>
      </c>
      <c r="I622" s="54">
        <f t="shared" si="243"/>
        <v>1.9</v>
      </c>
    </row>
    <row r="623" spans="1:9" ht="15" customHeight="1" x14ac:dyDescent="0.2">
      <c r="A623" s="48" t="s">
        <v>90</v>
      </c>
      <c r="B623" s="102">
        <f t="shared" ref="B623:I623" si="244">IF(B612="No",0,B923)</f>
        <v>2.2999999999999998</v>
      </c>
      <c r="C623" s="102">
        <f t="shared" si="244"/>
        <v>3.5</v>
      </c>
      <c r="D623" s="102">
        <f t="shared" si="244"/>
        <v>6.6</v>
      </c>
      <c r="E623" s="102">
        <f t="shared" si="244"/>
        <v>28.504000000000001</v>
      </c>
      <c r="F623" s="102">
        <f t="shared" si="244"/>
        <v>4.0720000000000001</v>
      </c>
      <c r="G623" s="102">
        <f t="shared" si="244"/>
        <v>4.0720000000000001</v>
      </c>
      <c r="H623" s="102">
        <f t="shared" si="244"/>
        <v>4.0940000000000003</v>
      </c>
      <c r="I623" s="102">
        <f t="shared" si="244"/>
        <v>6.5049999999999999</v>
      </c>
    </row>
    <row r="624" spans="1:9" ht="15" customHeight="1" x14ac:dyDescent="0.2">
      <c r="A624" s="42" t="s">
        <v>84</v>
      </c>
      <c r="B624" s="52">
        <f t="shared" ref="B624:I624" si="245">IF(B612="No",0,B924)</f>
        <v>1</v>
      </c>
      <c r="C624" s="52">
        <f t="shared" si="245"/>
        <v>1</v>
      </c>
      <c r="D624" s="52">
        <f t="shared" si="245"/>
        <v>1</v>
      </c>
      <c r="E624" s="52">
        <f t="shared" si="245"/>
        <v>1</v>
      </c>
      <c r="F624" s="52">
        <f t="shared" si="245"/>
        <v>1</v>
      </c>
      <c r="G624" s="52">
        <f t="shared" si="245"/>
        <v>1</v>
      </c>
      <c r="H624" s="52">
        <f t="shared" si="245"/>
        <v>1</v>
      </c>
      <c r="I624" s="52">
        <f t="shared" si="245"/>
        <v>1</v>
      </c>
    </row>
    <row r="625" spans="1:9" ht="15" customHeight="1" x14ac:dyDescent="0.2">
      <c r="A625" s="48" t="s">
        <v>86</v>
      </c>
      <c r="B625" s="68">
        <f t="shared" ref="B625:I625" si="246">IF(B612="No",0,B603)</f>
        <v>5762</v>
      </c>
      <c r="C625" s="68">
        <f t="shared" si="246"/>
        <v>5824.75</v>
      </c>
      <c r="D625" s="68">
        <f t="shared" si="246"/>
        <v>5866</v>
      </c>
      <c r="E625" s="68">
        <f t="shared" si="246"/>
        <v>6012.6350000000002</v>
      </c>
      <c r="F625" s="68">
        <f t="shared" si="246"/>
        <v>6029.66</v>
      </c>
      <c r="G625" s="68">
        <f t="shared" si="246"/>
        <v>6029.66</v>
      </c>
      <c r="H625" s="68">
        <f t="shared" si="246"/>
        <v>6359.5</v>
      </c>
      <c r="I625" s="68">
        <f t="shared" si="246"/>
        <v>6359</v>
      </c>
    </row>
    <row r="627" spans="1:9" ht="15" customHeight="1" x14ac:dyDescent="0.2">
      <c r="A627" s="48" t="s">
        <v>87</v>
      </c>
      <c r="B627" s="53">
        <f t="shared" ref="B627:I627" si="247">IF(B612="No",0,B604)</f>
        <v>123.25</v>
      </c>
      <c r="C627" s="53">
        <f t="shared" si="247"/>
        <v>129.09</v>
      </c>
      <c r="D627" s="53">
        <f t="shared" si="247"/>
        <v>100.75</v>
      </c>
      <c r="E627" s="53">
        <f t="shared" si="247"/>
        <v>95</v>
      </c>
      <c r="F627" s="53">
        <f t="shared" si="247"/>
        <v>80.714285714285708</v>
      </c>
      <c r="G627" s="53">
        <f t="shared" si="247"/>
        <v>80.714285714285708</v>
      </c>
      <c r="H627" s="53">
        <f t="shared" si="247"/>
        <v>71.428571428571431</v>
      </c>
      <c r="I627" s="53">
        <f t="shared" si="247"/>
        <v>72.28</v>
      </c>
    </row>
    <row r="628" spans="1:9" ht="15" customHeight="1" x14ac:dyDescent="0.2">
      <c r="A628" s="48" t="s">
        <v>31</v>
      </c>
      <c r="B628" s="52">
        <f t="shared" ref="B628:I628" si="248">IF(B612="No",0,B606)</f>
        <v>0.2674722594236017</v>
      </c>
      <c r="C628" s="52">
        <f t="shared" si="248"/>
        <v>0.3</v>
      </c>
      <c r="D628" s="52">
        <f t="shared" si="248"/>
        <v>0.3</v>
      </c>
      <c r="E628" s="52">
        <f t="shared" si="248"/>
        <v>0.35</v>
      </c>
      <c r="F628" s="52">
        <f t="shared" si="248"/>
        <v>0.35</v>
      </c>
      <c r="G628" s="52">
        <f t="shared" si="248"/>
        <v>0.35</v>
      </c>
      <c r="H628" s="52">
        <f t="shared" si="248"/>
        <v>0.35</v>
      </c>
      <c r="I628" s="52">
        <f t="shared" si="248"/>
        <v>0.3</v>
      </c>
    </row>
    <row r="629" spans="1:9" ht="15" customHeight="1" x14ac:dyDescent="0.2">
      <c r="A629" s="48" t="s">
        <v>81</v>
      </c>
      <c r="B629" s="52">
        <f t="shared" ref="B629:I629" si="249">IF(B612="No",0,B607)</f>
        <v>0</v>
      </c>
      <c r="C629" s="52">
        <f t="shared" si="249"/>
        <v>0</v>
      </c>
      <c r="D629" s="52">
        <f t="shared" si="249"/>
        <v>0</v>
      </c>
      <c r="E629" s="52">
        <f t="shared" si="249"/>
        <v>0</v>
      </c>
      <c r="F629" s="52">
        <f t="shared" si="249"/>
        <v>0</v>
      </c>
      <c r="G629" s="52">
        <f t="shared" si="249"/>
        <v>0</v>
      </c>
      <c r="H629" s="52">
        <f t="shared" si="249"/>
        <v>0</v>
      </c>
      <c r="I629" s="52">
        <f t="shared" si="249"/>
        <v>0</v>
      </c>
    </row>
    <row r="631" spans="1:9" ht="15" customHeight="1" x14ac:dyDescent="0.2">
      <c r="A631" s="42" t="s">
        <v>82</v>
      </c>
      <c r="B631" s="52">
        <f t="shared" ref="B631:I631" si="250">IF(B612="No",0,B564)</f>
        <v>1.95E-2</v>
      </c>
      <c r="C631" s="52">
        <f t="shared" si="250"/>
        <v>0.02</v>
      </c>
      <c r="D631" s="52">
        <f t="shared" si="250"/>
        <v>2.4799999999999999E-2</v>
      </c>
      <c r="E631" s="52">
        <f t="shared" si="250"/>
        <v>2.5999999999999999E-2</v>
      </c>
      <c r="F631" s="52">
        <f t="shared" si="250"/>
        <v>2.7E-2</v>
      </c>
      <c r="G631" s="52">
        <f t="shared" si="250"/>
        <v>2.7199999999999998E-2</v>
      </c>
      <c r="H631" s="52">
        <f t="shared" si="250"/>
        <v>3.04E-2</v>
      </c>
      <c r="I631" s="52">
        <f t="shared" si="250"/>
        <v>0.03</v>
      </c>
    </row>
    <row r="633" spans="1:9" ht="15" customHeight="1" x14ac:dyDescent="0.2">
      <c r="A633" s="6" t="s">
        <v>73</v>
      </c>
      <c r="B633" s="6"/>
      <c r="C633" s="6"/>
      <c r="D633" s="6"/>
      <c r="E633" s="6"/>
      <c r="F633" s="6"/>
      <c r="G633" s="6"/>
      <c r="H633" s="6"/>
      <c r="I633" s="6"/>
    </row>
    <row r="634" spans="1:9" ht="15" customHeight="1" x14ac:dyDescent="0.2">
      <c r="A634" s="48" t="s">
        <v>79</v>
      </c>
      <c r="B634" s="73">
        <f t="shared" ref="B634:I634" si="251">IF(B638=0,B639,B635)</f>
        <v>0</v>
      </c>
      <c r="C634" s="73">
        <f t="shared" si="251"/>
        <v>0</v>
      </c>
      <c r="D634" s="73">
        <f t="shared" si="251"/>
        <v>0</v>
      </c>
      <c r="E634" s="73">
        <f t="shared" si="251"/>
        <v>0</v>
      </c>
      <c r="F634" s="73">
        <f t="shared" si="251"/>
        <v>0</v>
      </c>
      <c r="G634" s="73">
        <f t="shared" si="251"/>
        <v>0</v>
      </c>
      <c r="H634" s="73">
        <f t="shared" si="251"/>
        <v>0</v>
      </c>
      <c r="I634" s="73">
        <f t="shared" si="251"/>
        <v>0</v>
      </c>
    </row>
    <row r="635" spans="1:9" ht="15" customHeight="1" x14ac:dyDescent="0.2">
      <c r="A635" s="3" t="s">
        <v>69</v>
      </c>
      <c r="B635" s="70">
        <f t="shared" ref="B635:I635" si="252">B637*B638</f>
        <v>0</v>
      </c>
      <c r="C635" s="70">
        <f t="shared" si="252"/>
        <v>0</v>
      </c>
      <c r="D635" s="70">
        <f t="shared" si="252"/>
        <v>0</v>
      </c>
      <c r="E635" s="70">
        <f t="shared" si="252"/>
        <v>0</v>
      </c>
      <c r="F635" s="70">
        <f t="shared" si="252"/>
        <v>0</v>
      </c>
      <c r="G635" s="70">
        <f t="shared" si="252"/>
        <v>0</v>
      </c>
      <c r="H635" s="70">
        <f t="shared" si="252"/>
        <v>0</v>
      </c>
      <c r="I635" s="70">
        <f t="shared" si="252"/>
        <v>0</v>
      </c>
    </row>
    <row r="636" spans="1:9" ht="15" customHeight="1" x14ac:dyDescent="0.2">
      <c r="A636" s="3" t="s">
        <v>70</v>
      </c>
      <c r="B636" s="53">
        <f t="shared" ref="B636:I639" si="253">B928</f>
        <v>0</v>
      </c>
      <c r="C636" s="53">
        <f t="shared" si="253"/>
        <v>0</v>
      </c>
      <c r="D636" s="53">
        <f t="shared" si="253"/>
        <v>0</v>
      </c>
      <c r="E636" s="53">
        <f t="shared" si="253"/>
        <v>0</v>
      </c>
      <c r="F636" s="53">
        <f t="shared" si="253"/>
        <v>0</v>
      </c>
      <c r="G636" s="53">
        <f t="shared" si="253"/>
        <v>0</v>
      </c>
      <c r="H636" s="53">
        <f t="shared" si="253"/>
        <v>0</v>
      </c>
      <c r="I636" s="53">
        <f t="shared" si="253"/>
        <v>0</v>
      </c>
    </row>
    <row r="637" spans="1:9" ht="15" customHeight="1" x14ac:dyDescent="0.2">
      <c r="A637" s="3" t="s">
        <v>71</v>
      </c>
      <c r="B637" s="53">
        <f t="shared" si="253"/>
        <v>0</v>
      </c>
      <c r="C637" s="53">
        <f t="shared" si="253"/>
        <v>0</v>
      </c>
      <c r="D637" s="53">
        <f t="shared" si="253"/>
        <v>0</v>
      </c>
      <c r="E637" s="53">
        <f t="shared" si="253"/>
        <v>0</v>
      </c>
      <c r="F637" s="53">
        <f t="shared" si="253"/>
        <v>0</v>
      </c>
      <c r="G637" s="53">
        <f t="shared" si="253"/>
        <v>0</v>
      </c>
      <c r="H637" s="53">
        <f t="shared" si="253"/>
        <v>0</v>
      </c>
      <c r="I637" s="53">
        <f t="shared" si="253"/>
        <v>0</v>
      </c>
    </row>
    <row r="638" spans="1:9" ht="15" customHeight="1" x14ac:dyDescent="0.2">
      <c r="A638" s="3" t="s">
        <v>72</v>
      </c>
      <c r="B638" s="54">
        <f t="shared" si="253"/>
        <v>0</v>
      </c>
      <c r="C638" s="54">
        <f t="shared" si="253"/>
        <v>0</v>
      </c>
      <c r="D638" s="54">
        <f t="shared" si="253"/>
        <v>0</v>
      </c>
      <c r="E638" s="54">
        <f t="shared" si="253"/>
        <v>0</v>
      </c>
      <c r="F638" s="54">
        <f t="shared" si="253"/>
        <v>0</v>
      </c>
      <c r="G638" s="54">
        <f t="shared" si="253"/>
        <v>0</v>
      </c>
      <c r="H638" s="54">
        <f t="shared" si="253"/>
        <v>0</v>
      </c>
      <c r="I638" s="54">
        <f t="shared" si="253"/>
        <v>0</v>
      </c>
    </row>
    <row r="639" spans="1:9" ht="15" customHeight="1" x14ac:dyDescent="0.2">
      <c r="A639" s="48" t="s">
        <v>68</v>
      </c>
      <c r="B639" s="53">
        <f t="shared" si="253"/>
        <v>0</v>
      </c>
      <c r="C639" s="53">
        <f t="shared" si="253"/>
        <v>0</v>
      </c>
      <c r="D639" s="53">
        <f t="shared" si="253"/>
        <v>0</v>
      </c>
      <c r="E639" s="53">
        <f t="shared" si="253"/>
        <v>0</v>
      </c>
      <c r="F639" s="53">
        <f t="shared" si="253"/>
        <v>0</v>
      </c>
      <c r="G639" s="53">
        <f t="shared" si="253"/>
        <v>0</v>
      </c>
      <c r="H639" s="53">
        <f t="shared" si="253"/>
        <v>0</v>
      </c>
      <c r="I639" s="53">
        <f t="shared" si="253"/>
        <v>0</v>
      </c>
    </row>
    <row r="641" spans="1:9" ht="15" customHeight="1" x14ac:dyDescent="0.2">
      <c r="A641" s="6" t="s">
        <v>91</v>
      </c>
      <c r="B641" s="6"/>
      <c r="C641" s="6"/>
      <c r="D641" s="6"/>
      <c r="E641" s="6"/>
      <c r="F641" s="6"/>
      <c r="G641" s="6"/>
      <c r="H641" s="6"/>
      <c r="I641" s="6"/>
    </row>
    <row r="642" spans="1:9" ht="15" customHeight="1" x14ac:dyDescent="0.2">
      <c r="A642" s="3" t="s">
        <v>22</v>
      </c>
      <c r="B642" s="3" t="str">
        <f t="shared" ref="B642:I642" si="254">B935</f>
        <v>Yes</v>
      </c>
      <c r="C642" s="3" t="str">
        <f t="shared" si="254"/>
        <v>Yes</v>
      </c>
      <c r="D642" s="3" t="str">
        <f t="shared" si="254"/>
        <v>Yes</v>
      </c>
      <c r="E642" s="3" t="str">
        <f t="shared" si="254"/>
        <v>Yes</v>
      </c>
      <c r="F642" s="3" t="str">
        <f t="shared" si="254"/>
        <v>Yes</v>
      </c>
      <c r="G642" s="3" t="str">
        <f t="shared" si="254"/>
        <v>Yes</v>
      </c>
      <c r="H642" s="3" t="str">
        <f t="shared" si="254"/>
        <v>Yes</v>
      </c>
      <c r="I642" s="3" t="str">
        <f t="shared" si="254"/>
        <v>Yes</v>
      </c>
    </row>
    <row r="643" spans="1:9" ht="15" customHeight="1" x14ac:dyDescent="0.2">
      <c r="A643" s="42" t="s">
        <v>101</v>
      </c>
      <c r="B643" s="73">
        <f t="shared" ref="B643:I643" ca="1" si="255">IF(B642="No",0,B644*(1-B649))</f>
        <v>122.66649507974032</v>
      </c>
      <c r="C643" s="73">
        <f t="shared" ca="1" si="255"/>
        <v>124.72860790128512</v>
      </c>
      <c r="D643" s="73">
        <f t="shared" ca="1" si="255"/>
        <v>132.64593770023743</v>
      </c>
      <c r="E643" s="73">
        <f t="shared" ca="1" si="255"/>
        <v>103.48124636168616</v>
      </c>
      <c r="F643" s="73">
        <f t="shared" ca="1" si="255"/>
        <v>105.17187558900167</v>
      </c>
      <c r="G643" s="73">
        <f t="shared" ca="1" si="255"/>
        <v>105.37463132648273</v>
      </c>
      <c r="H643" s="73">
        <f t="shared" ca="1" si="255"/>
        <v>110.31234618773523</v>
      </c>
      <c r="I643" s="73">
        <f t="shared" ca="1" si="255"/>
        <v>18.878518624918676</v>
      </c>
    </row>
    <row r="644" spans="1:9" ht="15" customHeight="1" x14ac:dyDescent="0.2">
      <c r="A644" s="42" t="s">
        <v>306</v>
      </c>
      <c r="B644" s="73">
        <f t="shared" ref="B644:I644" ca="1" si="256">IF(B642="No",0,+B654-B645)</f>
        <v>167.8223019132065</v>
      </c>
      <c r="C644" s="73">
        <f t="shared" ca="1" si="256"/>
        <v>168.96214439179857</v>
      </c>
      <c r="D644" s="73">
        <f t="shared" ca="1" si="256"/>
        <v>179.72294759621161</v>
      </c>
      <c r="E644" s="73">
        <f t="shared" ca="1" si="256"/>
        <v>140.23680370614011</v>
      </c>
      <c r="F644" s="73">
        <f t="shared" ca="1" si="256"/>
        <v>142.33573634998197</v>
      </c>
      <c r="G644" s="73">
        <f t="shared" ca="1" si="256"/>
        <v>142.75392794986863</v>
      </c>
      <c r="H644" s="73">
        <f t="shared" ca="1" si="256"/>
        <v>149.37352225827385</v>
      </c>
      <c r="I644" s="73">
        <f t="shared" ca="1" si="256"/>
        <v>25.583989406274213</v>
      </c>
    </row>
    <row r="645" spans="1:9" ht="15" customHeight="1" x14ac:dyDescent="0.2">
      <c r="A645" s="42" t="s">
        <v>305</v>
      </c>
      <c r="B645" s="92">
        <f t="shared" ref="B645:I645" ca="1" si="257">IF(B642="No",0,IF(B652+B651=0,0,B646/(B652+B651)))</f>
        <v>549.1776980867935</v>
      </c>
      <c r="C645" s="92">
        <f t="shared" ca="1" si="257"/>
        <v>548.03785560820143</v>
      </c>
      <c r="D645" s="92">
        <f t="shared" ca="1" si="257"/>
        <v>537.27705240378839</v>
      </c>
      <c r="E645" s="92">
        <f t="shared" ca="1" si="257"/>
        <v>504.76319629385989</v>
      </c>
      <c r="F645" s="92">
        <f t="shared" ca="1" si="257"/>
        <v>502.66426365001803</v>
      </c>
      <c r="G645" s="92">
        <f t="shared" ca="1" si="257"/>
        <v>502.24607205013137</v>
      </c>
      <c r="H645" s="92">
        <f t="shared" ca="1" si="257"/>
        <v>495.62647774172615</v>
      </c>
      <c r="I645" s="92">
        <f t="shared" ca="1" si="257"/>
        <v>462.41601059372579</v>
      </c>
    </row>
    <row r="646" spans="1:9" ht="15" customHeight="1" x14ac:dyDescent="0.2">
      <c r="A646" s="42" t="s">
        <v>304</v>
      </c>
      <c r="B646" s="73">
        <f t="shared" ref="B646:I646" ca="1" si="258">IF(B642="No",0,IF(B652=0,0,SUM(B655/(1+B648)^1,B656/(1+B648)^2,B657/(1+B648)^3,B658/(1+B648)^4,B659/(1+B648)^5,IF(B651&gt;0,(IF(B660&gt;0,IF(B651&gt;1,B660/B651,B660),0)*(1-(1+B648)^(-B651))/B648)/(1+B648)^5,IF(B660&gt;0,IF(B651&gt;1,B660/B651,B660),0)/(1+B648)^6))))</f>
        <v>4393.421584694348</v>
      </c>
      <c r="C646" s="73">
        <f t="shared" ca="1" si="258"/>
        <v>4384.3028448656114</v>
      </c>
      <c r="D646" s="73">
        <f t="shared" ca="1" si="258"/>
        <v>4298.2164192303071</v>
      </c>
      <c r="E646" s="73">
        <f t="shared" ca="1" si="258"/>
        <v>4038.1055703508791</v>
      </c>
      <c r="F646" s="73">
        <f t="shared" ca="1" si="258"/>
        <v>4021.3141092001442</v>
      </c>
      <c r="G646" s="73">
        <f t="shared" ca="1" si="258"/>
        <v>4017.968576401051</v>
      </c>
      <c r="H646" s="73">
        <f t="shared" ca="1" si="258"/>
        <v>3965.0118219338092</v>
      </c>
      <c r="I646" s="73">
        <f t="shared" ca="1" si="258"/>
        <v>3699.3280847498063</v>
      </c>
    </row>
    <row r="648" spans="1:9" ht="15" customHeight="1" x14ac:dyDescent="0.2">
      <c r="A648" s="42" t="s">
        <v>303</v>
      </c>
      <c r="B648" s="52">
        <f t="shared" ref="B648:I648" ca="1" si="259">IF(B642="No",0,B548)</f>
        <v>2.9499999999999998E-2</v>
      </c>
      <c r="C648" s="52">
        <f t="shared" ca="1" si="259"/>
        <v>0.03</v>
      </c>
      <c r="D648" s="52">
        <f t="shared" ca="1" si="259"/>
        <v>3.4799999999999998E-2</v>
      </c>
      <c r="E648" s="52">
        <f t="shared" ca="1" si="259"/>
        <v>3.5999999999999997E-2</v>
      </c>
      <c r="F648" s="52">
        <f t="shared" ca="1" si="259"/>
        <v>3.6999999999999998E-2</v>
      </c>
      <c r="G648" s="52">
        <f t="shared" ca="1" si="259"/>
        <v>3.7199999999999997E-2</v>
      </c>
      <c r="H648" s="52">
        <f t="shared" ca="1" si="259"/>
        <v>4.0399999999999998E-2</v>
      </c>
      <c r="I648" s="52">
        <f t="shared" ca="1" si="259"/>
        <v>0.04</v>
      </c>
    </row>
    <row r="649" spans="1:9" ht="15" customHeight="1" x14ac:dyDescent="0.2">
      <c r="A649" s="48" t="s">
        <v>102</v>
      </c>
      <c r="B649" s="95">
        <f t="shared" ref="B649:I649" si="260">IF(B642="No",0,B817)</f>
        <v>0.26906916612798965</v>
      </c>
      <c r="C649" s="95">
        <f t="shared" si="260"/>
        <v>0.26179554390563564</v>
      </c>
      <c r="D649" s="95">
        <f t="shared" si="260"/>
        <v>0.26194211994421202</v>
      </c>
      <c r="E649" s="95">
        <f t="shared" si="260"/>
        <v>0.2620963710886734</v>
      </c>
      <c r="F649" s="95">
        <f t="shared" si="260"/>
        <v>0.2611</v>
      </c>
      <c r="G649" s="95">
        <f t="shared" si="260"/>
        <v>0.26184425998080074</v>
      </c>
      <c r="H649" s="95">
        <f t="shared" si="260"/>
        <v>0.26150000000000001</v>
      </c>
      <c r="I649" s="95">
        <f t="shared" si="260"/>
        <v>0.2620963710886734</v>
      </c>
    </row>
    <row r="651" spans="1:9" ht="15" customHeight="1" x14ac:dyDescent="0.2">
      <c r="A651" s="42" t="s">
        <v>100</v>
      </c>
      <c r="B651" s="103">
        <f t="shared" ref="B651:I651" si="261">IF(B642="No",0,IF(B652=0,0,IF(B655+B656+B657+B658+B659=0,0,ROUND(B660/AVERAGE(B655,B656,B657,B658,B659),0))))</f>
        <v>3</v>
      </c>
      <c r="C651" s="103">
        <f t="shared" si="261"/>
        <v>3</v>
      </c>
      <c r="D651" s="103">
        <f t="shared" si="261"/>
        <v>3</v>
      </c>
      <c r="E651" s="103">
        <f t="shared" si="261"/>
        <v>3</v>
      </c>
      <c r="F651" s="103">
        <f t="shared" si="261"/>
        <v>3</v>
      </c>
      <c r="G651" s="103">
        <f t="shared" si="261"/>
        <v>3</v>
      </c>
      <c r="H651" s="103">
        <f t="shared" si="261"/>
        <v>3</v>
      </c>
      <c r="I651" s="103">
        <f t="shared" si="261"/>
        <v>3</v>
      </c>
    </row>
    <row r="652" spans="1:9" ht="15" customHeight="1" x14ac:dyDescent="0.2">
      <c r="A652" s="42" t="s">
        <v>99</v>
      </c>
      <c r="B652" s="103">
        <f t="shared" ref="B652:I652" si="262">IF(B642="No",0,SUM(IF(B655&gt;0,1,0),IF(B656&gt;0,1,0),IF(B657&gt;0,1,0),IF(B658&gt;0,1,0),IF(B659&gt;0,1,0)))</f>
        <v>5</v>
      </c>
      <c r="C652" s="103">
        <f t="shared" si="262"/>
        <v>5</v>
      </c>
      <c r="D652" s="103">
        <f t="shared" si="262"/>
        <v>5</v>
      </c>
      <c r="E652" s="103">
        <f t="shared" si="262"/>
        <v>5</v>
      </c>
      <c r="F652" s="103">
        <f t="shared" si="262"/>
        <v>5</v>
      </c>
      <c r="G652" s="103">
        <f t="shared" si="262"/>
        <v>5</v>
      </c>
      <c r="H652" s="103">
        <f t="shared" si="262"/>
        <v>5</v>
      </c>
      <c r="I652" s="103">
        <f t="shared" si="262"/>
        <v>5</v>
      </c>
    </row>
    <row r="653" spans="1:9" ht="15" customHeight="1" x14ac:dyDescent="0.2">
      <c r="A653" s="42"/>
      <c r="B653" s="103"/>
      <c r="C653" s="103"/>
      <c r="D653" s="103"/>
      <c r="E653" s="103"/>
      <c r="F653" s="103"/>
      <c r="G653" s="103"/>
      <c r="H653" s="103"/>
      <c r="I653" s="103"/>
    </row>
    <row r="654" spans="1:9" ht="15" customHeight="1" x14ac:dyDescent="0.2">
      <c r="A654" s="48" t="s">
        <v>92</v>
      </c>
      <c r="B654" s="70">
        <f t="shared" ref="B654:I654" si="263">IF(B642="No",0,B936)</f>
        <v>717</v>
      </c>
      <c r="C654" s="70">
        <f t="shared" si="263"/>
        <v>717</v>
      </c>
      <c r="D654" s="70">
        <f t="shared" si="263"/>
        <v>717</v>
      </c>
      <c r="E654" s="70">
        <f t="shared" si="263"/>
        <v>645</v>
      </c>
      <c r="F654" s="70">
        <f t="shared" si="263"/>
        <v>645</v>
      </c>
      <c r="G654" s="70">
        <f t="shared" si="263"/>
        <v>645</v>
      </c>
      <c r="H654" s="70">
        <f t="shared" si="263"/>
        <v>645</v>
      </c>
      <c r="I654" s="70">
        <f t="shared" si="263"/>
        <v>488</v>
      </c>
    </row>
    <row r="655" spans="1:9" ht="15" customHeight="1" x14ac:dyDescent="0.2">
      <c r="A655" s="48" t="s">
        <v>93</v>
      </c>
      <c r="B655" s="70">
        <f t="shared" ref="B655:I655" si="264">IF(B642="No",0,B937)</f>
        <v>662</v>
      </c>
      <c r="C655" s="70">
        <f t="shared" si="264"/>
        <v>662</v>
      </c>
      <c r="D655" s="70">
        <f t="shared" si="264"/>
        <v>662</v>
      </c>
      <c r="E655" s="70">
        <f t="shared" si="264"/>
        <v>610</v>
      </c>
      <c r="F655" s="70">
        <f t="shared" si="264"/>
        <v>610</v>
      </c>
      <c r="G655" s="70">
        <f t="shared" si="264"/>
        <v>610</v>
      </c>
      <c r="H655" s="70">
        <f t="shared" si="264"/>
        <v>610</v>
      </c>
      <c r="I655" s="70">
        <f t="shared" si="264"/>
        <v>516</v>
      </c>
    </row>
    <row r="656" spans="1:9" ht="15" customHeight="1" x14ac:dyDescent="0.2">
      <c r="A656" s="48" t="s">
        <v>94</v>
      </c>
      <c r="B656" s="70">
        <f t="shared" ref="B656:I656" si="265">IF(B642="No",0,B938)</f>
        <v>676</v>
      </c>
      <c r="C656" s="70">
        <f t="shared" si="265"/>
        <v>676</v>
      </c>
      <c r="D656" s="70">
        <f t="shared" si="265"/>
        <v>676</v>
      </c>
      <c r="E656" s="70">
        <f t="shared" si="265"/>
        <v>613</v>
      </c>
      <c r="F656" s="70">
        <f t="shared" si="265"/>
        <v>613</v>
      </c>
      <c r="G656" s="70">
        <f t="shared" si="265"/>
        <v>613</v>
      </c>
      <c r="H656" s="70">
        <f t="shared" si="265"/>
        <v>613</v>
      </c>
      <c r="I656" s="70">
        <f t="shared" si="265"/>
        <v>556</v>
      </c>
    </row>
    <row r="657" spans="1:9" ht="15" customHeight="1" x14ac:dyDescent="0.2">
      <c r="A657" s="48" t="s">
        <v>95</v>
      </c>
      <c r="B657" s="70">
        <f t="shared" ref="B657:I657" si="266">IF(B642="No",0,B939)</f>
        <v>645</v>
      </c>
      <c r="C657" s="70">
        <f t="shared" si="266"/>
        <v>645</v>
      </c>
      <c r="D657" s="70">
        <f t="shared" si="266"/>
        <v>645</v>
      </c>
      <c r="E657" s="70">
        <f t="shared" si="266"/>
        <v>587</v>
      </c>
      <c r="F657" s="70">
        <f t="shared" si="266"/>
        <v>587</v>
      </c>
      <c r="G657" s="70">
        <f t="shared" si="266"/>
        <v>587</v>
      </c>
      <c r="H657" s="70">
        <f t="shared" si="266"/>
        <v>587</v>
      </c>
      <c r="I657" s="70">
        <f t="shared" si="266"/>
        <v>542</v>
      </c>
    </row>
    <row r="658" spans="1:9" ht="15" customHeight="1" x14ac:dyDescent="0.2">
      <c r="A658" s="48" t="s">
        <v>96</v>
      </c>
      <c r="B658" s="70">
        <f t="shared" ref="B658:I658" si="267">IF(B642="No",0,B940)</f>
        <v>593</v>
      </c>
      <c r="C658" s="70">
        <f t="shared" si="267"/>
        <v>593</v>
      </c>
      <c r="D658" s="70">
        <f t="shared" si="267"/>
        <v>593</v>
      </c>
      <c r="E658" s="70">
        <f t="shared" si="267"/>
        <v>551</v>
      </c>
      <c r="F658" s="70">
        <f t="shared" si="267"/>
        <v>551</v>
      </c>
      <c r="G658" s="70">
        <f t="shared" si="267"/>
        <v>551</v>
      </c>
      <c r="H658" s="70">
        <f t="shared" si="267"/>
        <v>551</v>
      </c>
      <c r="I658" s="70">
        <f t="shared" si="267"/>
        <v>513</v>
      </c>
    </row>
    <row r="659" spans="1:9" ht="15" customHeight="1" x14ac:dyDescent="0.2">
      <c r="A659" s="48" t="s">
        <v>97</v>
      </c>
      <c r="B659" s="70">
        <f t="shared" ref="B659:I659" si="268">IF(B642="No",0,B941)</f>
        <v>534</v>
      </c>
      <c r="C659" s="70">
        <f t="shared" si="268"/>
        <v>534</v>
      </c>
      <c r="D659" s="70">
        <f t="shared" si="268"/>
        <v>534</v>
      </c>
      <c r="E659" s="70">
        <f t="shared" si="268"/>
        <v>505</v>
      </c>
      <c r="F659" s="70">
        <f t="shared" si="268"/>
        <v>505</v>
      </c>
      <c r="G659" s="70">
        <f t="shared" si="268"/>
        <v>505</v>
      </c>
      <c r="H659" s="70">
        <f t="shared" si="268"/>
        <v>505</v>
      </c>
      <c r="I659" s="70">
        <f t="shared" si="268"/>
        <v>486</v>
      </c>
    </row>
    <row r="660" spans="1:9" ht="15" customHeight="1" x14ac:dyDescent="0.2">
      <c r="A660" s="48" t="s">
        <v>98</v>
      </c>
      <c r="B660" s="70">
        <f t="shared" ref="B660:I660" si="269">IF(B642="No",0,B942)</f>
        <v>1877</v>
      </c>
      <c r="C660" s="70">
        <f t="shared" si="269"/>
        <v>1877</v>
      </c>
      <c r="D660" s="70">
        <f t="shared" si="269"/>
        <v>1877</v>
      </c>
      <c r="E660" s="70">
        <f t="shared" si="269"/>
        <v>1855</v>
      </c>
      <c r="F660" s="70">
        <f t="shared" si="269"/>
        <v>1855</v>
      </c>
      <c r="G660" s="70">
        <f t="shared" si="269"/>
        <v>1855</v>
      </c>
      <c r="H660" s="70">
        <f t="shared" si="269"/>
        <v>1855</v>
      </c>
      <c r="I660" s="70">
        <f t="shared" si="269"/>
        <v>1801</v>
      </c>
    </row>
    <row r="662" spans="1:9" ht="15" customHeight="1" x14ac:dyDescent="0.2">
      <c r="A662" s="6" t="s">
        <v>434</v>
      </c>
      <c r="B662" s="6"/>
      <c r="C662" s="6"/>
      <c r="D662" s="6"/>
      <c r="E662" s="6"/>
      <c r="F662" s="6"/>
      <c r="G662" s="6"/>
      <c r="H662" s="6"/>
      <c r="I662" s="6"/>
    </row>
    <row r="663" spans="1:9" ht="15" customHeight="1" x14ac:dyDescent="0.2">
      <c r="A663" s="48" t="s">
        <v>77</v>
      </c>
      <c r="B663" s="73">
        <f t="shared" ref="B663:I663" ca="1" si="270">IF(OR(B665=0,B666=0),B669,B668*(1-(1+B665)^(-B666))/B665+B669/(1+B665)^B666)</f>
        <v>41647.853123935085</v>
      </c>
      <c r="C663" s="73">
        <f t="shared" ca="1" si="270"/>
        <v>34533.033319392671</v>
      </c>
      <c r="D663" s="73">
        <f t="shared" ca="1" si="270"/>
        <v>32928.76920771844</v>
      </c>
      <c r="E663" s="73">
        <f t="shared" ca="1" si="270"/>
        <v>15795.886942172412</v>
      </c>
      <c r="F663" s="73">
        <f t="shared" ca="1" si="270"/>
        <v>16061.650562873376</v>
      </c>
      <c r="G663" s="73">
        <f t="shared" ca="1" si="270"/>
        <v>15814.49096571554</v>
      </c>
      <c r="H663" s="73">
        <f t="shared" ca="1" si="270"/>
        <v>15437.120682043111</v>
      </c>
      <c r="I663" s="73">
        <f t="shared" ca="1" si="270"/>
        <v>15231.005348202092</v>
      </c>
    </row>
    <row r="664" spans="1:9" ht="15" customHeight="1" x14ac:dyDescent="0.2">
      <c r="A664" s="48"/>
      <c r="B664" s="73"/>
      <c r="C664" s="73"/>
      <c r="D664" s="73"/>
      <c r="E664" s="73"/>
      <c r="F664" s="73"/>
      <c r="G664" s="73"/>
      <c r="H664" s="73"/>
      <c r="I664" s="73"/>
    </row>
    <row r="665" spans="1:9" ht="15" customHeight="1" x14ac:dyDescent="0.2">
      <c r="A665" s="42" t="s">
        <v>303</v>
      </c>
      <c r="B665" s="104">
        <f t="shared" ref="B665:I665" ca="1" si="271">B548</f>
        <v>2.9499999999999998E-2</v>
      </c>
      <c r="C665" s="104">
        <f t="shared" ca="1" si="271"/>
        <v>0.03</v>
      </c>
      <c r="D665" s="104">
        <f t="shared" ca="1" si="271"/>
        <v>3.4799999999999998E-2</v>
      </c>
      <c r="E665" s="104">
        <f t="shared" ca="1" si="271"/>
        <v>3.5999999999999997E-2</v>
      </c>
      <c r="F665" s="104">
        <f t="shared" ca="1" si="271"/>
        <v>3.6999999999999998E-2</v>
      </c>
      <c r="G665" s="104">
        <f t="shared" ca="1" si="271"/>
        <v>3.7199999999999997E-2</v>
      </c>
      <c r="H665" s="104">
        <f t="shared" ca="1" si="271"/>
        <v>4.0399999999999998E-2</v>
      </c>
      <c r="I665" s="104">
        <f t="shared" ca="1" si="271"/>
        <v>0.04</v>
      </c>
    </row>
    <row r="666" spans="1:9" ht="15" customHeight="1" x14ac:dyDescent="0.2">
      <c r="A666" s="48" t="s">
        <v>30</v>
      </c>
      <c r="B666" s="54">
        <f t="shared" ref="B666:I666" si="272">B946</f>
        <v>3</v>
      </c>
      <c r="C666" s="54">
        <f t="shared" si="272"/>
        <v>3</v>
      </c>
      <c r="D666" s="54">
        <f t="shared" si="272"/>
        <v>3</v>
      </c>
      <c r="E666" s="54">
        <f t="shared" si="272"/>
        <v>5</v>
      </c>
      <c r="F666" s="54">
        <f t="shared" si="272"/>
        <v>3</v>
      </c>
      <c r="G666" s="54">
        <f t="shared" si="272"/>
        <v>3</v>
      </c>
      <c r="H666" s="54">
        <f t="shared" si="272"/>
        <v>3</v>
      </c>
      <c r="I666" s="54">
        <f t="shared" si="272"/>
        <v>3</v>
      </c>
    </row>
    <row r="667" spans="1:9" ht="15" customHeight="1" x14ac:dyDescent="0.2">
      <c r="A667" s="48"/>
      <c r="B667" s="54"/>
      <c r="C667" s="54"/>
      <c r="D667" s="54"/>
      <c r="E667" s="54"/>
      <c r="F667" s="54"/>
      <c r="G667" s="54"/>
      <c r="H667" s="54"/>
      <c r="I667" s="54"/>
    </row>
    <row r="668" spans="1:9" ht="15" customHeight="1" x14ac:dyDescent="0.2">
      <c r="A668" s="48" t="s">
        <v>20</v>
      </c>
      <c r="B668" s="70">
        <f t="shared" ref="B668:I669" si="273">B947</f>
        <v>509</v>
      </c>
      <c r="C668" s="70">
        <f t="shared" si="273"/>
        <v>431</v>
      </c>
      <c r="D668" s="70">
        <f t="shared" si="273"/>
        <v>384</v>
      </c>
      <c r="E668" s="70">
        <f t="shared" si="273"/>
        <v>352</v>
      </c>
      <c r="F668" s="70">
        <f t="shared" si="273"/>
        <v>305</v>
      </c>
      <c r="G668" s="70">
        <f t="shared" si="273"/>
        <v>220</v>
      </c>
      <c r="H668" s="70">
        <f t="shared" si="273"/>
        <v>136</v>
      </c>
      <c r="I668" s="70">
        <f t="shared" si="273"/>
        <v>56</v>
      </c>
    </row>
    <row r="669" spans="1:9" ht="15" customHeight="1" x14ac:dyDescent="0.2">
      <c r="A669" s="48" t="s">
        <v>68</v>
      </c>
      <c r="B669" s="70">
        <f t="shared" si="273"/>
        <v>43871</v>
      </c>
      <c r="C669" s="70">
        <f t="shared" si="273"/>
        <v>36403</v>
      </c>
      <c r="D669" s="70">
        <f t="shared" si="273"/>
        <v>35295</v>
      </c>
      <c r="E669" s="70">
        <f t="shared" si="273"/>
        <v>16960</v>
      </c>
      <c r="F669" s="70">
        <f t="shared" si="273"/>
        <v>16962</v>
      </c>
      <c r="G669" s="70">
        <f t="shared" si="273"/>
        <v>16961</v>
      </c>
      <c r="H669" s="70">
        <f t="shared" si="273"/>
        <v>16960</v>
      </c>
      <c r="I669" s="70">
        <f t="shared" si="273"/>
        <v>16958</v>
      </c>
    </row>
    <row r="671" spans="1:9" ht="15" customHeight="1" x14ac:dyDescent="0.2">
      <c r="A671" s="6" t="s">
        <v>76</v>
      </c>
      <c r="B671" s="6"/>
      <c r="C671" s="6"/>
      <c r="D671" s="6"/>
      <c r="E671" s="6"/>
      <c r="F671" s="6"/>
      <c r="G671" s="6"/>
      <c r="H671" s="6"/>
      <c r="I671" s="6"/>
    </row>
    <row r="672" spans="1:9" ht="15" customHeight="1" x14ac:dyDescent="0.2">
      <c r="A672" s="3" t="s">
        <v>384</v>
      </c>
      <c r="B672" s="3" t="str">
        <f t="shared" ref="B672:I672" si="274">B952</f>
        <v>No</v>
      </c>
      <c r="C672" s="3" t="str">
        <f t="shared" si="274"/>
        <v>No</v>
      </c>
      <c r="D672" s="3" t="str">
        <f t="shared" si="274"/>
        <v>No</v>
      </c>
      <c r="E672" s="3" t="str">
        <f t="shared" si="274"/>
        <v>No</v>
      </c>
      <c r="F672" s="3" t="str">
        <f t="shared" si="274"/>
        <v>No</v>
      </c>
      <c r="G672" s="3" t="str">
        <f t="shared" si="274"/>
        <v>No</v>
      </c>
      <c r="H672" s="3" t="str">
        <f t="shared" si="274"/>
        <v>No</v>
      </c>
      <c r="I672" s="3" t="str">
        <f t="shared" si="274"/>
        <v>No</v>
      </c>
    </row>
    <row r="673" spans="1:9" ht="15" customHeight="1" x14ac:dyDescent="0.2">
      <c r="A673" s="3" t="s">
        <v>389</v>
      </c>
      <c r="B673" s="45">
        <f t="shared" ref="B673:I673" si="275">IF(B672="No",0,+B675+B680)</f>
        <v>0</v>
      </c>
      <c r="C673" s="45">
        <f t="shared" si="275"/>
        <v>0</v>
      </c>
      <c r="D673" s="45">
        <f t="shared" si="275"/>
        <v>0</v>
      </c>
      <c r="E673" s="45">
        <f t="shared" si="275"/>
        <v>0</v>
      </c>
      <c r="F673" s="45">
        <f t="shared" si="275"/>
        <v>0</v>
      </c>
      <c r="G673" s="45">
        <f t="shared" si="275"/>
        <v>0</v>
      </c>
      <c r="H673" s="45">
        <f t="shared" si="275"/>
        <v>0</v>
      </c>
      <c r="I673" s="45">
        <f t="shared" si="275"/>
        <v>0</v>
      </c>
    </row>
    <row r="675" spans="1:9" ht="15" customHeight="1" x14ac:dyDescent="0.2">
      <c r="A675" s="3" t="s">
        <v>77</v>
      </c>
      <c r="B675" s="45">
        <f t="shared" ref="B675:I675" si="276">IF(B672="No",0,(B676*B678)*((1-(1+B677)^(-B687))/B677)+B678/(1+B677)^B687)</f>
        <v>0</v>
      </c>
      <c r="C675" s="45">
        <f t="shared" si="276"/>
        <v>0</v>
      </c>
      <c r="D675" s="45">
        <f t="shared" si="276"/>
        <v>0</v>
      </c>
      <c r="E675" s="45">
        <f t="shared" si="276"/>
        <v>0</v>
      </c>
      <c r="F675" s="45">
        <f t="shared" si="276"/>
        <v>0</v>
      </c>
      <c r="G675" s="45">
        <f t="shared" si="276"/>
        <v>0</v>
      </c>
      <c r="H675" s="45">
        <f t="shared" si="276"/>
        <v>0</v>
      </c>
      <c r="I675" s="45">
        <f t="shared" si="276"/>
        <v>0</v>
      </c>
    </row>
    <row r="676" spans="1:9" ht="15" customHeight="1" x14ac:dyDescent="0.2">
      <c r="A676" s="3" t="s">
        <v>387</v>
      </c>
      <c r="B676" s="52">
        <f t="shared" ref="B676:I676" si="277">IF(B672="No",0,B953)</f>
        <v>0</v>
      </c>
      <c r="C676" s="52">
        <f t="shared" si="277"/>
        <v>0</v>
      </c>
      <c r="D676" s="52">
        <f t="shared" si="277"/>
        <v>0</v>
      </c>
      <c r="E676" s="52">
        <f t="shared" si="277"/>
        <v>0</v>
      </c>
      <c r="F676" s="52">
        <f t="shared" si="277"/>
        <v>0</v>
      </c>
      <c r="G676" s="52">
        <f t="shared" si="277"/>
        <v>0</v>
      </c>
      <c r="H676" s="52">
        <f t="shared" si="277"/>
        <v>0</v>
      </c>
      <c r="I676" s="52">
        <f t="shared" si="277"/>
        <v>0</v>
      </c>
    </row>
    <row r="677" spans="1:9" ht="15" customHeight="1" x14ac:dyDescent="0.2">
      <c r="A677" s="3" t="s">
        <v>386</v>
      </c>
      <c r="B677" s="52">
        <f t="shared" ref="B677:I677" si="278">IF(B672="No",0,B548)</f>
        <v>0</v>
      </c>
      <c r="C677" s="52">
        <f t="shared" si="278"/>
        <v>0</v>
      </c>
      <c r="D677" s="52">
        <f t="shared" si="278"/>
        <v>0</v>
      </c>
      <c r="E677" s="52">
        <f t="shared" si="278"/>
        <v>0</v>
      </c>
      <c r="F677" s="52">
        <f t="shared" si="278"/>
        <v>0</v>
      </c>
      <c r="G677" s="52">
        <f t="shared" si="278"/>
        <v>0</v>
      </c>
      <c r="H677" s="52">
        <f t="shared" si="278"/>
        <v>0</v>
      </c>
      <c r="I677" s="52">
        <f t="shared" si="278"/>
        <v>0</v>
      </c>
    </row>
    <row r="678" spans="1:9" ht="15" customHeight="1" x14ac:dyDescent="0.2">
      <c r="A678" s="3" t="s">
        <v>424</v>
      </c>
      <c r="B678" s="70">
        <f t="shared" ref="B678:I678" si="279">IF(B672="No",0,B954)</f>
        <v>0</v>
      </c>
      <c r="C678" s="70">
        <f t="shared" si="279"/>
        <v>0</v>
      </c>
      <c r="D678" s="70">
        <f t="shared" si="279"/>
        <v>0</v>
      </c>
      <c r="E678" s="70">
        <f t="shared" si="279"/>
        <v>0</v>
      </c>
      <c r="F678" s="70">
        <f t="shared" si="279"/>
        <v>0</v>
      </c>
      <c r="G678" s="70">
        <f t="shared" si="279"/>
        <v>0</v>
      </c>
      <c r="H678" s="70">
        <f t="shared" si="279"/>
        <v>0</v>
      </c>
      <c r="I678" s="70">
        <f t="shared" si="279"/>
        <v>0</v>
      </c>
    </row>
    <row r="680" spans="1:9" ht="15" customHeight="1" x14ac:dyDescent="0.2">
      <c r="A680" s="42" t="s">
        <v>78</v>
      </c>
      <c r="B680" s="70">
        <f t="shared" ref="B680:I680" si="280">IF(B672="No",0,B681*B683)</f>
        <v>0</v>
      </c>
      <c r="C680" s="70">
        <f t="shared" si="280"/>
        <v>0</v>
      </c>
      <c r="D680" s="70">
        <f t="shared" si="280"/>
        <v>0</v>
      </c>
      <c r="E680" s="70">
        <f t="shared" si="280"/>
        <v>0</v>
      </c>
      <c r="F680" s="70">
        <f t="shared" si="280"/>
        <v>0</v>
      </c>
      <c r="G680" s="70">
        <f t="shared" si="280"/>
        <v>0</v>
      </c>
      <c r="H680" s="70">
        <f t="shared" si="280"/>
        <v>0</v>
      </c>
      <c r="I680" s="70">
        <f t="shared" si="280"/>
        <v>0</v>
      </c>
    </row>
    <row r="681" spans="1:9" ht="15" customHeight="1" x14ac:dyDescent="0.2">
      <c r="A681" s="3" t="s">
        <v>383</v>
      </c>
      <c r="B681" s="3">
        <f t="shared" ref="B681:I681" si="281">IF(B672="No",0,B956)</f>
        <v>0</v>
      </c>
      <c r="C681" s="3">
        <f t="shared" si="281"/>
        <v>0</v>
      </c>
      <c r="D681" s="3">
        <f t="shared" si="281"/>
        <v>0</v>
      </c>
      <c r="E681" s="3">
        <f t="shared" si="281"/>
        <v>0</v>
      </c>
      <c r="F681" s="3">
        <f t="shared" si="281"/>
        <v>0</v>
      </c>
      <c r="G681" s="3">
        <f t="shared" si="281"/>
        <v>0</v>
      </c>
      <c r="H681" s="3">
        <f t="shared" si="281"/>
        <v>0</v>
      </c>
      <c r="I681" s="3">
        <f t="shared" si="281"/>
        <v>0</v>
      </c>
    </row>
    <row r="683" spans="1:9" ht="15" customHeight="1" x14ac:dyDescent="0.2">
      <c r="A683" s="42" t="s">
        <v>428</v>
      </c>
      <c r="B683" s="53">
        <f t="shared" ref="B683:I683" si="282">IF(B672="No",0,IF(OR(B685=0,B685=""),B684,B685))</f>
        <v>0</v>
      </c>
      <c r="C683" s="53">
        <f t="shared" si="282"/>
        <v>0</v>
      </c>
      <c r="D683" s="53">
        <f t="shared" si="282"/>
        <v>0</v>
      </c>
      <c r="E683" s="53">
        <f t="shared" si="282"/>
        <v>0</v>
      </c>
      <c r="F683" s="53">
        <f t="shared" si="282"/>
        <v>0</v>
      </c>
      <c r="G683" s="53">
        <f t="shared" si="282"/>
        <v>0</v>
      </c>
      <c r="H683" s="53">
        <f t="shared" si="282"/>
        <v>0</v>
      </c>
      <c r="I683" s="53">
        <f t="shared" si="282"/>
        <v>0</v>
      </c>
    </row>
    <row r="684" spans="1:9" ht="15" customHeight="1" x14ac:dyDescent="0.2">
      <c r="A684" s="42" t="s">
        <v>385</v>
      </c>
      <c r="B684" s="53">
        <f t="shared" ref="B684:I684" si="283">IF(B672="No",0,IF(ISERROR((EXP((0-B692)*B687))*B690*(NORMSDIST((LN(B690/B688)+((+B693-B692)+(B691^2/2))*B687)/(B691*B687^0.5)))-B688*(EXP((0-B693)*B687))*(NORMSDIST(((LN(B690/B688)+((+B693-B692)+(B691^2/2))*B687)/(B691*B687^0.5))-(B691*(B687^0.5))))),0,(EXP((0-B692)*B687))*B690*(NORMSDIST((LN(B690/B688)+((+B693-B692)+(B691^2/2))*B687)/(B691*B687^0.5)))-B688*(EXP((0-B693)*B687))*(NORMSDIST(((LN(B690/B688)+((+B693-B692)+(B691^2/2))*B687)/(B691*B687^0.5))-(B691*(B687^0.5))))))</f>
        <v>0</v>
      </c>
      <c r="C684" s="53">
        <f t="shared" si="283"/>
        <v>0</v>
      </c>
      <c r="D684" s="53">
        <f t="shared" si="283"/>
        <v>0</v>
      </c>
      <c r="E684" s="53">
        <f t="shared" si="283"/>
        <v>0</v>
      </c>
      <c r="F684" s="53">
        <f t="shared" si="283"/>
        <v>0</v>
      </c>
      <c r="G684" s="53">
        <f t="shared" si="283"/>
        <v>0</v>
      </c>
      <c r="H684" s="53">
        <f t="shared" si="283"/>
        <v>0</v>
      </c>
      <c r="I684" s="53">
        <f t="shared" si="283"/>
        <v>0</v>
      </c>
    </row>
    <row r="685" spans="1:9" ht="15" customHeight="1" x14ac:dyDescent="0.2">
      <c r="A685" s="42" t="s">
        <v>427</v>
      </c>
      <c r="B685" s="53">
        <f t="shared" ref="B685:I685" si="284">IF(B672="No",0,IF(B955="",0,B955))</f>
        <v>0</v>
      </c>
      <c r="C685" s="53">
        <f t="shared" si="284"/>
        <v>0</v>
      </c>
      <c r="D685" s="53">
        <f t="shared" si="284"/>
        <v>0</v>
      </c>
      <c r="E685" s="53">
        <f t="shared" si="284"/>
        <v>0</v>
      </c>
      <c r="F685" s="53">
        <f t="shared" si="284"/>
        <v>0</v>
      </c>
      <c r="G685" s="53">
        <f t="shared" si="284"/>
        <v>0</v>
      </c>
      <c r="H685" s="53">
        <f t="shared" si="284"/>
        <v>0</v>
      </c>
      <c r="I685" s="53">
        <f t="shared" si="284"/>
        <v>0</v>
      </c>
    </row>
    <row r="687" spans="1:9" ht="15" customHeight="1" x14ac:dyDescent="0.2">
      <c r="A687" s="48" t="s">
        <v>425</v>
      </c>
      <c r="B687" s="54">
        <f t="shared" ref="B687:I687" si="285">IF(B672="No",0,B957)</f>
        <v>0</v>
      </c>
      <c r="C687" s="54">
        <f t="shared" si="285"/>
        <v>0</v>
      </c>
      <c r="D687" s="54">
        <f t="shared" si="285"/>
        <v>0</v>
      </c>
      <c r="E687" s="54">
        <f t="shared" si="285"/>
        <v>0</v>
      </c>
      <c r="F687" s="54">
        <f t="shared" si="285"/>
        <v>0</v>
      </c>
      <c r="G687" s="54">
        <f t="shared" si="285"/>
        <v>0</v>
      </c>
      <c r="H687" s="54">
        <f t="shared" si="285"/>
        <v>0</v>
      </c>
      <c r="I687" s="54">
        <f t="shared" si="285"/>
        <v>0</v>
      </c>
    </row>
    <row r="688" spans="1:9" ht="15" customHeight="1" x14ac:dyDescent="0.2">
      <c r="A688" s="48" t="s">
        <v>426</v>
      </c>
      <c r="B688" s="53">
        <f t="shared" ref="B688:I688" si="286">IF(B672="No",0,B958)</f>
        <v>0</v>
      </c>
      <c r="C688" s="53">
        <f t="shared" si="286"/>
        <v>0</v>
      </c>
      <c r="D688" s="53">
        <f t="shared" si="286"/>
        <v>0</v>
      </c>
      <c r="E688" s="53">
        <f t="shared" si="286"/>
        <v>0</v>
      </c>
      <c r="F688" s="53">
        <f t="shared" si="286"/>
        <v>0</v>
      </c>
      <c r="G688" s="53">
        <f t="shared" si="286"/>
        <v>0</v>
      </c>
      <c r="H688" s="53">
        <f t="shared" si="286"/>
        <v>0</v>
      </c>
      <c r="I688" s="53">
        <f t="shared" si="286"/>
        <v>0</v>
      </c>
    </row>
    <row r="690" spans="1:9" ht="15" customHeight="1" x14ac:dyDescent="0.2">
      <c r="A690" s="42" t="s">
        <v>364</v>
      </c>
      <c r="B690" s="53">
        <f t="shared" ref="B690:I690" si="287">IF(B672="No",0,B604)</f>
        <v>0</v>
      </c>
      <c r="C690" s="53">
        <f t="shared" si="287"/>
        <v>0</v>
      </c>
      <c r="D690" s="53">
        <f t="shared" si="287"/>
        <v>0</v>
      </c>
      <c r="E690" s="53">
        <f t="shared" si="287"/>
        <v>0</v>
      </c>
      <c r="F690" s="53">
        <f t="shared" si="287"/>
        <v>0</v>
      </c>
      <c r="G690" s="53">
        <f t="shared" si="287"/>
        <v>0</v>
      </c>
      <c r="H690" s="53">
        <f t="shared" si="287"/>
        <v>0</v>
      </c>
      <c r="I690" s="53">
        <f t="shared" si="287"/>
        <v>0</v>
      </c>
    </row>
    <row r="691" spans="1:9" ht="15" customHeight="1" x14ac:dyDescent="0.2">
      <c r="A691" s="48" t="s">
        <v>31</v>
      </c>
      <c r="B691" s="52">
        <f t="shared" ref="B691:I691" si="288">IF(B672="No",0,B606)</f>
        <v>0</v>
      </c>
      <c r="C691" s="52">
        <f t="shared" si="288"/>
        <v>0</v>
      </c>
      <c r="D691" s="52">
        <f t="shared" si="288"/>
        <v>0</v>
      </c>
      <c r="E691" s="52">
        <f t="shared" si="288"/>
        <v>0</v>
      </c>
      <c r="F691" s="52">
        <f t="shared" si="288"/>
        <v>0</v>
      </c>
      <c r="G691" s="52">
        <f t="shared" si="288"/>
        <v>0</v>
      </c>
      <c r="H691" s="52">
        <f t="shared" si="288"/>
        <v>0</v>
      </c>
      <c r="I691" s="52">
        <f t="shared" si="288"/>
        <v>0</v>
      </c>
    </row>
    <row r="692" spans="1:9" ht="15" customHeight="1" x14ac:dyDescent="0.2">
      <c r="A692" s="48" t="s">
        <v>81</v>
      </c>
      <c r="B692" s="52">
        <f t="shared" ref="B692:I692" si="289">IF(B672="No",0,B607)</f>
        <v>0</v>
      </c>
      <c r="C692" s="52">
        <f t="shared" si="289"/>
        <v>0</v>
      </c>
      <c r="D692" s="52">
        <f t="shared" si="289"/>
        <v>0</v>
      </c>
      <c r="E692" s="52">
        <f t="shared" si="289"/>
        <v>0</v>
      </c>
      <c r="F692" s="52">
        <f t="shared" si="289"/>
        <v>0</v>
      </c>
      <c r="G692" s="52">
        <f t="shared" si="289"/>
        <v>0</v>
      </c>
      <c r="H692" s="52">
        <f t="shared" si="289"/>
        <v>0</v>
      </c>
      <c r="I692" s="52">
        <f t="shared" si="289"/>
        <v>0</v>
      </c>
    </row>
    <row r="693" spans="1:9" ht="15" customHeight="1" x14ac:dyDescent="0.2">
      <c r="A693" s="42" t="s">
        <v>82</v>
      </c>
      <c r="B693" s="52">
        <f t="shared" ref="B693:I693" si="290">IF(B672="No",0,B564)</f>
        <v>0</v>
      </c>
      <c r="C693" s="52">
        <f t="shared" si="290"/>
        <v>0</v>
      </c>
      <c r="D693" s="52">
        <f t="shared" si="290"/>
        <v>0</v>
      </c>
      <c r="E693" s="52">
        <f t="shared" si="290"/>
        <v>0</v>
      </c>
      <c r="F693" s="52">
        <f t="shared" si="290"/>
        <v>0</v>
      </c>
      <c r="G693" s="52">
        <f t="shared" si="290"/>
        <v>0</v>
      </c>
      <c r="H693" s="52">
        <f t="shared" si="290"/>
        <v>0</v>
      </c>
      <c r="I693" s="52">
        <f t="shared" si="290"/>
        <v>0</v>
      </c>
    </row>
    <row r="695" spans="1:9" ht="15" customHeight="1" x14ac:dyDescent="0.2">
      <c r="A695" s="48" t="s">
        <v>68</v>
      </c>
      <c r="B695" s="53">
        <f t="shared" ref="B695:I695" si="291">IF(B672="No",0,B959)</f>
        <v>0</v>
      </c>
      <c r="C695" s="53">
        <f t="shared" si="291"/>
        <v>0</v>
      </c>
      <c r="D695" s="53">
        <f t="shared" si="291"/>
        <v>0</v>
      </c>
      <c r="E695" s="53">
        <f t="shared" si="291"/>
        <v>0</v>
      </c>
      <c r="F695" s="53">
        <f t="shared" si="291"/>
        <v>0</v>
      </c>
      <c r="G695" s="53">
        <f t="shared" si="291"/>
        <v>0</v>
      </c>
      <c r="H695" s="53">
        <f t="shared" si="291"/>
        <v>0</v>
      </c>
      <c r="I695" s="53">
        <f t="shared" si="291"/>
        <v>0</v>
      </c>
    </row>
    <row r="698" spans="1:9" ht="15" customHeight="1" x14ac:dyDescent="0.2">
      <c r="A698" s="6" t="s">
        <v>440</v>
      </c>
      <c r="B698" s="6"/>
      <c r="C698" s="6"/>
      <c r="D698" s="6"/>
      <c r="E698" s="6"/>
      <c r="F698" s="6"/>
      <c r="G698" s="6"/>
      <c r="H698" s="6"/>
      <c r="I698" s="6"/>
    </row>
    <row r="699" spans="1:9" ht="15" customHeight="1" x14ac:dyDescent="0.2">
      <c r="A699" s="3" t="s">
        <v>441</v>
      </c>
      <c r="B699" s="45">
        <f t="shared" ref="B699:I699" si="292">B701*B700</f>
        <v>0</v>
      </c>
      <c r="C699" s="45">
        <f t="shared" si="292"/>
        <v>0</v>
      </c>
      <c r="D699" s="45">
        <f t="shared" si="292"/>
        <v>0</v>
      </c>
      <c r="E699" s="45">
        <f t="shared" si="292"/>
        <v>0</v>
      </c>
      <c r="F699" s="45">
        <f t="shared" si="292"/>
        <v>0</v>
      </c>
      <c r="G699" s="45">
        <f t="shared" si="292"/>
        <v>0</v>
      </c>
      <c r="H699" s="45">
        <f t="shared" si="292"/>
        <v>0</v>
      </c>
      <c r="I699" s="45">
        <f t="shared" si="292"/>
        <v>0</v>
      </c>
    </row>
    <row r="700" spans="1:9" ht="15" customHeight="1" x14ac:dyDescent="0.2">
      <c r="A700" s="48" t="s">
        <v>439</v>
      </c>
      <c r="B700" s="105">
        <f t="shared" ref="B700:I701" si="293">B963</f>
        <v>1</v>
      </c>
      <c r="C700" s="105">
        <f t="shared" si="293"/>
        <v>1</v>
      </c>
      <c r="D700" s="105">
        <f t="shared" si="293"/>
        <v>1</v>
      </c>
      <c r="E700" s="105">
        <f t="shared" si="293"/>
        <v>1</v>
      </c>
      <c r="F700" s="105">
        <f t="shared" si="293"/>
        <v>1</v>
      </c>
      <c r="G700" s="105">
        <f t="shared" si="293"/>
        <v>1</v>
      </c>
      <c r="H700" s="105">
        <f t="shared" si="293"/>
        <v>1</v>
      </c>
      <c r="I700" s="105">
        <f t="shared" si="293"/>
        <v>1</v>
      </c>
    </row>
    <row r="701" spans="1:9" ht="15" customHeight="1" x14ac:dyDescent="0.2">
      <c r="A701" s="48" t="s">
        <v>68</v>
      </c>
      <c r="B701" s="70">
        <f t="shared" si="293"/>
        <v>0</v>
      </c>
      <c r="C701" s="70">
        <f t="shared" si="293"/>
        <v>0</v>
      </c>
      <c r="D701" s="70">
        <f t="shared" si="293"/>
        <v>0</v>
      </c>
      <c r="E701" s="70">
        <f t="shared" si="293"/>
        <v>0</v>
      </c>
      <c r="F701" s="70">
        <f t="shared" si="293"/>
        <v>0</v>
      </c>
      <c r="G701" s="70">
        <f t="shared" si="293"/>
        <v>0</v>
      </c>
      <c r="H701" s="70">
        <f t="shared" si="293"/>
        <v>0</v>
      </c>
      <c r="I701" s="70">
        <f t="shared" si="293"/>
        <v>0</v>
      </c>
    </row>
    <row r="702" spans="1:9" ht="15" customHeight="1" x14ac:dyDescent="0.2">
      <c r="A702" s="48"/>
      <c r="B702" s="70"/>
      <c r="C702" s="70"/>
      <c r="D702" s="70"/>
      <c r="E702" s="70"/>
      <c r="F702" s="70"/>
      <c r="G702" s="70"/>
      <c r="H702" s="70"/>
      <c r="I702" s="70"/>
    </row>
    <row r="704" spans="1:9" ht="15" customHeight="1" x14ac:dyDescent="0.2">
      <c r="A704" s="6" t="s">
        <v>498</v>
      </c>
      <c r="B704" s="6"/>
      <c r="C704" s="6"/>
      <c r="D704" s="6"/>
      <c r="E704" s="6"/>
      <c r="F704" s="6"/>
      <c r="G704" s="6"/>
      <c r="H704" s="6"/>
      <c r="I704" s="6"/>
    </row>
    <row r="705" spans="1:9" ht="15" customHeight="1" x14ac:dyDescent="0.2">
      <c r="A705" s="3" t="s">
        <v>21</v>
      </c>
      <c r="B705" s="3" t="str">
        <f t="shared" ref="B705:I705" si="294">B968</f>
        <v>Yes</v>
      </c>
      <c r="C705" s="3" t="str">
        <f t="shared" si="294"/>
        <v>Yes</v>
      </c>
      <c r="D705" s="3" t="str">
        <f t="shared" si="294"/>
        <v>Yes</v>
      </c>
      <c r="E705" s="3" t="str">
        <f t="shared" si="294"/>
        <v>Yes</v>
      </c>
      <c r="F705" s="3" t="str">
        <f t="shared" si="294"/>
        <v>Yes</v>
      </c>
      <c r="G705" s="3" t="str">
        <f t="shared" si="294"/>
        <v>Yes</v>
      </c>
      <c r="H705" s="3" t="str">
        <f t="shared" si="294"/>
        <v>Yes</v>
      </c>
      <c r="I705" s="3" t="str">
        <f t="shared" si="294"/>
        <v>Yes</v>
      </c>
    </row>
    <row r="707" spans="1:9" ht="15" customHeight="1" x14ac:dyDescent="0.2">
      <c r="A707" s="42" t="s">
        <v>339</v>
      </c>
      <c r="B707" s="73">
        <f t="shared" ref="B707:I707" si="295">IF(B705="No",0,B709*B708)</f>
        <v>1853.7839999999999</v>
      </c>
      <c r="C707" s="73">
        <f t="shared" si="295"/>
        <v>1602.288</v>
      </c>
      <c r="D707" s="73">
        <f t="shared" si="295"/>
        <v>1561.8239999999998</v>
      </c>
      <c r="E707" s="73">
        <f t="shared" si="295"/>
        <v>1451.752</v>
      </c>
      <c r="F707" s="73">
        <f t="shared" si="295"/>
        <v>1420.972</v>
      </c>
      <c r="G707" s="73">
        <f t="shared" si="295"/>
        <v>1305.8320000000001</v>
      </c>
      <c r="H707" s="73">
        <f t="shared" si="295"/>
        <v>1327.2640000000001</v>
      </c>
      <c r="I707" s="73">
        <f t="shared" si="295"/>
        <v>1146.2488888888888</v>
      </c>
    </row>
    <row r="708" spans="1:9" ht="15" customHeight="1" x14ac:dyDescent="0.2">
      <c r="A708" s="48" t="s">
        <v>23</v>
      </c>
      <c r="B708" s="95">
        <f t="shared" ref="B708:I708" si="296">IF(B705="No",0,B$547)</f>
        <v>0.36</v>
      </c>
      <c r="C708" s="95">
        <f t="shared" si="296"/>
        <v>0.36</v>
      </c>
      <c r="D708" s="95">
        <f t="shared" si="296"/>
        <v>0.36</v>
      </c>
      <c r="E708" s="95">
        <f t="shared" si="296"/>
        <v>0.38</v>
      </c>
      <c r="F708" s="95">
        <f t="shared" si="296"/>
        <v>0.38</v>
      </c>
      <c r="G708" s="95">
        <f t="shared" si="296"/>
        <v>0.38</v>
      </c>
      <c r="H708" s="95">
        <f t="shared" si="296"/>
        <v>0.38</v>
      </c>
      <c r="I708" s="95">
        <f t="shared" si="296"/>
        <v>0.38</v>
      </c>
    </row>
    <row r="709" spans="1:9" ht="15" customHeight="1" x14ac:dyDescent="0.2">
      <c r="A709" s="42" t="s">
        <v>340</v>
      </c>
      <c r="B709" s="73">
        <f t="shared" ref="B709:I709" si="297">IF(B705="No",0,B716-B711)</f>
        <v>5149.3999999999996</v>
      </c>
      <c r="C709" s="73">
        <f t="shared" si="297"/>
        <v>4450.8</v>
      </c>
      <c r="D709" s="73">
        <f t="shared" si="297"/>
        <v>4338.3999999999996</v>
      </c>
      <c r="E709" s="73">
        <f t="shared" si="297"/>
        <v>3820.4</v>
      </c>
      <c r="F709" s="73">
        <f t="shared" si="297"/>
        <v>3739.4</v>
      </c>
      <c r="G709" s="73">
        <f t="shared" si="297"/>
        <v>3436.4</v>
      </c>
      <c r="H709" s="73">
        <f t="shared" si="297"/>
        <v>3492.8</v>
      </c>
      <c r="I709" s="73">
        <f t="shared" si="297"/>
        <v>3016.4444444444443</v>
      </c>
    </row>
    <row r="710" spans="1:9" ht="15" customHeight="1" x14ac:dyDescent="0.2">
      <c r="A710" s="42"/>
      <c r="B710" s="73"/>
      <c r="C710" s="73"/>
      <c r="D710" s="73"/>
      <c r="E710" s="73"/>
      <c r="F710" s="73"/>
      <c r="G710" s="73"/>
      <c r="H710" s="73"/>
      <c r="I710" s="73"/>
    </row>
    <row r="711" spans="1:9" ht="15" customHeight="1" x14ac:dyDescent="0.2">
      <c r="A711" s="42" t="s">
        <v>341</v>
      </c>
      <c r="B711" s="73">
        <f t="shared" ref="B711:I711" si="298">IF(B705="No",0,IF(B714=0,0,SUM(IF(1&lt;=B714,B717,0),IF(2&lt;=B714,B718,0),IF(3&lt;=B714,B719,0),IF(4&lt;=B714,B720,0),IF(5&lt;=B714,B721,0),IF(6&lt;=B714,B722,0),IF(7&lt;=B714,B723,0),IF(8&lt;=B714,B724,0),IF(9&lt;=B714,B725,0),IF(10&lt;=B714,B726,0))/B714))</f>
        <v>1953.6</v>
      </c>
      <c r="C711" s="73">
        <f t="shared" si="298"/>
        <v>2155.1999999999998</v>
      </c>
      <c r="D711" s="73">
        <f t="shared" si="298"/>
        <v>1702.6</v>
      </c>
      <c r="E711" s="73">
        <f t="shared" si="298"/>
        <v>1702.6</v>
      </c>
      <c r="F711" s="73">
        <f t="shared" si="298"/>
        <v>1358.6</v>
      </c>
      <c r="G711" s="73">
        <f t="shared" si="298"/>
        <v>1358.6</v>
      </c>
      <c r="H711" s="73">
        <f t="shared" si="298"/>
        <v>1302.2</v>
      </c>
      <c r="I711" s="73">
        <f t="shared" si="298"/>
        <v>1196.5555555555557</v>
      </c>
    </row>
    <row r="712" spans="1:9" ht="15" customHeight="1" x14ac:dyDescent="0.2">
      <c r="A712" s="42"/>
      <c r="B712" s="73"/>
      <c r="C712" s="73"/>
      <c r="D712" s="73"/>
      <c r="E712" s="73"/>
      <c r="F712" s="73"/>
      <c r="G712" s="73"/>
      <c r="H712" s="73"/>
      <c r="I712" s="73"/>
    </row>
    <row r="713" spans="1:9" ht="15" customHeight="1" x14ac:dyDescent="0.2">
      <c r="A713" s="42" t="s">
        <v>342</v>
      </c>
      <c r="B713" s="73">
        <f t="shared" ref="B713:I713" si="299">IF(B705="No",0,B716+IF(B714=0,0,(MAX(0,B717*(B714-1)/B714)+MAX(0,B718*(B714-2)/B714)+MAX(0,B719*(B714-3)/B714)+MAX(0,B720*(B714-4)/B714)+MAX(0,B721*(B714-5)/B714)+MAX(0,B722*(B714-6)/B714)+MAX(0,B723*(B714-7)/B714)+MAX(0,B724*(B714-8)/B714)+MAX(0,B725*(B714-9)/B714)+MAX(0,B726*(B714-10)/B714))))</f>
        <v>19839.300000000003</v>
      </c>
      <c r="C713" s="73">
        <f t="shared" si="299"/>
        <v>20998.5</v>
      </c>
      <c r="D713" s="73">
        <f t="shared" si="299"/>
        <v>17083.300000000003</v>
      </c>
      <c r="E713" s="73">
        <f t="shared" si="299"/>
        <v>16565.300000000003</v>
      </c>
      <c r="F713" s="73">
        <f t="shared" si="299"/>
        <v>13626.1</v>
      </c>
      <c r="G713" s="73">
        <f t="shared" si="299"/>
        <v>13323.1</v>
      </c>
      <c r="H713" s="73">
        <f t="shared" si="299"/>
        <v>13064.9</v>
      </c>
      <c r="I713" s="73">
        <f t="shared" si="299"/>
        <v>10819.222222222223</v>
      </c>
    </row>
    <row r="714" spans="1:9" ht="15" customHeight="1" x14ac:dyDescent="0.2">
      <c r="A714" s="42" t="s">
        <v>343</v>
      </c>
      <c r="B714" s="48">
        <f t="shared" ref="B714:I714" si="300">IF(B705="No",0,SUM(IF(B717&gt;0,1,0),IF(B718&gt;0,1,0),IF(B719&gt;0,1,0),IF(B720&gt;0,1,0),IF(B721&gt;0,1,0),IF(B722&gt;0,1,0),IF(B723&gt;0,1,0),IF(B724&gt;0,1,0),IF(B725&gt;0,1,0),IF(B726&gt;0,1,0)))</f>
        <v>10</v>
      </c>
      <c r="C714" s="48">
        <f t="shared" si="300"/>
        <v>10</v>
      </c>
      <c r="D714" s="48">
        <f t="shared" si="300"/>
        <v>10</v>
      </c>
      <c r="E714" s="48">
        <f t="shared" si="300"/>
        <v>10</v>
      </c>
      <c r="F714" s="48">
        <f t="shared" si="300"/>
        <v>10</v>
      </c>
      <c r="G714" s="48">
        <f t="shared" si="300"/>
        <v>10</v>
      </c>
      <c r="H714" s="48">
        <f t="shared" si="300"/>
        <v>10</v>
      </c>
      <c r="I714" s="48">
        <f t="shared" si="300"/>
        <v>9</v>
      </c>
    </row>
    <row r="715" spans="1:9" ht="15" customHeight="1" x14ac:dyDescent="0.2">
      <c r="A715" s="53"/>
      <c r="B715" s="53"/>
      <c r="C715" s="53"/>
      <c r="D715" s="53"/>
      <c r="E715" s="53"/>
      <c r="F715" s="53"/>
      <c r="G715" s="53"/>
      <c r="H715" s="53"/>
      <c r="I715" s="53"/>
    </row>
    <row r="716" spans="1:9" ht="15" customHeight="1" x14ac:dyDescent="0.2">
      <c r="A716" s="48" t="s">
        <v>344</v>
      </c>
      <c r="B716" s="70">
        <f t="shared" ref="B716:I716" si="301">IF(B705="No",0,B969)</f>
        <v>7103</v>
      </c>
      <c r="C716" s="70">
        <f t="shared" si="301"/>
        <v>6606</v>
      </c>
      <c r="D716" s="70">
        <f t="shared" si="301"/>
        <v>6041</v>
      </c>
      <c r="E716" s="70">
        <f t="shared" si="301"/>
        <v>5523</v>
      </c>
      <c r="F716" s="70">
        <f t="shared" si="301"/>
        <v>5098</v>
      </c>
      <c r="G716" s="70">
        <f t="shared" si="301"/>
        <v>4795</v>
      </c>
      <c r="H716" s="70">
        <f t="shared" si="301"/>
        <v>4795</v>
      </c>
      <c r="I716" s="70">
        <f t="shared" si="301"/>
        <v>4213</v>
      </c>
    </row>
    <row r="717" spans="1:9" ht="15" customHeight="1" x14ac:dyDescent="0.2">
      <c r="A717" s="48" t="s">
        <v>500</v>
      </c>
      <c r="B717" s="70">
        <f t="shared" ref="B717:I717" si="302">IF(B705="No",0,B970)</f>
        <v>5098</v>
      </c>
      <c r="C717" s="70">
        <f t="shared" si="302"/>
        <v>6041</v>
      </c>
      <c r="D717" s="70">
        <f t="shared" si="302"/>
        <v>4475</v>
      </c>
      <c r="E717" s="70">
        <f t="shared" si="302"/>
        <v>4475</v>
      </c>
      <c r="F717" s="70">
        <f t="shared" si="302"/>
        <v>3381</v>
      </c>
      <c r="G717" s="70">
        <f t="shared" si="302"/>
        <v>3381</v>
      </c>
      <c r="H717" s="70">
        <f t="shared" si="302"/>
        <v>3381</v>
      </c>
      <c r="I717" s="70">
        <f t="shared" si="302"/>
        <v>3381</v>
      </c>
    </row>
    <row r="718" spans="1:9" ht="15" customHeight="1" x14ac:dyDescent="0.2">
      <c r="A718" s="48" t="s">
        <v>501</v>
      </c>
      <c r="B718" s="70">
        <f t="shared" ref="B718:I718" si="303">IF(B705="No",0,B971)</f>
        <v>3911</v>
      </c>
      <c r="C718" s="70">
        <f t="shared" si="303"/>
        <v>4475</v>
      </c>
      <c r="D718" s="70">
        <f t="shared" si="303"/>
        <v>3381</v>
      </c>
      <c r="E718" s="70">
        <f t="shared" si="303"/>
        <v>3381</v>
      </c>
      <c r="F718" s="70">
        <f t="shared" si="303"/>
        <v>2429</v>
      </c>
      <c r="G718" s="70">
        <f t="shared" si="303"/>
        <v>2429</v>
      </c>
      <c r="H718" s="70">
        <f t="shared" si="303"/>
        <v>2429</v>
      </c>
      <c r="I718" s="70">
        <f t="shared" si="303"/>
        <v>2429</v>
      </c>
    </row>
    <row r="719" spans="1:9" ht="15" customHeight="1" x14ac:dyDescent="0.2">
      <c r="A719" s="48" t="s">
        <v>502</v>
      </c>
      <c r="B719" s="70">
        <f t="shared" ref="B719:I719" si="304">IF(B705="No",0,B972)</f>
        <v>2872</v>
      </c>
      <c r="C719" s="70">
        <f t="shared" si="304"/>
        <v>3381</v>
      </c>
      <c r="D719" s="70">
        <f t="shared" si="304"/>
        <v>2429</v>
      </c>
      <c r="E719" s="70">
        <f t="shared" si="304"/>
        <v>2429</v>
      </c>
      <c r="F719" s="70">
        <f t="shared" si="304"/>
        <v>1782</v>
      </c>
      <c r="G719" s="70">
        <f t="shared" si="304"/>
        <v>1782</v>
      </c>
      <c r="H719" s="70">
        <f t="shared" si="304"/>
        <v>1782</v>
      </c>
      <c r="I719" s="70">
        <f t="shared" si="304"/>
        <v>0</v>
      </c>
    </row>
    <row r="720" spans="1:9" ht="15" customHeight="1" x14ac:dyDescent="0.2">
      <c r="A720" s="48" t="s">
        <v>503</v>
      </c>
      <c r="B720" s="70">
        <f t="shared" ref="B720:I720" si="305">IF(B705="No",0,B973)</f>
        <v>2114</v>
      </c>
      <c r="C720" s="70">
        <f t="shared" si="305"/>
        <v>2114</v>
      </c>
      <c r="D720" s="70">
        <f t="shared" si="305"/>
        <v>1782</v>
      </c>
      <c r="E720" s="70">
        <f t="shared" si="305"/>
        <v>1782</v>
      </c>
      <c r="F720" s="70">
        <f t="shared" si="305"/>
        <v>1523</v>
      </c>
      <c r="G720" s="70">
        <f t="shared" si="305"/>
        <v>1523</v>
      </c>
      <c r="H720" s="70">
        <f t="shared" si="305"/>
        <v>1333</v>
      </c>
      <c r="I720" s="70">
        <f t="shared" si="305"/>
        <v>1333</v>
      </c>
    </row>
    <row r="721" spans="1:9" ht="15" customHeight="1" x14ac:dyDescent="0.2">
      <c r="A721" s="48" t="s">
        <v>349</v>
      </c>
      <c r="B721" s="70">
        <f t="shared" ref="B721:I721" si="306">IF(B705="No",0,B974)</f>
        <v>1523</v>
      </c>
      <c r="C721" s="70">
        <f t="shared" si="306"/>
        <v>1523</v>
      </c>
      <c r="D721" s="70">
        <f t="shared" si="306"/>
        <v>1333</v>
      </c>
      <c r="E721" s="70">
        <f t="shared" si="306"/>
        <v>1333</v>
      </c>
      <c r="F721" s="70">
        <f t="shared" si="306"/>
        <v>1224</v>
      </c>
      <c r="G721" s="70">
        <f t="shared" si="306"/>
        <v>1224</v>
      </c>
      <c r="H721" s="70">
        <f t="shared" si="306"/>
        <v>1109</v>
      </c>
      <c r="I721" s="70">
        <f t="shared" si="306"/>
        <v>1109</v>
      </c>
    </row>
    <row r="722" spans="1:9" ht="15" customHeight="1" x14ac:dyDescent="0.2">
      <c r="A722" s="48" t="s">
        <v>350</v>
      </c>
      <c r="B722" s="70">
        <f t="shared" ref="B722:I722" si="307">IF(B705="No",0,B975)</f>
        <v>1224</v>
      </c>
      <c r="C722" s="70">
        <f t="shared" si="307"/>
        <v>1224</v>
      </c>
      <c r="D722" s="70">
        <f t="shared" si="307"/>
        <v>1109</v>
      </c>
      <c r="E722" s="70">
        <f t="shared" si="307"/>
        <v>1109</v>
      </c>
      <c r="F722" s="70">
        <f t="shared" si="307"/>
        <v>934</v>
      </c>
      <c r="G722" s="70">
        <f t="shared" si="307"/>
        <v>934</v>
      </c>
      <c r="H722" s="70">
        <f t="shared" si="307"/>
        <v>782</v>
      </c>
      <c r="I722" s="70">
        <f t="shared" si="307"/>
        <v>782</v>
      </c>
    </row>
    <row r="723" spans="1:9" ht="15" customHeight="1" x14ac:dyDescent="0.2">
      <c r="A723" s="48" t="s">
        <v>351</v>
      </c>
      <c r="B723" s="70">
        <f t="shared" ref="B723:I723" si="308">IF(B705="No",0,B976)</f>
        <v>934</v>
      </c>
      <c r="C723" s="70">
        <f t="shared" si="308"/>
        <v>934</v>
      </c>
      <c r="D723" s="70">
        <f t="shared" si="308"/>
        <v>782</v>
      </c>
      <c r="E723" s="70">
        <f t="shared" si="308"/>
        <v>782</v>
      </c>
      <c r="F723" s="70">
        <f t="shared" si="308"/>
        <v>721</v>
      </c>
      <c r="G723" s="70">
        <f t="shared" si="308"/>
        <v>721</v>
      </c>
      <c r="H723" s="70">
        <f t="shared" si="308"/>
        <v>712</v>
      </c>
      <c r="I723" s="70">
        <f t="shared" si="308"/>
        <v>712</v>
      </c>
    </row>
    <row r="724" spans="1:9" ht="15" customHeight="1" x14ac:dyDescent="0.2">
      <c r="A724" s="48" t="s">
        <v>352</v>
      </c>
      <c r="B724" s="70">
        <f t="shared" ref="B724:I724" si="309">IF(B705="No",0,B977)</f>
        <v>721</v>
      </c>
      <c r="C724" s="70">
        <f t="shared" si="309"/>
        <v>721</v>
      </c>
      <c r="D724" s="70">
        <f t="shared" si="309"/>
        <v>712</v>
      </c>
      <c r="E724" s="70">
        <f t="shared" si="309"/>
        <v>712</v>
      </c>
      <c r="F724" s="70">
        <f t="shared" si="309"/>
        <v>650</v>
      </c>
      <c r="G724" s="70">
        <f t="shared" si="309"/>
        <v>650</v>
      </c>
      <c r="H724" s="70">
        <f t="shared" si="309"/>
        <v>534</v>
      </c>
      <c r="I724" s="70">
        <f t="shared" si="309"/>
        <v>534</v>
      </c>
    </row>
    <row r="725" spans="1:9" ht="15" customHeight="1" x14ac:dyDescent="0.2">
      <c r="A725" s="48" t="s">
        <v>353</v>
      </c>
      <c r="B725" s="70">
        <f t="shared" ref="B725:I725" si="310">IF(B705="No",0,B978)</f>
        <v>650</v>
      </c>
      <c r="C725" s="70">
        <f t="shared" si="310"/>
        <v>650</v>
      </c>
      <c r="D725" s="70">
        <f t="shared" si="310"/>
        <v>534</v>
      </c>
      <c r="E725" s="70">
        <f t="shared" si="310"/>
        <v>534</v>
      </c>
      <c r="F725" s="70">
        <f t="shared" si="310"/>
        <v>489</v>
      </c>
      <c r="G725" s="70">
        <f t="shared" si="310"/>
        <v>489</v>
      </c>
      <c r="H725" s="70">
        <f t="shared" si="310"/>
        <v>489</v>
      </c>
      <c r="I725" s="70">
        <f t="shared" si="310"/>
        <v>489</v>
      </c>
    </row>
    <row r="726" spans="1:9" ht="15" customHeight="1" x14ac:dyDescent="0.2">
      <c r="A726" s="48" t="s">
        <v>354</v>
      </c>
      <c r="B726" s="70">
        <f t="shared" ref="B726:I726" si="311">IF(B705="No",0,B979)</f>
        <v>489</v>
      </c>
      <c r="C726" s="70">
        <f t="shared" si="311"/>
        <v>489</v>
      </c>
      <c r="D726" s="70">
        <f t="shared" si="311"/>
        <v>489</v>
      </c>
      <c r="E726" s="70">
        <f t="shared" si="311"/>
        <v>489</v>
      </c>
      <c r="F726" s="70">
        <f t="shared" si="311"/>
        <v>453</v>
      </c>
      <c r="G726" s="70">
        <f t="shared" si="311"/>
        <v>453</v>
      </c>
      <c r="H726" s="70">
        <f t="shared" si="311"/>
        <v>471</v>
      </c>
      <c r="I726" s="70">
        <f t="shared" si="311"/>
        <v>471</v>
      </c>
    </row>
    <row r="727" spans="1:9" ht="15" customHeight="1" x14ac:dyDescent="0.2">
      <c r="A727" s="48"/>
      <c r="B727" s="70"/>
      <c r="C727" s="70"/>
      <c r="D727" s="70"/>
      <c r="E727" s="70"/>
      <c r="F727" s="70"/>
      <c r="G727" s="70"/>
      <c r="H727" s="70"/>
      <c r="I727" s="70"/>
    </row>
    <row r="729" spans="1:9" ht="15" customHeight="1" x14ac:dyDescent="0.2">
      <c r="A729" s="6" t="s">
        <v>435</v>
      </c>
      <c r="B729" s="6"/>
      <c r="C729" s="6"/>
      <c r="D729" s="6"/>
      <c r="E729" s="6"/>
      <c r="F729" s="6"/>
      <c r="G729" s="6"/>
      <c r="H729" s="6"/>
      <c r="I729" s="6"/>
    </row>
    <row r="730" spans="1:9" ht="15" customHeight="1" x14ac:dyDescent="0.2">
      <c r="A730" s="3" t="s">
        <v>436</v>
      </c>
      <c r="B730" s="45">
        <f t="shared" ref="B730:I730" si="312">B732*B731</f>
        <v>0</v>
      </c>
      <c r="C730" s="45">
        <f t="shared" si="312"/>
        <v>0</v>
      </c>
      <c r="D730" s="45">
        <f t="shared" si="312"/>
        <v>0</v>
      </c>
      <c r="E730" s="45">
        <f t="shared" si="312"/>
        <v>0</v>
      </c>
      <c r="F730" s="45">
        <f t="shared" si="312"/>
        <v>0</v>
      </c>
      <c r="G730" s="45">
        <f t="shared" si="312"/>
        <v>0</v>
      </c>
      <c r="H730" s="45">
        <f t="shared" si="312"/>
        <v>0</v>
      </c>
      <c r="I730" s="45">
        <f t="shared" si="312"/>
        <v>0</v>
      </c>
    </row>
    <row r="731" spans="1:9" ht="15" customHeight="1" x14ac:dyDescent="0.2">
      <c r="A731" s="48" t="s">
        <v>439</v>
      </c>
      <c r="B731" s="105">
        <f t="shared" ref="B731:I732" si="313">B987</f>
        <v>1</v>
      </c>
      <c r="C731" s="105">
        <f t="shared" si="313"/>
        <v>1</v>
      </c>
      <c r="D731" s="105">
        <f t="shared" si="313"/>
        <v>1</v>
      </c>
      <c r="E731" s="105">
        <f t="shared" si="313"/>
        <v>1</v>
      </c>
      <c r="F731" s="105">
        <f t="shared" si="313"/>
        <v>1</v>
      </c>
      <c r="G731" s="105">
        <f t="shared" si="313"/>
        <v>1</v>
      </c>
      <c r="H731" s="105">
        <f t="shared" si="313"/>
        <v>1</v>
      </c>
      <c r="I731" s="105">
        <f t="shared" si="313"/>
        <v>1</v>
      </c>
    </row>
    <row r="732" spans="1:9" ht="15" customHeight="1" x14ac:dyDescent="0.2">
      <c r="A732" s="48" t="s">
        <v>68</v>
      </c>
      <c r="B732" s="70">
        <f t="shared" si="313"/>
        <v>0</v>
      </c>
      <c r="C732" s="70">
        <f t="shared" si="313"/>
        <v>0</v>
      </c>
      <c r="D732" s="70">
        <f t="shared" si="313"/>
        <v>0</v>
      </c>
      <c r="E732" s="70">
        <f t="shared" si="313"/>
        <v>0</v>
      </c>
      <c r="F732" s="70">
        <f t="shared" si="313"/>
        <v>0</v>
      </c>
      <c r="G732" s="70">
        <f t="shared" si="313"/>
        <v>0</v>
      </c>
      <c r="H732" s="70">
        <f t="shared" si="313"/>
        <v>0</v>
      </c>
      <c r="I732" s="70">
        <f t="shared" si="313"/>
        <v>0</v>
      </c>
    </row>
    <row r="733" spans="1:9" ht="15" customHeight="1" x14ac:dyDescent="0.2">
      <c r="A733" s="48"/>
      <c r="B733" s="70"/>
      <c r="C733" s="70"/>
      <c r="D733" s="70"/>
      <c r="E733" s="70"/>
      <c r="F733" s="70"/>
      <c r="G733" s="70"/>
      <c r="H733" s="70"/>
      <c r="I733" s="70"/>
    </row>
    <row r="735" spans="1:9" ht="15" customHeight="1" x14ac:dyDescent="0.2">
      <c r="A735" s="6" t="s">
        <v>431</v>
      </c>
      <c r="B735" s="6"/>
      <c r="C735" s="6"/>
      <c r="D735" s="6"/>
      <c r="E735" s="6"/>
      <c r="F735" s="6"/>
      <c r="G735" s="6"/>
      <c r="H735" s="6"/>
      <c r="I735" s="6"/>
    </row>
    <row r="736" spans="1:9" ht="15" customHeight="1" x14ac:dyDescent="0.2">
      <c r="A736" s="3" t="s">
        <v>323</v>
      </c>
      <c r="B736" s="45">
        <f t="shared" ref="B736:I736" si="314">B738*B737</f>
        <v>0</v>
      </c>
      <c r="C736" s="45">
        <f t="shared" si="314"/>
        <v>0</v>
      </c>
      <c r="D736" s="45">
        <f t="shared" si="314"/>
        <v>0</v>
      </c>
      <c r="E736" s="45">
        <f t="shared" si="314"/>
        <v>0</v>
      </c>
      <c r="F736" s="45">
        <f t="shared" si="314"/>
        <v>0</v>
      </c>
      <c r="G736" s="45">
        <f t="shared" si="314"/>
        <v>0</v>
      </c>
      <c r="H736" s="45">
        <f t="shared" si="314"/>
        <v>0</v>
      </c>
      <c r="I736" s="45">
        <f t="shared" si="314"/>
        <v>0</v>
      </c>
    </row>
    <row r="737" spans="1:9" ht="15" customHeight="1" x14ac:dyDescent="0.2">
      <c r="A737" s="48" t="s">
        <v>439</v>
      </c>
      <c r="B737" s="105">
        <f t="shared" ref="B737:I738" si="315">B992</f>
        <v>1</v>
      </c>
      <c r="C737" s="105">
        <f t="shared" si="315"/>
        <v>1</v>
      </c>
      <c r="D737" s="105">
        <f t="shared" si="315"/>
        <v>1</v>
      </c>
      <c r="E737" s="105">
        <f t="shared" si="315"/>
        <v>1</v>
      </c>
      <c r="F737" s="105">
        <f t="shared" si="315"/>
        <v>1</v>
      </c>
      <c r="G737" s="105">
        <f t="shared" si="315"/>
        <v>1</v>
      </c>
      <c r="H737" s="105">
        <f t="shared" si="315"/>
        <v>1</v>
      </c>
      <c r="I737" s="105">
        <f t="shared" si="315"/>
        <v>1</v>
      </c>
    </row>
    <row r="738" spans="1:9" ht="15" customHeight="1" x14ac:dyDescent="0.2">
      <c r="A738" s="48" t="s">
        <v>68</v>
      </c>
      <c r="B738" s="70">
        <f t="shared" si="315"/>
        <v>0</v>
      </c>
      <c r="C738" s="70">
        <f t="shared" si="315"/>
        <v>0</v>
      </c>
      <c r="D738" s="70">
        <f t="shared" si="315"/>
        <v>0</v>
      </c>
      <c r="E738" s="70">
        <f t="shared" si="315"/>
        <v>0</v>
      </c>
      <c r="F738" s="70">
        <f t="shared" si="315"/>
        <v>0</v>
      </c>
      <c r="G738" s="70">
        <f t="shared" si="315"/>
        <v>0</v>
      </c>
      <c r="H738" s="70">
        <f t="shared" si="315"/>
        <v>0</v>
      </c>
      <c r="I738" s="70">
        <f t="shared" si="315"/>
        <v>0</v>
      </c>
    </row>
    <row r="739" spans="1:9" ht="15" customHeight="1" x14ac:dyDescent="0.2">
      <c r="A739" s="48"/>
      <c r="B739" s="70"/>
      <c r="C739" s="70"/>
      <c r="D739" s="70"/>
      <c r="E739" s="70"/>
      <c r="F739" s="70"/>
      <c r="G739" s="70"/>
      <c r="H739" s="70"/>
      <c r="I739" s="70"/>
    </row>
    <row r="741" spans="1:9" ht="15" customHeight="1" x14ac:dyDescent="0.2">
      <c r="A741" s="6" t="s">
        <v>338</v>
      </c>
      <c r="B741" s="6"/>
      <c r="C741" s="6"/>
      <c r="D741" s="6"/>
      <c r="E741" s="6"/>
      <c r="F741" s="6"/>
      <c r="G741" s="6"/>
      <c r="H741" s="6"/>
      <c r="I741" s="6"/>
    </row>
    <row r="742" spans="1:9" ht="15" customHeight="1" x14ac:dyDescent="0.2">
      <c r="A742" s="3" t="s">
        <v>433</v>
      </c>
      <c r="B742" s="45">
        <f t="shared" ref="B742:I742" si="316">B744*(1-B743)</f>
        <v>0</v>
      </c>
      <c r="C742" s="45">
        <f t="shared" si="316"/>
        <v>0</v>
      </c>
      <c r="D742" s="45">
        <f t="shared" si="316"/>
        <v>0</v>
      </c>
      <c r="E742" s="45">
        <f t="shared" si="316"/>
        <v>0</v>
      </c>
      <c r="F742" s="45">
        <f t="shared" si="316"/>
        <v>0</v>
      </c>
      <c r="G742" s="45">
        <f t="shared" si="316"/>
        <v>0</v>
      </c>
      <c r="H742" s="45">
        <f t="shared" si="316"/>
        <v>0</v>
      </c>
      <c r="I742" s="45">
        <f t="shared" si="316"/>
        <v>0</v>
      </c>
    </row>
    <row r="743" spans="1:9" ht="15" customHeight="1" x14ac:dyDescent="0.2">
      <c r="A743" s="42" t="s">
        <v>329</v>
      </c>
      <c r="B743" s="37">
        <f t="shared" ref="B743:I744" si="317">B997</f>
        <v>1</v>
      </c>
      <c r="C743" s="37">
        <f t="shared" si="317"/>
        <v>1</v>
      </c>
      <c r="D743" s="37">
        <f t="shared" si="317"/>
        <v>1</v>
      </c>
      <c r="E743" s="37">
        <f t="shared" si="317"/>
        <v>1</v>
      </c>
      <c r="F743" s="37">
        <f t="shared" si="317"/>
        <v>1</v>
      </c>
      <c r="G743" s="37">
        <f t="shared" si="317"/>
        <v>1</v>
      </c>
      <c r="H743" s="37">
        <f t="shared" si="317"/>
        <v>1</v>
      </c>
      <c r="I743" s="37">
        <f t="shared" si="317"/>
        <v>1</v>
      </c>
    </row>
    <row r="744" spans="1:9" ht="15" customHeight="1" x14ac:dyDescent="0.2">
      <c r="A744" s="48" t="s">
        <v>68</v>
      </c>
      <c r="B744" s="53">
        <f t="shared" si="317"/>
        <v>4711</v>
      </c>
      <c r="C744" s="53">
        <f t="shared" si="317"/>
        <v>4629</v>
      </c>
      <c r="D744" s="53">
        <f t="shared" si="317"/>
        <v>4616</v>
      </c>
      <c r="E744" s="53">
        <f t="shared" si="317"/>
        <v>2374</v>
      </c>
      <c r="F744" s="53">
        <f t="shared" si="317"/>
        <v>2055</v>
      </c>
      <c r="G744" s="53">
        <f t="shared" si="317"/>
        <v>2022</v>
      </c>
      <c r="H744" s="53">
        <f t="shared" si="317"/>
        <v>1577</v>
      </c>
      <c r="I744" s="53">
        <f t="shared" si="317"/>
        <v>1522</v>
      </c>
    </row>
    <row r="745" spans="1:9" ht="15" customHeight="1" x14ac:dyDescent="0.2">
      <c r="A745" s="48"/>
      <c r="B745" s="53"/>
      <c r="C745" s="53"/>
      <c r="D745" s="53"/>
      <c r="E745" s="53"/>
      <c r="F745" s="53"/>
      <c r="G745" s="53"/>
      <c r="H745" s="53"/>
      <c r="I745" s="53"/>
    </row>
    <row r="746" spans="1:9" ht="15" customHeight="1" x14ac:dyDescent="0.2">
      <c r="A746" s="48"/>
      <c r="B746" s="53"/>
      <c r="C746" s="53"/>
      <c r="D746" s="53"/>
      <c r="E746" s="53"/>
      <c r="F746" s="53"/>
      <c r="G746" s="53"/>
      <c r="H746" s="53"/>
      <c r="I746" s="53"/>
    </row>
    <row r="747" spans="1:9" ht="15" customHeight="1" x14ac:dyDescent="0.2">
      <c r="A747" s="48"/>
      <c r="B747" s="53"/>
      <c r="C747" s="53"/>
      <c r="D747" s="53"/>
      <c r="E747" s="53"/>
      <c r="F747" s="53"/>
      <c r="G747" s="53"/>
      <c r="H747" s="53"/>
      <c r="I747" s="53"/>
    </row>
    <row r="749" spans="1:9" ht="15" customHeight="1" x14ac:dyDescent="0.2">
      <c r="A749" s="2" t="s">
        <v>488</v>
      </c>
      <c r="B749" s="106"/>
      <c r="C749" s="106"/>
      <c r="D749" s="106"/>
      <c r="E749" s="106"/>
      <c r="F749" s="106"/>
      <c r="G749" s="106"/>
      <c r="H749" s="106"/>
      <c r="I749" s="106"/>
    </row>
    <row r="751" spans="1:9" ht="15" customHeight="1" x14ac:dyDescent="0.2">
      <c r="A751" s="4" t="s">
        <v>136</v>
      </c>
      <c r="B751" s="35">
        <f t="shared" ref="B751:I751" si="318">MATCH(B$16,$A752:$A754,0)</f>
        <v>1</v>
      </c>
      <c r="C751" s="35">
        <f t="shared" si="318"/>
        <v>1</v>
      </c>
      <c r="D751" s="35">
        <f t="shared" si="318"/>
        <v>1</v>
      </c>
      <c r="E751" s="35">
        <f t="shared" si="318"/>
        <v>1</v>
      </c>
      <c r="F751" s="35">
        <f t="shared" si="318"/>
        <v>1</v>
      </c>
      <c r="G751" s="35">
        <f t="shared" si="318"/>
        <v>1</v>
      </c>
      <c r="H751" s="35">
        <f t="shared" si="318"/>
        <v>1</v>
      </c>
      <c r="I751" s="35">
        <f t="shared" si="318"/>
        <v>1</v>
      </c>
    </row>
    <row r="752" spans="1:9" ht="15" customHeight="1" x14ac:dyDescent="0.2">
      <c r="A752" s="3" t="s">
        <v>137</v>
      </c>
      <c r="B752" s="44">
        <f t="shared" ref="B752:I753" si="319">B550</f>
        <v>2.9499999999999998E-2</v>
      </c>
      <c r="C752" s="44">
        <f t="shared" si="319"/>
        <v>0.03</v>
      </c>
      <c r="D752" s="44">
        <f t="shared" si="319"/>
        <v>3.4799999999999998E-2</v>
      </c>
      <c r="E752" s="44">
        <f t="shared" si="319"/>
        <v>3.5999999999999997E-2</v>
      </c>
      <c r="F752" s="44">
        <f t="shared" si="319"/>
        <v>3.6999999999999998E-2</v>
      </c>
      <c r="G752" s="44">
        <f t="shared" si="319"/>
        <v>3.7199999999999997E-2</v>
      </c>
      <c r="H752" s="44">
        <f t="shared" si="319"/>
        <v>4.0399999999999998E-2</v>
      </c>
      <c r="I752" s="44">
        <f t="shared" si="319"/>
        <v>0.04</v>
      </c>
    </row>
    <row r="753" spans="1:9" ht="15" customHeight="1" x14ac:dyDescent="0.2">
      <c r="A753" s="3" t="s">
        <v>135</v>
      </c>
      <c r="B753" s="44">
        <f t="shared" ca="1" si="319"/>
        <v>2.7E-2</v>
      </c>
      <c r="C753" s="44">
        <f t="shared" ca="1" si="319"/>
        <v>2.75E-2</v>
      </c>
      <c r="D753" s="44">
        <f t="shared" ca="1" si="319"/>
        <v>3.2299999999999995E-2</v>
      </c>
      <c r="E753" s="44">
        <f t="shared" ca="1" si="319"/>
        <v>3.3500000000000002E-2</v>
      </c>
      <c r="F753" s="44">
        <f t="shared" ca="1" si="319"/>
        <v>3.4500000000000003E-2</v>
      </c>
      <c r="G753" s="44">
        <f t="shared" ca="1" si="319"/>
        <v>3.4699999999999995E-2</v>
      </c>
      <c r="H753" s="44">
        <f t="shared" ca="1" si="319"/>
        <v>3.7900000000000003E-2</v>
      </c>
      <c r="I753" s="44">
        <f t="shared" ca="1" si="319"/>
        <v>3.7499999999999999E-2</v>
      </c>
    </row>
    <row r="754" spans="1:9" ht="15" customHeight="1" x14ac:dyDescent="0.2">
      <c r="A754" s="3" t="s">
        <v>138</v>
      </c>
      <c r="B754" s="7">
        <v>3.5000000000000003E-2</v>
      </c>
      <c r="C754" s="7">
        <v>3.5000000000000003E-2</v>
      </c>
      <c r="D754" s="7">
        <v>3.5000000000000003E-2</v>
      </c>
      <c r="E754" s="7">
        <v>3.5000000000000003E-2</v>
      </c>
      <c r="F754" s="7">
        <v>3.5000000000000003E-2</v>
      </c>
      <c r="G754" s="7">
        <v>3.5000000000000003E-2</v>
      </c>
      <c r="H754" s="7">
        <v>3.5000000000000003E-2</v>
      </c>
      <c r="I754" s="7">
        <v>3.5000000000000003E-2</v>
      </c>
    </row>
    <row r="757" spans="1:9" ht="15" customHeight="1" x14ac:dyDescent="0.2">
      <c r="A757" s="4" t="s">
        <v>66</v>
      </c>
      <c r="B757" s="35">
        <f t="shared" ref="B757:I757" si="320">MATCH(B$18,$A758:$A759,0)</f>
        <v>1</v>
      </c>
      <c r="C757" s="35">
        <f t="shared" si="320"/>
        <v>1</v>
      </c>
      <c r="D757" s="35">
        <f t="shared" si="320"/>
        <v>1</v>
      </c>
      <c r="E757" s="35">
        <f t="shared" si="320"/>
        <v>1</v>
      </c>
      <c r="F757" s="35">
        <f t="shared" si="320"/>
        <v>1</v>
      </c>
      <c r="G757" s="35">
        <f t="shared" si="320"/>
        <v>1</v>
      </c>
      <c r="H757" s="35">
        <f t="shared" si="320"/>
        <v>1</v>
      </c>
      <c r="I757" s="35">
        <f t="shared" si="320"/>
        <v>1</v>
      </c>
    </row>
    <row r="758" spans="1:9" ht="15" customHeight="1" x14ac:dyDescent="0.2">
      <c r="A758" s="3" t="s">
        <v>505</v>
      </c>
      <c r="B758" s="9">
        <f t="shared" ref="B758:I758" si="321">B432</f>
        <v>1.0510200962651641</v>
      </c>
      <c r="C758" s="9">
        <f t="shared" si="321"/>
        <v>1.0510200962651641</v>
      </c>
      <c r="D758" s="9">
        <f t="shared" si="321"/>
        <v>1.0510200962651641</v>
      </c>
      <c r="E758" s="9">
        <f t="shared" si="321"/>
        <v>1.2457669250257106</v>
      </c>
      <c r="F758" s="9">
        <f t="shared" si="321"/>
        <v>1.2444335127542099</v>
      </c>
      <c r="G758" s="9">
        <f t="shared" si="321"/>
        <v>1.2444335127542099</v>
      </c>
      <c r="H758" s="9">
        <f t="shared" si="321"/>
        <v>1.2444335127542099</v>
      </c>
      <c r="I758" s="9">
        <f t="shared" si="321"/>
        <v>1.3559317585301836</v>
      </c>
    </row>
    <row r="759" spans="1:9" ht="15" customHeight="1" x14ac:dyDescent="0.2">
      <c r="A759" s="3" t="s">
        <v>2</v>
      </c>
      <c r="B759" s="55">
        <f t="shared" ref="B759:I759" ca="1" si="322">1.2/(1+(1-B424)*B425)</f>
        <v>1.1522086595283281</v>
      </c>
      <c r="C759" s="55">
        <f t="shared" ca="1" si="322"/>
        <v>1.1615439613048617</v>
      </c>
      <c r="D759" s="55">
        <f t="shared" ca="1" si="322"/>
        <v>1.1535387370500516</v>
      </c>
      <c r="E759" s="55">
        <f t="shared" ca="1" si="322"/>
        <v>1.1748030939123235</v>
      </c>
      <c r="F759" s="55">
        <f t="shared" ca="1" si="322"/>
        <v>1.1700647889721738</v>
      </c>
      <c r="G759" s="55">
        <f t="shared" ca="1" si="322"/>
        <v>1.1704289850923377</v>
      </c>
      <c r="H759" s="55">
        <f t="shared" ca="1" si="322"/>
        <v>1.1690418834319221</v>
      </c>
      <c r="I759" s="55">
        <f t="shared" ca="1" si="322"/>
        <v>1.1701212961098726</v>
      </c>
    </row>
    <row r="762" spans="1:9" ht="15" customHeight="1" x14ac:dyDescent="0.2">
      <c r="A762" s="4" t="s">
        <v>64</v>
      </c>
      <c r="B762" s="35">
        <f t="shared" ref="B762:I762" si="323">MATCH(B$17,$A763:$A764,0)</f>
        <v>1</v>
      </c>
      <c r="C762" s="35">
        <f t="shared" si="323"/>
        <v>1</v>
      </c>
      <c r="D762" s="35">
        <f t="shared" si="323"/>
        <v>1</v>
      </c>
      <c r="E762" s="35">
        <f t="shared" si="323"/>
        <v>1</v>
      </c>
      <c r="F762" s="35">
        <f t="shared" si="323"/>
        <v>1</v>
      </c>
      <c r="G762" s="35">
        <f t="shared" si="323"/>
        <v>1</v>
      </c>
      <c r="H762" s="35">
        <f t="shared" si="323"/>
        <v>1</v>
      </c>
      <c r="I762" s="35">
        <f t="shared" si="323"/>
        <v>1</v>
      </c>
    </row>
    <row r="763" spans="1:9" ht="15" customHeight="1" x14ac:dyDescent="0.2">
      <c r="A763" s="3" t="s">
        <v>505</v>
      </c>
      <c r="B763" s="8">
        <f t="shared" ref="B763:I763" si="324">B494</f>
        <v>6.4352921514986672E-2</v>
      </c>
      <c r="C763" s="8">
        <f t="shared" si="324"/>
        <v>6.4352921514986672E-2</v>
      </c>
      <c r="D763" s="8">
        <f t="shared" si="324"/>
        <v>6.5861604653835504E-2</v>
      </c>
      <c r="E763" s="8">
        <f t="shared" si="324"/>
        <v>6.6287686648085528E-2</v>
      </c>
      <c r="F763" s="8">
        <f t="shared" si="324"/>
        <v>5.9754749337324775E-2</v>
      </c>
      <c r="G763" s="8">
        <f t="shared" si="324"/>
        <v>5.9754749337324775E-2</v>
      </c>
      <c r="H763" s="8">
        <f t="shared" si="324"/>
        <v>5.8254749337324781E-2</v>
      </c>
      <c r="I763" s="8">
        <f t="shared" si="324"/>
        <v>6.6045728963375794E-2</v>
      </c>
    </row>
    <row r="764" spans="1:9" ht="15" customHeight="1" x14ac:dyDescent="0.2">
      <c r="A764" s="3" t="s">
        <v>2</v>
      </c>
      <c r="B764" s="7">
        <v>5.7500000000000002E-2</v>
      </c>
      <c r="C764" s="7">
        <v>5.7500000000000002E-2</v>
      </c>
      <c r="D764" s="7">
        <v>5.7500000000000002E-2</v>
      </c>
      <c r="E764" s="7">
        <v>5.7500000000000002E-2</v>
      </c>
      <c r="F764" s="7">
        <v>5.7500000000000002E-2</v>
      </c>
      <c r="G764" s="7">
        <v>5.7500000000000002E-2</v>
      </c>
      <c r="H764" s="7">
        <v>5.7500000000000002E-2</v>
      </c>
      <c r="I764" s="7">
        <v>5.7500000000000002E-2</v>
      </c>
    </row>
    <row r="765" spans="1:9" ht="15" customHeight="1" x14ac:dyDescent="0.2">
      <c r="B765" s="7"/>
      <c r="C765" s="7"/>
      <c r="D765" s="7"/>
      <c r="E765" s="7"/>
      <c r="F765" s="7"/>
      <c r="G765" s="7"/>
      <c r="H765" s="7"/>
      <c r="I765" s="7"/>
    </row>
    <row r="766" spans="1:9" ht="15" customHeight="1" x14ac:dyDescent="0.2">
      <c r="A766" s="1"/>
    </row>
    <row r="767" spans="1:9" ht="15" customHeight="1" x14ac:dyDescent="0.2">
      <c r="A767" s="1"/>
    </row>
    <row r="768" spans="1:9" ht="15" customHeight="1" x14ac:dyDescent="0.2">
      <c r="A768" s="2" t="s">
        <v>489</v>
      </c>
      <c r="B768" s="106"/>
      <c r="C768" s="106"/>
      <c r="D768" s="106"/>
      <c r="E768" s="106"/>
      <c r="F768" s="106"/>
      <c r="G768" s="106"/>
      <c r="H768" s="106"/>
      <c r="I768" s="106"/>
    </row>
    <row r="770" spans="1:9" ht="15" customHeight="1" x14ac:dyDescent="0.2">
      <c r="A770" s="6" t="s">
        <v>455</v>
      </c>
      <c r="B770" s="6"/>
      <c r="C770" s="6"/>
      <c r="D770" s="6"/>
      <c r="E770" s="6"/>
      <c r="F770" s="6"/>
      <c r="G770" s="6"/>
      <c r="H770" s="6"/>
      <c r="I770" s="6"/>
    </row>
    <row r="771" spans="1:9" ht="15" customHeight="1" x14ac:dyDescent="0.2">
      <c r="A771" s="3" t="s">
        <v>446</v>
      </c>
      <c r="B771" s="107">
        <v>0</v>
      </c>
      <c r="C771" s="107">
        <v>0</v>
      </c>
      <c r="D771" s="107">
        <v>0</v>
      </c>
      <c r="E771" s="107">
        <v>0</v>
      </c>
      <c r="F771" s="107">
        <v>0</v>
      </c>
      <c r="G771" s="107">
        <v>0</v>
      </c>
      <c r="H771" s="107">
        <v>0</v>
      </c>
      <c r="I771" s="107">
        <v>0</v>
      </c>
    </row>
    <row r="772" spans="1:9" ht="15" customHeight="1" x14ac:dyDescent="0.2">
      <c r="A772" s="3" t="s">
        <v>445</v>
      </c>
      <c r="B772" s="7">
        <v>0</v>
      </c>
      <c r="C772" s="7">
        <v>0</v>
      </c>
      <c r="D772" s="7">
        <v>0</v>
      </c>
      <c r="E772" s="7">
        <v>0</v>
      </c>
      <c r="F772" s="7">
        <v>0</v>
      </c>
      <c r="G772" s="7">
        <v>0</v>
      </c>
      <c r="H772" s="7">
        <v>0</v>
      </c>
      <c r="I772" s="7">
        <v>0</v>
      </c>
    </row>
    <row r="774" spans="1:9" ht="15" customHeight="1" x14ac:dyDescent="0.2">
      <c r="A774" s="3" t="s">
        <v>447</v>
      </c>
      <c r="B774" s="107">
        <v>0</v>
      </c>
      <c r="C774" s="107">
        <v>0</v>
      </c>
      <c r="D774" s="107">
        <v>0</v>
      </c>
      <c r="E774" s="107">
        <v>0</v>
      </c>
      <c r="F774" s="107">
        <v>0</v>
      </c>
      <c r="G774" s="107">
        <v>0</v>
      </c>
      <c r="H774" s="107">
        <v>0</v>
      </c>
      <c r="I774" s="107">
        <v>0</v>
      </c>
    </row>
    <row r="775" spans="1:9" ht="15" customHeight="1" x14ac:dyDescent="0.2">
      <c r="A775" s="3" t="s">
        <v>445</v>
      </c>
      <c r="B775" s="7">
        <v>0</v>
      </c>
      <c r="C775" s="7">
        <v>0</v>
      </c>
      <c r="D775" s="7">
        <v>0</v>
      </c>
      <c r="E775" s="7">
        <v>0</v>
      </c>
      <c r="F775" s="7">
        <v>0</v>
      </c>
      <c r="G775" s="7">
        <v>0</v>
      </c>
      <c r="H775" s="7">
        <v>0</v>
      </c>
      <c r="I775" s="7">
        <v>0</v>
      </c>
    </row>
    <row r="777" spans="1:9" ht="15" customHeight="1" x14ac:dyDescent="0.2">
      <c r="A777" s="3" t="s">
        <v>448</v>
      </c>
      <c r="B777" s="7">
        <v>0</v>
      </c>
      <c r="C777" s="7">
        <v>0</v>
      </c>
      <c r="D777" s="7">
        <v>0</v>
      </c>
      <c r="E777" s="7">
        <v>0</v>
      </c>
      <c r="F777" s="7">
        <v>0</v>
      </c>
      <c r="G777" s="7">
        <v>0</v>
      </c>
      <c r="H777" s="7">
        <v>0</v>
      </c>
      <c r="I777" s="7">
        <v>0</v>
      </c>
    </row>
    <row r="778" spans="1:9" ht="15" customHeight="1" x14ac:dyDescent="0.2">
      <c r="A778" s="3" t="s">
        <v>449</v>
      </c>
      <c r="B778" s="67">
        <v>3</v>
      </c>
      <c r="C778" s="67">
        <v>3</v>
      </c>
      <c r="D778" s="67">
        <v>3</v>
      </c>
      <c r="E778" s="67">
        <v>3</v>
      </c>
      <c r="F778" s="67">
        <v>3</v>
      </c>
      <c r="G778" s="67">
        <v>3</v>
      </c>
      <c r="H778" s="67">
        <v>3</v>
      </c>
      <c r="I778" s="67">
        <v>3</v>
      </c>
    </row>
    <row r="779" spans="1:9" ht="15" customHeight="1" x14ac:dyDescent="0.2">
      <c r="B779" s="67"/>
      <c r="C779" s="67"/>
      <c r="D779" s="67"/>
      <c r="E779" s="67"/>
      <c r="F779" s="67"/>
      <c r="G779" s="67"/>
      <c r="H779" s="67"/>
      <c r="I779" s="67"/>
    </row>
    <row r="781" spans="1:9" ht="15" customHeight="1" x14ac:dyDescent="0.2">
      <c r="A781" s="6" t="s">
        <v>366</v>
      </c>
      <c r="B781" s="6"/>
      <c r="C781" s="6"/>
      <c r="D781" s="6"/>
      <c r="E781" s="6"/>
      <c r="F781" s="6"/>
      <c r="G781" s="6"/>
      <c r="H781" s="6"/>
      <c r="I781" s="6"/>
    </row>
    <row r="782" spans="1:9" ht="15" customHeight="1" x14ac:dyDescent="0.2">
      <c r="A782" s="3" t="s">
        <v>391</v>
      </c>
      <c r="B782" s="67" t="s">
        <v>5</v>
      </c>
      <c r="C782" s="67" t="s">
        <v>5</v>
      </c>
      <c r="D782" s="67" t="s">
        <v>5</v>
      </c>
      <c r="E782" s="67" t="s">
        <v>5</v>
      </c>
      <c r="F782" s="67" t="s">
        <v>5</v>
      </c>
      <c r="G782" s="67" t="s">
        <v>5</v>
      </c>
      <c r="H782" s="67" t="s">
        <v>5</v>
      </c>
      <c r="I782" s="67" t="s">
        <v>5</v>
      </c>
    </row>
    <row r="783" spans="1:9" ht="15" customHeight="1" x14ac:dyDescent="0.2">
      <c r="A783" s="42" t="s">
        <v>366</v>
      </c>
      <c r="B783" s="56">
        <v>0</v>
      </c>
      <c r="C783" s="56">
        <v>0</v>
      </c>
      <c r="D783" s="56">
        <v>0</v>
      </c>
      <c r="E783" s="56">
        <v>0</v>
      </c>
      <c r="F783" s="56">
        <v>0</v>
      </c>
      <c r="G783" s="56">
        <v>0</v>
      </c>
      <c r="H783" s="56">
        <v>0</v>
      </c>
      <c r="I783" s="56">
        <v>0</v>
      </c>
    </row>
    <row r="784" spans="1:9" ht="15" customHeight="1" x14ac:dyDescent="0.2">
      <c r="A784" s="42" t="s">
        <v>392</v>
      </c>
      <c r="B784" s="56">
        <v>0.5</v>
      </c>
      <c r="C784" s="56">
        <v>0.5</v>
      </c>
      <c r="D784" s="56">
        <v>0.5</v>
      </c>
      <c r="E784" s="56">
        <v>0.5</v>
      </c>
      <c r="F784" s="56">
        <v>0.5</v>
      </c>
      <c r="G784" s="56">
        <v>0.5</v>
      </c>
      <c r="H784" s="56">
        <v>0.5</v>
      </c>
      <c r="I784" s="56">
        <v>0.5</v>
      </c>
    </row>
    <row r="785" spans="1:9" ht="15" customHeight="1" x14ac:dyDescent="0.2">
      <c r="A785" s="42" t="s">
        <v>367</v>
      </c>
      <c r="B785" s="67">
        <v>4</v>
      </c>
      <c r="C785" s="67">
        <v>4</v>
      </c>
      <c r="D785" s="67">
        <v>4</v>
      </c>
      <c r="E785" s="67">
        <v>4</v>
      </c>
      <c r="F785" s="67">
        <v>4</v>
      </c>
      <c r="G785" s="67">
        <v>4</v>
      </c>
      <c r="H785" s="67">
        <v>4</v>
      </c>
      <c r="I785" s="67">
        <v>4</v>
      </c>
    </row>
    <row r="786" spans="1:9" ht="15" customHeight="1" x14ac:dyDescent="0.2">
      <c r="A786" s="42"/>
      <c r="B786" s="67"/>
      <c r="C786" s="67"/>
      <c r="D786" s="67"/>
      <c r="E786" s="67"/>
      <c r="F786" s="67"/>
      <c r="G786" s="67"/>
      <c r="H786" s="67"/>
      <c r="I786" s="67"/>
    </row>
    <row r="787" spans="1:9" ht="15" customHeight="1" x14ac:dyDescent="0.2">
      <c r="A787" s="1"/>
    </row>
    <row r="788" spans="1:9" ht="15" customHeight="1" x14ac:dyDescent="0.2">
      <c r="A788" s="6" t="s">
        <v>377</v>
      </c>
      <c r="B788" s="6"/>
      <c r="C788" s="6"/>
      <c r="D788" s="6"/>
      <c r="E788" s="6"/>
      <c r="F788" s="6"/>
      <c r="G788" s="6"/>
      <c r="H788" s="6"/>
      <c r="I788" s="6"/>
    </row>
    <row r="789" spans="1:9" ht="15" customHeight="1" x14ac:dyDescent="0.2">
      <c r="A789" s="42" t="s">
        <v>361</v>
      </c>
      <c r="B789" s="67">
        <v>1</v>
      </c>
      <c r="C789" s="67">
        <v>1</v>
      </c>
      <c r="D789" s="67">
        <v>1</v>
      </c>
      <c r="E789" s="67">
        <v>1</v>
      </c>
      <c r="F789" s="67">
        <v>1</v>
      </c>
      <c r="G789" s="67">
        <v>1</v>
      </c>
      <c r="H789" s="67">
        <v>1</v>
      </c>
      <c r="I789" s="67">
        <v>1</v>
      </c>
    </row>
    <row r="790" spans="1:9" ht="15" customHeight="1" x14ac:dyDescent="0.2">
      <c r="A790" s="42" t="s">
        <v>365</v>
      </c>
      <c r="B790" s="107">
        <v>0</v>
      </c>
      <c r="C790" s="107">
        <v>0</v>
      </c>
      <c r="D790" s="107">
        <v>0</v>
      </c>
      <c r="E790" s="107">
        <v>0</v>
      </c>
      <c r="F790" s="107">
        <v>0</v>
      </c>
      <c r="G790" s="107">
        <v>0</v>
      </c>
      <c r="H790" s="107">
        <v>0</v>
      </c>
      <c r="I790" s="107">
        <v>0</v>
      </c>
    </row>
    <row r="791" spans="1:9" ht="15" customHeight="1" x14ac:dyDescent="0.2">
      <c r="A791" s="42" t="s">
        <v>363</v>
      </c>
      <c r="B791" s="56">
        <v>0</v>
      </c>
      <c r="C791" s="56">
        <v>0</v>
      </c>
      <c r="D791" s="56">
        <v>0</v>
      </c>
      <c r="E791" s="56">
        <v>0</v>
      </c>
      <c r="F791" s="56">
        <v>0</v>
      </c>
      <c r="G791" s="56">
        <v>0</v>
      </c>
      <c r="H791" s="56">
        <v>0</v>
      </c>
      <c r="I791" s="56">
        <v>0</v>
      </c>
    </row>
    <row r="792" spans="1:9" ht="15" customHeight="1" x14ac:dyDescent="0.2">
      <c r="A792" s="42" t="s">
        <v>362</v>
      </c>
      <c r="B792" s="108">
        <v>0</v>
      </c>
      <c r="C792" s="108">
        <v>0</v>
      </c>
      <c r="D792" s="108">
        <v>0</v>
      </c>
      <c r="E792" s="108">
        <v>0</v>
      </c>
      <c r="F792" s="108">
        <v>0</v>
      </c>
      <c r="G792" s="108">
        <v>0</v>
      </c>
      <c r="H792" s="108">
        <v>0</v>
      </c>
      <c r="I792" s="108">
        <v>0</v>
      </c>
    </row>
    <row r="795" spans="1:9" ht="15" customHeight="1" x14ac:dyDescent="0.2">
      <c r="A795" s="6" t="s">
        <v>493</v>
      </c>
      <c r="B795" s="6"/>
      <c r="C795" s="6"/>
      <c r="D795" s="6"/>
      <c r="E795" s="6"/>
      <c r="F795" s="6"/>
      <c r="G795" s="6"/>
      <c r="H795" s="6"/>
      <c r="I795" s="6"/>
    </row>
    <row r="796" spans="1:9" ht="15" customHeight="1" x14ac:dyDescent="0.2">
      <c r="A796" s="3" t="s">
        <v>494</v>
      </c>
      <c r="B796" s="60">
        <v>10</v>
      </c>
      <c r="C796" s="60">
        <v>10</v>
      </c>
      <c r="D796" s="60">
        <v>10</v>
      </c>
      <c r="E796" s="60">
        <v>10</v>
      </c>
      <c r="F796" s="60">
        <v>10</v>
      </c>
      <c r="G796" s="60">
        <v>10</v>
      </c>
      <c r="H796" s="60">
        <v>10</v>
      </c>
      <c r="I796" s="60">
        <v>10</v>
      </c>
    </row>
    <row r="797" spans="1:9" ht="15" customHeight="1" x14ac:dyDescent="0.2">
      <c r="A797" s="3" t="s">
        <v>401</v>
      </c>
      <c r="B797" s="67" t="s">
        <v>388</v>
      </c>
      <c r="C797" s="67" t="s">
        <v>388</v>
      </c>
      <c r="D797" s="67" t="s">
        <v>388</v>
      </c>
      <c r="E797" s="67" t="s">
        <v>388</v>
      </c>
      <c r="F797" s="67" t="s">
        <v>388</v>
      </c>
      <c r="G797" s="67" t="s">
        <v>388</v>
      </c>
      <c r="H797" s="67" t="s">
        <v>5</v>
      </c>
      <c r="I797" s="67" t="s">
        <v>388</v>
      </c>
    </row>
    <row r="798" spans="1:9" ht="15" customHeight="1" x14ac:dyDescent="0.2">
      <c r="A798" s="3" t="s">
        <v>402</v>
      </c>
      <c r="B798" s="5">
        <v>0.12</v>
      </c>
      <c r="C798" s="5">
        <v>0.12</v>
      </c>
      <c r="D798" s="5">
        <v>0.12</v>
      </c>
      <c r="E798" s="5">
        <v>0.12</v>
      </c>
      <c r="F798" s="5">
        <v>0.12</v>
      </c>
      <c r="G798" s="5">
        <v>0.12</v>
      </c>
      <c r="H798" s="5">
        <v>0.12</v>
      </c>
      <c r="I798" s="5">
        <v>0.12</v>
      </c>
    </row>
    <row r="799" spans="1:9" ht="15" customHeight="1" x14ac:dyDescent="0.2">
      <c r="A799" s="3" t="s">
        <v>400</v>
      </c>
      <c r="B799" s="67" t="s">
        <v>388</v>
      </c>
      <c r="C799" s="67" t="s">
        <v>388</v>
      </c>
      <c r="D799" s="67" t="s">
        <v>388</v>
      </c>
      <c r="E799" s="67" t="s">
        <v>388</v>
      </c>
      <c r="F799" s="67" t="s">
        <v>388</v>
      </c>
      <c r="G799" s="67" t="s">
        <v>388</v>
      </c>
      <c r="H799" s="67" t="s">
        <v>388</v>
      </c>
      <c r="I799" s="67" t="s">
        <v>388</v>
      </c>
    </row>
    <row r="800" spans="1:9" ht="15" customHeight="1" x14ac:dyDescent="0.2">
      <c r="A800" s="41" t="s">
        <v>472</v>
      </c>
      <c r="B800" s="5">
        <f t="shared" ref="B800:I800" si="325">B802+0.045</f>
        <v>6.4500000000000002E-2</v>
      </c>
      <c r="C800" s="5">
        <f t="shared" si="325"/>
        <v>6.5000000000000002E-2</v>
      </c>
      <c r="D800" s="5">
        <f t="shared" si="325"/>
        <v>6.9800000000000001E-2</v>
      </c>
      <c r="E800" s="5">
        <f t="shared" si="325"/>
        <v>7.0999999999999994E-2</v>
      </c>
      <c r="F800" s="5">
        <f t="shared" si="325"/>
        <v>7.1999999999999995E-2</v>
      </c>
      <c r="G800" s="5">
        <f t="shared" si="325"/>
        <v>7.22E-2</v>
      </c>
      <c r="H800" s="5">
        <f t="shared" si="325"/>
        <v>7.5399999999999995E-2</v>
      </c>
      <c r="I800" s="5">
        <f t="shared" si="325"/>
        <v>7.4999999999999997E-2</v>
      </c>
    </row>
    <row r="801" spans="1:9" ht="15" customHeight="1" x14ac:dyDescent="0.2">
      <c r="A801" s="3" t="s">
        <v>466</v>
      </c>
      <c r="B801" s="5">
        <v>0.08</v>
      </c>
      <c r="C801" s="5">
        <v>0.08</v>
      </c>
      <c r="D801" s="5">
        <v>0.08</v>
      </c>
      <c r="E801" s="5">
        <v>0.08</v>
      </c>
      <c r="F801" s="5">
        <v>0.08</v>
      </c>
      <c r="G801" s="5">
        <v>0.08</v>
      </c>
      <c r="H801" s="5">
        <v>0.08</v>
      </c>
      <c r="I801" s="5">
        <v>0.08</v>
      </c>
    </row>
    <row r="802" spans="1:9" ht="15" customHeight="1" x14ac:dyDescent="0.2">
      <c r="A802" s="3" t="s">
        <v>459</v>
      </c>
      <c r="B802" s="5">
        <f t="shared" ref="B802:I802" si="326">B564</f>
        <v>1.95E-2</v>
      </c>
      <c r="C802" s="5">
        <f t="shared" si="326"/>
        <v>0.02</v>
      </c>
      <c r="D802" s="5">
        <f t="shared" si="326"/>
        <v>2.4799999999999999E-2</v>
      </c>
      <c r="E802" s="5">
        <f t="shared" si="326"/>
        <v>2.5999999999999999E-2</v>
      </c>
      <c r="F802" s="5">
        <f t="shared" si="326"/>
        <v>2.7E-2</v>
      </c>
      <c r="G802" s="5">
        <f t="shared" si="326"/>
        <v>2.7199999999999998E-2</v>
      </c>
      <c r="H802" s="5">
        <f t="shared" si="326"/>
        <v>3.04E-2</v>
      </c>
      <c r="I802" s="5">
        <f t="shared" si="326"/>
        <v>0.03</v>
      </c>
    </row>
    <row r="803" spans="1:9" ht="15" customHeight="1" x14ac:dyDescent="0.2">
      <c r="A803" s="3" t="s">
        <v>397</v>
      </c>
      <c r="B803" s="67" t="s">
        <v>5</v>
      </c>
      <c r="C803" s="67" t="s">
        <v>5</v>
      </c>
      <c r="D803" s="67" t="s">
        <v>5</v>
      </c>
      <c r="E803" s="67" t="s">
        <v>5</v>
      </c>
      <c r="F803" s="67" t="s">
        <v>5</v>
      </c>
      <c r="G803" s="67" t="s">
        <v>5</v>
      </c>
      <c r="H803" s="67" t="s">
        <v>5</v>
      </c>
      <c r="I803" s="67" t="s">
        <v>5</v>
      </c>
    </row>
    <row r="804" spans="1:9" ht="15" customHeight="1" x14ac:dyDescent="0.2">
      <c r="A804" s="1"/>
    </row>
    <row r="805" spans="1:9" ht="15" customHeight="1" x14ac:dyDescent="0.2">
      <c r="A805" s="1"/>
    </row>
    <row r="806" spans="1:9" ht="15" customHeight="1" x14ac:dyDescent="0.2">
      <c r="A806" s="6" t="s">
        <v>492</v>
      </c>
      <c r="B806" s="6"/>
      <c r="C806" s="6"/>
      <c r="D806" s="6"/>
      <c r="E806" s="6"/>
      <c r="F806" s="6"/>
      <c r="G806" s="6"/>
      <c r="H806" s="6"/>
      <c r="I806" s="6"/>
    </row>
    <row r="807" spans="1:9" ht="15" customHeight="1" x14ac:dyDescent="0.2">
      <c r="A807" s="3" t="s">
        <v>491</v>
      </c>
      <c r="B807" s="60">
        <v>5</v>
      </c>
      <c r="C807" s="60">
        <v>5</v>
      </c>
      <c r="D807" s="60">
        <v>5</v>
      </c>
      <c r="E807" s="60">
        <v>5</v>
      </c>
      <c r="F807" s="60">
        <v>5</v>
      </c>
      <c r="G807" s="60">
        <v>5</v>
      </c>
      <c r="H807" s="60">
        <v>5</v>
      </c>
      <c r="I807" s="60">
        <v>5</v>
      </c>
    </row>
    <row r="808" spans="1:9" ht="15" customHeight="1" x14ac:dyDescent="0.2">
      <c r="A808" s="42" t="s">
        <v>32</v>
      </c>
      <c r="B808" s="109">
        <f t="shared" ref="B808:I808" ca="1" si="327">B404</f>
        <v>8.5616478250876329E-2</v>
      </c>
      <c r="C808" s="109">
        <f t="shared" ca="1" si="327"/>
        <v>8.6399225155159756E-2</v>
      </c>
      <c r="D808" s="109">
        <f t="shared" ca="1" si="327"/>
        <v>9.239676427316143E-2</v>
      </c>
      <c r="E808" s="109">
        <f t="shared" ca="1" si="327"/>
        <v>0.10740672303923111</v>
      </c>
      <c r="F808" s="109">
        <f t="shared" ca="1" si="327"/>
        <v>0.10008009908896695</v>
      </c>
      <c r="G808" s="109">
        <f t="shared" ca="1" si="327"/>
        <v>0.10029247285368061</v>
      </c>
      <c r="H808" s="109">
        <f t="shared" ca="1" si="327"/>
        <v>0.10154649937414874</v>
      </c>
      <c r="I808" s="109">
        <f t="shared" ca="1" si="327"/>
        <v>0.11800171037140457</v>
      </c>
    </row>
    <row r="809" spans="1:9" ht="15" customHeight="1" x14ac:dyDescent="0.2">
      <c r="A809" s="3" t="s">
        <v>24</v>
      </c>
      <c r="B809" s="110">
        <v>2</v>
      </c>
      <c r="C809" s="110">
        <v>2</v>
      </c>
      <c r="D809" s="110">
        <v>2</v>
      </c>
      <c r="E809" s="110">
        <v>2.66</v>
      </c>
      <c r="F809" s="110">
        <v>2.4500000000000002</v>
      </c>
      <c r="G809" s="110">
        <v>2.4500000000000002</v>
      </c>
      <c r="H809" s="110">
        <v>2.4500000000000002</v>
      </c>
      <c r="I809" s="110">
        <v>2.66</v>
      </c>
    </row>
    <row r="810" spans="1:9" ht="15" customHeight="1" x14ac:dyDescent="0.2">
      <c r="A810" s="3" t="s">
        <v>26</v>
      </c>
      <c r="B810" s="5">
        <v>0.25</v>
      </c>
      <c r="C810" s="5">
        <v>0.25</v>
      </c>
      <c r="D810" s="5">
        <v>0.25</v>
      </c>
      <c r="E810" s="5">
        <v>0.25</v>
      </c>
      <c r="F810" s="5">
        <v>0.25</v>
      </c>
      <c r="G810" s="5">
        <v>0.25</v>
      </c>
      <c r="H810" s="5">
        <v>0.25</v>
      </c>
      <c r="I810" s="5">
        <v>0.25</v>
      </c>
    </row>
    <row r="811" spans="1:9" ht="15" customHeight="1" x14ac:dyDescent="0.2">
      <c r="A811" s="3" t="s">
        <v>25</v>
      </c>
      <c r="B811" s="5">
        <v>0.04</v>
      </c>
      <c r="C811" s="5">
        <v>0.04</v>
      </c>
      <c r="D811" s="5">
        <v>0.04</v>
      </c>
      <c r="E811" s="5">
        <v>0.04</v>
      </c>
      <c r="F811" s="5">
        <v>0.04</v>
      </c>
      <c r="G811" s="5">
        <v>0.04</v>
      </c>
      <c r="H811" s="5">
        <v>0.04</v>
      </c>
      <c r="I811" s="5">
        <v>0.05</v>
      </c>
    </row>
    <row r="812" spans="1:9" ht="15" customHeight="1" x14ac:dyDescent="0.2">
      <c r="A812" s="1"/>
    </row>
    <row r="813" spans="1:9" ht="15" customHeight="1" x14ac:dyDescent="0.2">
      <c r="A813" s="1"/>
    </row>
    <row r="814" spans="1:9" ht="15" customHeight="1" x14ac:dyDescent="0.2">
      <c r="A814" s="6" t="s">
        <v>496</v>
      </c>
      <c r="B814" s="6"/>
      <c r="C814" s="6"/>
      <c r="D814" s="6"/>
      <c r="E814" s="6"/>
      <c r="F814" s="6"/>
      <c r="G814" s="6"/>
      <c r="H814" s="6"/>
      <c r="I814" s="6"/>
    </row>
    <row r="815" spans="1:9" ht="15" customHeight="1" x14ac:dyDescent="0.2">
      <c r="A815" s="3" t="s">
        <v>486</v>
      </c>
      <c r="B815" s="39">
        <f t="shared" ref="B815:I815" ca="1" si="328">B277/B305</f>
        <v>8.2496896200589295E-2</v>
      </c>
      <c r="C815" s="39">
        <f t="shared" ca="1" si="328"/>
        <v>8.3265421940994122E-2</v>
      </c>
      <c r="D815" s="39">
        <f t="shared" ca="1" si="328"/>
        <v>8.5220699915796075E-2</v>
      </c>
      <c r="E815" s="39">
        <f t="shared" ca="1" si="328"/>
        <v>6.4346042991900512E-2</v>
      </c>
      <c r="F815" s="39">
        <f t="shared" ca="1" si="328"/>
        <v>7.0363638996214131E-2</v>
      </c>
      <c r="G815" s="39">
        <f t="shared" ca="1" si="328"/>
        <v>7.1300500125317884E-2</v>
      </c>
      <c r="H815" s="39">
        <f t="shared" ca="1" si="328"/>
        <v>7.0341049883614296E-2</v>
      </c>
      <c r="I815" s="39">
        <f t="shared" ca="1" si="328"/>
        <v>7.9195535600817032E-2</v>
      </c>
    </row>
    <row r="816" spans="1:9" ht="15" customHeight="1" x14ac:dyDescent="0.2">
      <c r="A816" s="3" t="s">
        <v>487</v>
      </c>
      <c r="B816" s="57">
        <v>0</v>
      </c>
      <c r="C816" s="57">
        <v>0</v>
      </c>
      <c r="D816" s="57">
        <v>0</v>
      </c>
      <c r="E816" s="57">
        <v>0</v>
      </c>
      <c r="F816" s="57">
        <v>0</v>
      </c>
      <c r="G816" s="57">
        <v>0</v>
      </c>
      <c r="H816" s="57">
        <v>0</v>
      </c>
      <c r="I816" s="57">
        <v>0</v>
      </c>
    </row>
    <row r="817" spans="1:9" ht="15" customHeight="1" x14ac:dyDescent="0.2">
      <c r="A817" s="3" t="s">
        <v>6</v>
      </c>
      <c r="B817" s="40">
        <v>0.26906916612798965</v>
      </c>
      <c r="C817" s="40">
        <v>0.26179554390563564</v>
      </c>
      <c r="D817" s="40">
        <v>0.26194211994421202</v>
      </c>
      <c r="E817" s="40">
        <v>0.2620963710886734</v>
      </c>
      <c r="F817" s="40">
        <v>0.2611</v>
      </c>
      <c r="G817" s="40">
        <v>0.26184425998080074</v>
      </c>
      <c r="H817" s="40">
        <v>0.26150000000000001</v>
      </c>
      <c r="I817" s="40">
        <v>0.2620963710886734</v>
      </c>
    </row>
    <row r="818" spans="1:9" ht="15" customHeight="1" x14ac:dyDescent="0.2">
      <c r="A818" s="3" t="s">
        <v>23</v>
      </c>
      <c r="B818" s="40">
        <v>0.36</v>
      </c>
      <c r="C818" s="40">
        <v>0.36</v>
      </c>
      <c r="D818" s="40">
        <v>0.36</v>
      </c>
      <c r="E818" s="40">
        <v>0.38</v>
      </c>
      <c r="F818" s="40">
        <v>0.38</v>
      </c>
      <c r="G818" s="40">
        <v>0.38</v>
      </c>
      <c r="H818" s="40">
        <v>0.38</v>
      </c>
      <c r="I818" s="40">
        <v>0.38</v>
      </c>
    </row>
    <row r="819" spans="1:9" ht="15" customHeight="1" x14ac:dyDescent="0.2">
      <c r="A819" s="3" t="s">
        <v>19</v>
      </c>
      <c r="B819" s="57">
        <v>63971</v>
      </c>
      <c r="C819" s="57">
        <v>59286</v>
      </c>
      <c r="D819" s="57">
        <v>52503</v>
      </c>
      <c r="E819" s="57">
        <v>51368</v>
      </c>
      <c r="F819" s="57">
        <v>50287</v>
      </c>
      <c r="G819" s="57">
        <v>49252</v>
      </c>
      <c r="H819" s="57">
        <v>48999</v>
      </c>
      <c r="I819" s="57">
        <v>49913</v>
      </c>
    </row>
    <row r="820" spans="1:9" ht="15" customHeight="1" x14ac:dyDescent="0.2">
      <c r="A820" s="3" t="s">
        <v>18</v>
      </c>
      <c r="B820" s="57">
        <v>212164</v>
      </c>
      <c r="C820" s="57">
        <v>199800</v>
      </c>
      <c r="D820" s="57">
        <v>182795</v>
      </c>
      <c r="E820" s="57">
        <v>178144</v>
      </c>
      <c r="F820" s="57">
        <v>176035</v>
      </c>
      <c r="G820" s="57">
        <v>173992</v>
      </c>
      <c r="H820" s="57">
        <v>170910</v>
      </c>
      <c r="I820" s="57">
        <v>169404</v>
      </c>
    </row>
    <row r="822" spans="1:9" ht="15" customHeight="1" x14ac:dyDescent="0.2">
      <c r="A822" s="35" t="s">
        <v>382</v>
      </c>
      <c r="B822" s="35"/>
      <c r="C822" s="35"/>
      <c r="D822" s="35"/>
      <c r="E822" s="35"/>
      <c r="F822" s="35"/>
      <c r="G822" s="35"/>
      <c r="H822" s="35"/>
      <c r="I822" s="35"/>
    </row>
    <row r="823" spans="1:9" ht="15" customHeight="1" x14ac:dyDescent="0.2">
      <c r="A823" s="3" t="s">
        <v>33</v>
      </c>
      <c r="B823" s="57">
        <v>21000</v>
      </c>
      <c r="C823" s="57">
        <v>21000</v>
      </c>
      <c r="D823" s="57">
        <v>21000</v>
      </c>
      <c r="E823" s="57">
        <v>23000</v>
      </c>
      <c r="F823" s="57">
        <v>23000</v>
      </c>
      <c r="G823" s="57">
        <v>23000</v>
      </c>
      <c r="H823" s="57">
        <v>23000</v>
      </c>
      <c r="I823" s="57">
        <v>20700</v>
      </c>
    </row>
    <row r="824" spans="1:9" ht="15" customHeight="1" x14ac:dyDescent="0.2">
      <c r="A824" s="3" t="s">
        <v>379</v>
      </c>
      <c r="B824" s="5">
        <v>0.15</v>
      </c>
      <c r="C824" s="5">
        <v>0.15</v>
      </c>
      <c r="D824" s="5">
        <v>0.15</v>
      </c>
      <c r="E824" s="5">
        <v>0.15</v>
      </c>
      <c r="F824" s="5">
        <v>0.15</v>
      </c>
      <c r="G824" s="5">
        <v>0.15</v>
      </c>
      <c r="H824" s="5">
        <v>0.15</v>
      </c>
      <c r="I824" s="5">
        <v>0.15</v>
      </c>
    </row>
    <row r="827" spans="1:9" ht="15" customHeight="1" x14ac:dyDescent="0.2">
      <c r="A827" s="35" t="s">
        <v>130</v>
      </c>
      <c r="B827" s="35"/>
      <c r="C827" s="35"/>
      <c r="D827" s="35"/>
      <c r="E827" s="35"/>
      <c r="F827" s="35"/>
      <c r="G827" s="35"/>
      <c r="H827" s="35"/>
      <c r="I827" s="35"/>
    </row>
    <row r="828" spans="1:9" ht="15" customHeight="1" x14ac:dyDescent="0.2">
      <c r="A828" s="48" t="s">
        <v>133</v>
      </c>
      <c r="B828" s="94">
        <f t="shared" ref="B828:I828" ca="1" si="329">OFFSET(B757,B757,0)</f>
        <v>1.0510200962651641</v>
      </c>
      <c r="C828" s="94">
        <f t="shared" ca="1" si="329"/>
        <v>1.0510200962651641</v>
      </c>
      <c r="D828" s="94">
        <f t="shared" ca="1" si="329"/>
        <v>1.0510200962651641</v>
      </c>
      <c r="E828" s="94">
        <f t="shared" ca="1" si="329"/>
        <v>1.2457669250257106</v>
      </c>
      <c r="F828" s="94">
        <f t="shared" ca="1" si="329"/>
        <v>1.2444335127542099</v>
      </c>
      <c r="G828" s="94">
        <f t="shared" ca="1" si="329"/>
        <v>1.2444335127542099</v>
      </c>
      <c r="H828" s="94">
        <f t="shared" ca="1" si="329"/>
        <v>1.2444335127542099</v>
      </c>
      <c r="I828" s="94">
        <f t="shared" ca="1" si="329"/>
        <v>1.3559317585301836</v>
      </c>
    </row>
    <row r="829" spans="1:9" ht="15" customHeight="1" x14ac:dyDescent="0.2">
      <c r="A829" s="48" t="s">
        <v>131</v>
      </c>
      <c r="B829" s="52">
        <f t="shared" ref="B829:I829" ca="1" si="330">OFFSET(B762,B762,0)</f>
        <v>6.4352921514986672E-2</v>
      </c>
      <c r="C829" s="52">
        <f t="shared" ca="1" si="330"/>
        <v>6.4352921514986672E-2</v>
      </c>
      <c r="D829" s="52">
        <f t="shared" ca="1" si="330"/>
        <v>6.5861604653835504E-2</v>
      </c>
      <c r="E829" s="52">
        <f t="shared" ca="1" si="330"/>
        <v>6.6287686648085528E-2</v>
      </c>
      <c r="F829" s="52">
        <f t="shared" ca="1" si="330"/>
        <v>5.9754749337324775E-2</v>
      </c>
      <c r="G829" s="52">
        <f t="shared" ca="1" si="330"/>
        <v>5.9754749337324775E-2</v>
      </c>
      <c r="H829" s="52">
        <f t="shared" ca="1" si="330"/>
        <v>5.8254749337324781E-2</v>
      </c>
      <c r="I829" s="52">
        <f t="shared" ca="1" si="330"/>
        <v>6.6045728963375794E-2</v>
      </c>
    </row>
    <row r="831" spans="1:9" ht="15" customHeight="1" x14ac:dyDescent="0.2">
      <c r="A831" s="3" t="s">
        <v>52</v>
      </c>
      <c r="B831" s="60" t="s">
        <v>54</v>
      </c>
      <c r="C831" s="60" t="s">
        <v>54</v>
      </c>
      <c r="D831" s="60" t="s">
        <v>54</v>
      </c>
      <c r="E831" s="60" t="s">
        <v>54</v>
      </c>
      <c r="F831" s="60" t="s">
        <v>54</v>
      </c>
      <c r="G831" s="60" t="s">
        <v>54</v>
      </c>
      <c r="H831" s="60" t="s">
        <v>54</v>
      </c>
      <c r="I831" s="60" t="s">
        <v>54</v>
      </c>
    </row>
    <row r="832" spans="1:9" ht="15" customHeight="1" x14ac:dyDescent="0.2">
      <c r="A832" s="3" t="s">
        <v>39</v>
      </c>
      <c r="B832" s="58">
        <v>1.0510200962651641</v>
      </c>
      <c r="C832" s="58">
        <v>1.0510200962651641</v>
      </c>
      <c r="D832" s="58">
        <v>1.0510200962651641</v>
      </c>
      <c r="E832" s="58">
        <v>1.2457669250257106</v>
      </c>
      <c r="F832" s="58">
        <v>1.2444335127542099</v>
      </c>
      <c r="G832" s="58">
        <v>1.2444335127542099</v>
      </c>
      <c r="H832" s="58">
        <v>1.2444335127542099</v>
      </c>
      <c r="I832" s="58">
        <v>1.3559317585301836</v>
      </c>
    </row>
    <row r="833" spans="1:9" ht="15" customHeight="1" x14ac:dyDescent="0.2">
      <c r="A833" s="3" t="s">
        <v>40</v>
      </c>
      <c r="B833" s="58">
        <v>0</v>
      </c>
      <c r="C833" s="58">
        <v>0</v>
      </c>
      <c r="D833" s="58">
        <v>0</v>
      </c>
      <c r="E833" s="58">
        <v>0</v>
      </c>
      <c r="F833" s="58">
        <v>0</v>
      </c>
      <c r="G833" s="58">
        <v>0</v>
      </c>
      <c r="H833" s="58">
        <v>0</v>
      </c>
      <c r="I833" s="58">
        <v>0</v>
      </c>
    </row>
    <row r="834" spans="1:9" ht="15" customHeight="1" x14ac:dyDescent="0.2">
      <c r="A834" s="3" t="s">
        <v>41</v>
      </c>
      <c r="B834" s="58">
        <v>0</v>
      </c>
      <c r="C834" s="58">
        <v>0</v>
      </c>
      <c r="D834" s="58">
        <v>0</v>
      </c>
      <c r="E834" s="58">
        <v>0</v>
      </c>
      <c r="F834" s="58">
        <v>0</v>
      </c>
      <c r="G834" s="58">
        <v>0</v>
      </c>
      <c r="H834" s="58">
        <v>0</v>
      </c>
      <c r="I834" s="58">
        <v>0</v>
      </c>
    </row>
    <row r="835" spans="1:9" ht="15" customHeight="1" x14ac:dyDescent="0.2">
      <c r="A835" s="3" t="s">
        <v>42</v>
      </c>
      <c r="B835" s="58">
        <v>0</v>
      </c>
      <c r="C835" s="58">
        <v>0</v>
      </c>
      <c r="D835" s="58">
        <v>0</v>
      </c>
      <c r="E835" s="58">
        <v>0</v>
      </c>
      <c r="F835" s="58">
        <v>0</v>
      </c>
      <c r="G835" s="58">
        <v>0</v>
      </c>
      <c r="H835" s="58">
        <v>0</v>
      </c>
      <c r="I835" s="58">
        <v>0</v>
      </c>
    </row>
    <row r="836" spans="1:9" ht="15" customHeight="1" x14ac:dyDescent="0.2">
      <c r="A836" s="3" t="s">
        <v>43</v>
      </c>
      <c r="B836" s="58">
        <v>0</v>
      </c>
      <c r="C836" s="58">
        <v>0</v>
      </c>
      <c r="D836" s="58">
        <v>0</v>
      </c>
      <c r="E836" s="58">
        <v>0</v>
      </c>
      <c r="F836" s="58">
        <v>0</v>
      </c>
      <c r="G836" s="58">
        <v>0</v>
      </c>
      <c r="H836" s="58">
        <v>0</v>
      </c>
      <c r="I836" s="58">
        <v>0</v>
      </c>
    </row>
    <row r="837" spans="1:9" ht="15" customHeight="1" x14ac:dyDescent="0.2">
      <c r="A837" s="3" t="s">
        <v>44</v>
      </c>
      <c r="B837" s="58">
        <v>0</v>
      </c>
      <c r="C837" s="58">
        <v>0</v>
      </c>
      <c r="D837" s="58">
        <v>0</v>
      </c>
      <c r="E837" s="58">
        <v>0</v>
      </c>
      <c r="F837" s="58">
        <v>0</v>
      </c>
      <c r="G837" s="58">
        <v>0</v>
      </c>
      <c r="H837" s="58">
        <v>0</v>
      </c>
      <c r="I837" s="58">
        <v>0</v>
      </c>
    </row>
    <row r="838" spans="1:9" ht="15" customHeight="1" x14ac:dyDescent="0.2">
      <c r="A838" s="3" t="s">
        <v>45</v>
      </c>
      <c r="B838" s="58">
        <v>0</v>
      </c>
      <c r="C838" s="58">
        <v>0</v>
      </c>
      <c r="D838" s="58">
        <v>0</v>
      </c>
      <c r="E838" s="58">
        <v>0</v>
      </c>
      <c r="F838" s="58">
        <v>0</v>
      </c>
      <c r="G838" s="58">
        <v>0</v>
      </c>
      <c r="H838" s="58">
        <v>0</v>
      </c>
      <c r="I838" s="58">
        <v>0</v>
      </c>
    </row>
    <row r="839" spans="1:9" ht="15" customHeight="1" x14ac:dyDescent="0.2">
      <c r="A839" s="3" t="s">
        <v>46</v>
      </c>
      <c r="B839" s="58">
        <v>0</v>
      </c>
      <c r="C839" s="58">
        <v>0</v>
      </c>
      <c r="D839" s="58">
        <v>0</v>
      </c>
      <c r="E839" s="58">
        <v>0</v>
      </c>
      <c r="F839" s="58">
        <v>0</v>
      </c>
      <c r="G839" s="58">
        <v>0</v>
      </c>
      <c r="H839" s="58">
        <v>0</v>
      </c>
      <c r="I839" s="58">
        <v>0</v>
      </c>
    </row>
    <row r="840" spans="1:9" ht="15" customHeight="1" x14ac:dyDescent="0.2">
      <c r="A840" s="3" t="s">
        <v>47</v>
      </c>
      <c r="B840" s="58">
        <v>0</v>
      </c>
      <c r="C840" s="58">
        <v>0</v>
      </c>
      <c r="D840" s="58">
        <v>0</v>
      </c>
      <c r="E840" s="58">
        <v>0</v>
      </c>
      <c r="F840" s="58">
        <v>0</v>
      </c>
      <c r="G840" s="58">
        <v>0</v>
      </c>
      <c r="H840" s="58">
        <v>0</v>
      </c>
      <c r="I840" s="58">
        <v>0</v>
      </c>
    </row>
    <row r="841" spans="1:9" ht="15" customHeight="1" x14ac:dyDescent="0.2">
      <c r="A841" s="3" t="s">
        <v>48</v>
      </c>
      <c r="B841" s="58">
        <v>0</v>
      </c>
      <c r="C841" s="58">
        <v>0</v>
      </c>
      <c r="D841" s="58">
        <v>0</v>
      </c>
      <c r="E841" s="58">
        <v>0</v>
      </c>
      <c r="F841" s="58">
        <v>0</v>
      </c>
      <c r="G841" s="58">
        <v>0</v>
      </c>
      <c r="H841" s="58">
        <v>0</v>
      </c>
      <c r="I841" s="58">
        <v>0</v>
      </c>
    </row>
    <row r="843" spans="1:9" ht="15" customHeight="1" x14ac:dyDescent="0.2">
      <c r="A843" s="3" t="s">
        <v>50</v>
      </c>
    </row>
    <row r="844" spans="1:9" ht="15" customHeight="1" x14ac:dyDescent="0.2">
      <c r="A844" s="3" t="str">
        <f t="shared" ref="A844:A853" si="331">A832</f>
        <v>B1</v>
      </c>
      <c r="B844" s="58">
        <v>2.6520464108360962</v>
      </c>
      <c r="C844" s="58">
        <v>3.0674640323536453</v>
      </c>
      <c r="D844" s="58">
        <v>2.58752966780792</v>
      </c>
      <c r="E844" s="58">
        <v>2.3959068447948018</v>
      </c>
      <c r="F844" s="58">
        <v>2.023311640708231</v>
      </c>
      <c r="G844" s="58">
        <v>1.9981962362759009</v>
      </c>
      <c r="H844" s="58">
        <v>1.9126507079982267</v>
      </c>
      <c r="I844" s="58">
        <v>1.9615846900553036</v>
      </c>
    </row>
    <row r="845" spans="1:9" ht="15" customHeight="1" x14ac:dyDescent="0.2">
      <c r="A845" s="3" t="str">
        <f t="shared" si="331"/>
        <v>B2</v>
      </c>
      <c r="B845" s="58">
        <v>0</v>
      </c>
      <c r="C845" s="58">
        <v>0</v>
      </c>
      <c r="D845" s="58">
        <v>0</v>
      </c>
      <c r="E845" s="58">
        <v>0</v>
      </c>
      <c r="F845" s="58">
        <v>0</v>
      </c>
      <c r="G845" s="58">
        <v>0</v>
      </c>
      <c r="H845" s="58">
        <v>0</v>
      </c>
      <c r="I845" s="58">
        <v>0</v>
      </c>
    </row>
    <row r="846" spans="1:9" ht="15" customHeight="1" x14ac:dyDescent="0.2">
      <c r="A846" s="3" t="str">
        <f t="shared" si="331"/>
        <v>B3</v>
      </c>
      <c r="B846" s="58">
        <v>0</v>
      </c>
      <c r="C846" s="58">
        <v>0</v>
      </c>
      <c r="D846" s="58">
        <v>0</v>
      </c>
      <c r="E846" s="58">
        <v>0</v>
      </c>
      <c r="F846" s="58">
        <v>0</v>
      </c>
      <c r="G846" s="58">
        <v>0</v>
      </c>
      <c r="H846" s="58">
        <v>0</v>
      </c>
      <c r="I846" s="58">
        <v>0</v>
      </c>
    </row>
    <row r="847" spans="1:9" ht="15" customHeight="1" x14ac:dyDescent="0.2">
      <c r="A847" s="3" t="str">
        <f t="shared" si="331"/>
        <v>B4</v>
      </c>
      <c r="B847" s="58">
        <v>0</v>
      </c>
      <c r="C847" s="58">
        <v>0</v>
      </c>
      <c r="D847" s="58">
        <v>0</v>
      </c>
      <c r="E847" s="58">
        <v>0</v>
      </c>
      <c r="F847" s="58">
        <v>0</v>
      </c>
      <c r="G847" s="58">
        <v>0</v>
      </c>
      <c r="H847" s="58">
        <v>0</v>
      </c>
      <c r="I847" s="58">
        <v>0</v>
      </c>
    </row>
    <row r="848" spans="1:9" ht="15" customHeight="1" x14ac:dyDescent="0.2">
      <c r="A848" s="3" t="str">
        <f t="shared" si="331"/>
        <v>B5</v>
      </c>
      <c r="B848" s="58">
        <v>0</v>
      </c>
      <c r="C848" s="58">
        <v>0</v>
      </c>
      <c r="D848" s="58">
        <v>0</v>
      </c>
      <c r="E848" s="58">
        <v>0</v>
      </c>
      <c r="F848" s="58">
        <v>0</v>
      </c>
      <c r="G848" s="58">
        <v>0</v>
      </c>
      <c r="H848" s="58">
        <v>0</v>
      </c>
      <c r="I848" s="58">
        <v>0</v>
      </c>
    </row>
    <row r="849" spans="1:9" ht="15" customHeight="1" x14ac:dyDescent="0.2">
      <c r="A849" s="3" t="str">
        <f t="shared" si="331"/>
        <v>B6</v>
      </c>
      <c r="B849" s="58">
        <v>0</v>
      </c>
      <c r="C849" s="58">
        <v>0</v>
      </c>
      <c r="D849" s="58">
        <v>0</v>
      </c>
      <c r="E849" s="58">
        <v>0</v>
      </c>
      <c r="F849" s="58">
        <v>0</v>
      </c>
      <c r="G849" s="58">
        <v>0</v>
      </c>
      <c r="H849" s="58">
        <v>0</v>
      </c>
      <c r="I849" s="58">
        <v>0</v>
      </c>
    </row>
    <row r="850" spans="1:9" ht="15" customHeight="1" x14ac:dyDescent="0.2">
      <c r="A850" s="3" t="str">
        <f t="shared" si="331"/>
        <v>B7</v>
      </c>
      <c r="B850" s="58">
        <v>0</v>
      </c>
      <c r="C850" s="58">
        <v>0</v>
      </c>
      <c r="D850" s="58">
        <v>0</v>
      </c>
      <c r="E850" s="58">
        <v>0</v>
      </c>
      <c r="F850" s="58">
        <v>0</v>
      </c>
      <c r="G850" s="58">
        <v>0</v>
      </c>
      <c r="H850" s="58">
        <v>0</v>
      </c>
      <c r="I850" s="58">
        <v>0</v>
      </c>
    </row>
    <row r="851" spans="1:9" ht="15" customHeight="1" x14ac:dyDescent="0.2">
      <c r="A851" s="3" t="str">
        <f t="shared" si="331"/>
        <v>B8</v>
      </c>
      <c r="B851" s="58">
        <v>0</v>
      </c>
      <c r="C851" s="58">
        <v>0</v>
      </c>
      <c r="D851" s="58">
        <v>0</v>
      </c>
      <c r="E851" s="58">
        <v>0</v>
      </c>
      <c r="F851" s="58">
        <v>0</v>
      </c>
      <c r="G851" s="58">
        <v>0</v>
      </c>
      <c r="H851" s="58">
        <v>0</v>
      </c>
      <c r="I851" s="58">
        <v>0</v>
      </c>
    </row>
    <row r="852" spans="1:9" ht="15" customHeight="1" x14ac:dyDescent="0.2">
      <c r="A852" s="3" t="str">
        <f t="shared" si="331"/>
        <v>B9</v>
      </c>
      <c r="B852" s="58">
        <v>0</v>
      </c>
      <c r="C852" s="58">
        <v>0</v>
      </c>
      <c r="D852" s="58">
        <v>0</v>
      </c>
      <c r="E852" s="58">
        <v>0</v>
      </c>
      <c r="F852" s="58">
        <v>0</v>
      </c>
      <c r="G852" s="58">
        <v>0</v>
      </c>
      <c r="H852" s="58">
        <v>0</v>
      </c>
      <c r="I852" s="58">
        <v>0</v>
      </c>
    </row>
    <row r="853" spans="1:9" ht="15" customHeight="1" x14ac:dyDescent="0.2">
      <c r="A853" s="3" t="str">
        <f t="shared" si="331"/>
        <v>B10</v>
      </c>
      <c r="B853" s="58">
        <v>0</v>
      </c>
      <c r="C853" s="58">
        <v>0</v>
      </c>
      <c r="D853" s="58">
        <v>0</v>
      </c>
      <c r="E853" s="58">
        <v>0</v>
      </c>
      <c r="F853" s="58">
        <v>0</v>
      </c>
      <c r="G853" s="58">
        <v>0</v>
      </c>
      <c r="H853" s="58">
        <v>0</v>
      </c>
      <c r="I853" s="58">
        <v>0</v>
      </c>
    </row>
    <row r="854" spans="1:9" ht="15" customHeight="1" x14ac:dyDescent="0.2">
      <c r="A854" s="1"/>
    </row>
    <row r="855" spans="1:9" ht="15" customHeight="1" x14ac:dyDescent="0.2">
      <c r="A855" s="3" t="s">
        <v>49</v>
      </c>
    </row>
    <row r="856" spans="1:9" ht="15" customHeight="1" x14ac:dyDescent="0.2">
      <c r="A856" s="3" t="str">
        <f t="shared" ref="A856:A865" si="332">A844</f>
        <v>B1</v>
      </c>
      <c r="B856" s="59">
        <v>212164</v>
      </c>
      <c r="C856" s="59">
        <v>199800</v>
      </c>
      <c r="D856" s="59">
        <v>182795</v>
      </c>
      <c r="E856" s="59">
        <v>178144</v>
      </c>
      <c r="F856" s="59">
        <v>176035</v>
      </c>
      <c r="G856" s="59">
        <v>173992</v>
      </c>
      <c r="H856" s="59">
        <v>170910</v>
      </c>
      <c r="I856" s="59">
        <v>169404</v>
      </c>
    </row>
    <row r="857" spans="1:9" ht="15" customHeight="1" x14ac:dyDescent="0.2">
      <c r="A857" s="3" t="str">
        <f t="shared" si="332"/>
        <v>B2</v>
      </c>
      <c r="B857" s="59">
        <v>0</v>
      </c>
      <c r="C857" s="59">
        <v>0</v>
      </c>
      <c r="D857" s="59">
        <v>0</v>
      </c>
      <c r="E857" s="59">
        <v>0</v>
      </c>
      <c r="F857" s="59">
        <v>0</v>
      </c>
      <c r="G857" s="59">
        <v>0</v>
      </c>
      <c r="H857" s="59">
        <v>0</v>
      </c>
      <c r="I857" s="59">
        <v>0</v>
      </c>
    </row>
    <row r="858" spans="1:9" ht="15" customHeight="1" x14ac:dyDescent="0.2">
      <c r="A858" s="3" t="str">
        <f t="shared" si="332"/>
        <v>B3</v>
      </c>
      <c r="B858" s="59">
        <v>0</v>
      </c>
      <c r="C858" s="59">
        <v>0</v>
      </c>
      <c r="D858" s="59">
        <v>0</v>
      </c>
      <c r="E858" s="59">
        <v>0</v>
      </c>
      <c r="F858" s="59">
        <v>0</v>
      </c>
      <c r="G858" s="59">
        <v>0</v>
      </c>
      <c r="H858" s="59">
        <v>0</v>
      </c>
      <c r="I858" s="59">
        <v>0</v>
      </c>
    </row>
    <row r="859" spans="1:9" ht="15" customHeight="1" x14ac:dyDescent="0.2">
      <c r="A859" s="3" t="str">
        <f t="shared" si="332"/>
        <v>B4</v>
      </c>
      <c r="B859" s="59">
        <v>0</v>
      </c>
      <c r="C859" s="59">
        <v>0</v>
      </c>
      <c r="D859" s="59">
        <v>0</v>
      </c>
      <c r="E859" s="59">
        <v>0</v>
      </c>
      <c r="F859" s="59">
        <v>0</v>
      </c>
      <c r="G859" s="59">
        <v>0</v>
      </c>
      <c r="H859" s="59">
        <v>0</v>
      </c>
      <c r="I859" s="59">
        <v>0</v>
      </c>
    </row>
    <row r="860" spans="1:9" ht="15" customHeight="1" x14ac:dyDescent="0.2">
      <c r="A860" s="3" t="str">
        <f t="shared" si="332"/>
        <v>B5</v>
      </c>
      <c r="B860" s="59">
        <v>0</v>
      </c>
      <c r="C860" s="59">
        <v>0</v>
      </c>
      <c r="D860" s="59">
        <v>0</v>
      </c>
      <c r="E860" s="59">
        <v>0</v>
      </c>
      <c r="F860" s="59">
        <v>0</v>
      </c>
      <c r="G860" s="59">
        <v>0</v>
      </c>
      <c r="H860" s="59">
        <v>0</v>
      </c>
      <c r="I860" s="59">
        <v>0</v>
      </c>
    </row>
    <row r="861" spans="1:9" ht="15" customHeight="1" x14ac:dyDescent="0.2">
      <c r="A861" s="3" t="str">
        <f t="shared" si="332"/>
        <v>B6</v>
      </c>
      <c r="B861" s="59">
        <v>0</v>
      </c>
      <c r="C861" s="59">
        <v>0</v>
      </c>
      <c r="D861" s="59">
        <v>0</v>
      </c>
      <c r="E861" s="59">
        <v>0</v>
      </c>
      <c r="F861" s="59">
        <v>0</v>
      </c>
      <c r="G861" s="59">
        <v>0</v>
      </c>
      <c r="H861" s="59">
        <v>0</v>
      </c>
      <c r="I861" s="59">
        <v>0</v>
      </c>
    </row>
    <row r="862" spans="1:9" ht="15" customHeight="1" x14ac:dyDescent="0.2">
      <c r="A862" s="3" t="str">
        <f t="shared" si="332"/>
        <v>B7</v>
      </c>
      <c r="B862" s="59">
        <v>0</v>
      </c>
      <c r="C862" s="59">
        <v>0</v>
      </c>
      <c r="D862" s="59">
        <v>0</v>
      </c>
      <c r="E862" s="59">
        <v>0</v>
      </c>
      <c r="F862" s="59">
        <v>0</v>
      </c>
      <c r="G862" s="59">
        <v>0</v>
      </c>
      <c r="H862" s="59">
        <v>0</v>
      </c>
      <c r="I862" s="59">
        <v>0</v>
      </c>
    </row>
    <row r="863" spans="1:9" ht="15" customHeight="1" x14ac:dyDescent="0.2">
      <c r="A863" s="3" t="str">
        <f t="shared" si="332"/>
        <v>B8</v>
      </c>
      <c r="B863" s="59">
        <v>0</v>
      </c>
      <c r="C863" s="59">
        <v>0</v>
      </c>
      <c r="D863" s="59">
        <v>0</v>
      </c>
      <c r="E863" s="59">
        <v>0</v>
      </c>
      <c r="F863" s="59">
        <v>0</v>
      </c>
      <c r="G863" s="59">
        <v>0</v>
      </c>
      <c r="H863" s="59">
        <v>0</v>
      </c>
      <c r="I863" s="59">
        <v>0</v>
      </c>
    </row>
    <row r="864" spans="1:9" ht="15" customHeight="1" x14ac:dyDescent="0.2">
      <c r="A864" s="3" t="str">
        <f t="shared" si="332"/>
        <v>B9</v>
      </c>
      <c r="B864" s="59">
        <v>0</v>
      </c>
      <c r="C864" s="59">
        <v>0</v>
      </c>
      <c r="D864" s="59">
        <v>0</v>
      </c>
      <c r="E864" s="59">
        <v>0</v>
      </c>
      <c r="F864" s="59">
        <v>0</v>
      </c>
      <c r="G864" s="59">
        <v>0</v>
      </c>
      <c r="H864" s="59">
        <v>0</v>
      </c>
      <c r="I864" s="59">
        <v>0</v>
      </c>
    </row>
    <row r="865" spans="1:9" ht="15" customHeight="1" x14ac:dyDescent="0.2">
      <c r="A865" s="3" t="str">
        <f t="shared" si="332"/>
        <v>B10</v>
      </c>
      <c r="B865" s="59">
        <v>0</v>
      </c>
      <c r="C865" s="59">
        <v>0</v>
      </c>
      <c r="D865" s="59">
        <v>0</v>
      </c>
      <c r="E865" s="59">
        <v>0</v>
      </c>
      <c r="F865" s="59">
        <v>0</v>
      </c>
      <c r="G865" s="59">
        <v>0</v>
      </c>
      <c r="H865" s="59">
        <v>0</v>
      </c>
      <c r="I865" s="59">
        <v>0</v>
      </c>
    </row>
    <row r="867" spans="1:9" ht="15" customHeight="1" x14ac:dyDescent="0.2">
      <c r="A867" s="3" t="s">
        <v>57</v>
      </c>
      <c r="B867" s="60" t="s">
        <v>506</v>
      </c>
      <c r="C867" s="60" t="s">
        <v>506</v>
      </c>
      <c r="D867" s="60" t="s">
        <v>506</v>
      </c>
      <c r="E867" s="60" t="s">
        <v>506</v>
      </c>
      <c r="F867" s="60" t="s">
        <v>506</v>
      </c>
      <c r="G867" s="60" t="s">
        <v>506</v>
      </c>
      <c r="H867" s="60" t="s">
        <v>506</v>
      </c>
      <c r="I867" s="60" t="s">
        <v>506</v>
      </c>
    </row>
    <row r="868" spans="1:9" ht="15" customHeight="1" x14ac:dyDescent="0.2">
      <c r="A868" s="60" t="s">
        <v>37</v>
      </c>
      <c r="B868" s="7">
        <v>6.4352921514986672E-2</v>
      </c>
      <c r="C868" s="7">
        <v>6.4352921514986672E-2</v>
      </c>
      <c r="D868" s="7">
        <v>6.5861604653835504E-2</v>
      </c>
      <c r="E868" s="7">
        <v>6.6287686648085528E-2</v>
      </c>
      <c r="F868" s="7">
        <v>5.9754749337324775E-2</v>
      </c>
      <c r="G868" s="7">
        <v>5.9754749337324775E-2</v>
      </c>
      <c r="H868" s="7">
        <v>5.8254749337324781E-2</v>
      </c>
      <c r="I868" s="7">
        <v>6.6045728963375794E-2</v>
      </c>
    </row>
    <row r="869" spans="1:9" ht="15" customHeight="1" x14ac:dyDescent="0.2">
      <c r="A869" s="60" t="s">
        <v>36</v>
      </c>
      <c r="B869" s="7">
        <v>0</v>
      </c>
      <c r="C869" s="7">
        <v>0</v>
      </c>
      <c r="D869" s="7">
        <v>0</v>
      </c>
      <c r="E869" s="7">
        <v>0</v>
      </c>
      <c r="F869" s="7">
        <v>0</v>
      </c>
      <c r="G869" s="7">
        <v>0</v>
      </c>
      <c r="H869" s="7">
        <v>0</v>
      </c>
      <c r="I869" s="7">
        <v>0</v>
      </c>
    </row>
    <row r="870" spans="1:9" ht="15" customHeight="1" x14ac:dyDescent="0.2">
      <c r="A870" s="60" t="s">
        <v>35</v>
      </c>
      <c r="B870" s="7">
        <v>0</v>
      </c>
      <c r="C870" s="7">
        <v>0</v>
      </c>
      <c r="D870" s="7">
        <v>0</v>
      </c>
      <c r="E870" s="7">
        <v>0</v>
      </c>
      <c r="F870" s="7">
        <v>0</v>
      </c>
      <c r="G870" s="7">
        <v>0</v>
      </c>
      <c r="H870" s="7">
        <v>0</v>
      </c>
      <c r="I870" s="7">
        <v>0</v>
      </c>
    </row>
    <row r="871" spans="1:9" ht="15" customHeight="1" x14ac:dyDescent="0.2">
      <c r="A871" s="60" t="s">
        <v>34</v>
      </c>
      <c r="B871" s="7">
        <v>0</v>
      </c>
      <c r="C871" s="7">
        <v>0</v>
      </c>
      <c r="D871" s="7">
        <v>0</v>
      </c>
      <c r="E871" s="7">
        <v>0</v>
      </c>
      <c r="F871" s="7">
        <v>0</v>
      </c>
      <c r="G871" s="7">
        <v>0</v>
      </c>
      <c r="H871" s="7">
        <v>0</v>
      </c>
      <c r="I871" s="7">
        <v>0</v>
      </c>
    </row>
    <row r="872" spans="1:9" ht="15" customHeight="1" x14ac:dyDescent="0.2">
      <c r="A872" s="60" t="s">
        <v>58</v>
      </c>
      <c r="B872" s="7">
        <v>0</v>
      </c>
      <c r="C872" s="7">
        <v>0</v>
      </c>
      <c r="D872" s="7">
        <v>0</v>
      </c>
      <c r="E872" s="7">
        <v>0</v>
      </c>
      <c r="F872" s="7">
        <v>0</v>
      </c>
      <c r="G872" s="7">
        <v>0</v>
      </c>
      <c r="H872" s="7">
        <v>0</v>
      </c>
      <c r="I872" s="7">
        <v>0</v>
      </c>
    </row>
    <row r="873" spans="1:9" ht="15" customHeight="1" x14ac:dyDescent="0.2">
      <c r="A873" s="60" t="s">
        <v>59</v>
      </c>
      <c r="B873" s="7">
        <v>0</v>
      </c>
      <c r="C873" s="7">
        <v>0</v>
      </c>
      <c r="D873" s="7">
        <v>0</v>
      </c>
      <c r="E873" s="7">
        <v>0</v>
      </c>
      <c r="F873" s="7">
        <v>0</v>
      </c>
      <c r="G873" s="7">
        <v>0</v>
      </c>
      <c r="H873" s="7">
        <v>0</v>
      </c>
      <c r="I873" s="7">
        <v>0</v>
      </c>
    </row>
    <row r="874" spans="1:9" ht="15" customHeight="1" x14ac:dyDescent="0.2">
      <c r="A874" s="60" t="s">
        <v>60</v>
      </c>
      <c r="B874" s="7">
        <v>0</v>
      </c>
      <c r="C874" s="7">
        <v>0</v>
      </c>
      <c r="D874" s="7">
        <v>0</v>
      </c>
      <c r="E874" s="7">
        <v>0</v>
      </c>
      <c r="F874" s="7">
        <v>0</v>
      </c>
      <c r="G874" s="7">
        <v>0</v>
      </c>
      <c r="H874" s="7">
        <v>0</v>
      </c>
      <c r="I874" s="7">
        <v>0</v>
      </c>
    </row>
    <row r="875" spans="1:9" ht="15" customHeight="1" x14ac:dyDescent="0.2">
      <c r="A875" s="60" t="s">
        <v>61</v>
      </c>
      <c r="B875" s="7">
        <v>0</v>
      </c>
      <c r="C875" s="7">
        <v>0</v>
      </c>
      <c r="D875" s="7">
        <v>0</v>
      </c>
      <c r="E875" s="7">
        <v>0</v>
      </c>
      <c r="F875" s="7">
        <v>0</v>
      </c>
      <c r="G875" s="7">
        <v>0</v>
      </c>
      <c r="H875" s="7">
        <v>0</v>
      </c>
      <c r="I875" s="7">
        <v>0</v>
      </c>
    </row>
    <row r="876" spans="1:9" ht="15" customHeight="1" x14ac:dyDescent="0.2">
      <c r="A876" s="60" t="s">
        <v>62</v>
      </c>
      <c r="B876" s="7">
        <v>0</v>
      </c>
      <c r="C876" s="7">
        <v>0</v>
      </c>
      <c r="D876" s="7">
        <v>0</v>
      </c>
      <c r="E876" s="7">
        <v>0</v>
      </c>
      <c r="F876" s="7">
        <v>0</v>
      </c>
      <c r="G876" s="7">
        <v>0</v>
      </c>
      <c r="H876" s="7">
        <v>0</v>
      </c>
      <c r="I876" s="7">
        <v>0</v>
      </c>
    </row>
    <row r="877" spans="1:9" ht="15" customHeight="1" x14ac:dyDescent="0.2">
      <c r="A877" s="60" t="s">
        <v>63</v>
      </c>
      <c r="B877" s="7">
        <v>0</v>
      </c>
      <c r="C877" s="7">
        <v>0</v>
      </c>
      <c r="D877" s="7">
        <v>0</v>
      </c>
      <c r="E877" s="7">
        <v>0</v>
      </c>
      <c r="F877" s="7">
        <v>0</v>
      </c>
      <c r="G877" s="7">
        <v>0</v>
      </c>
      <c r="H877" s="7">
        <v>0</v>
      </c>
      <c r="I877" s="7">
        <v>0</v>
      </c>
    </row>
    <row r="879" spans="1:9" ht="15" customHeight="1" x14ac:dyDescent="0.2">
      <c r="A879" s="3" t="s">
        <v>56</v>
      </c>
    </row>
    <row r="880" spans="1:9" ht="15" customHeight="1" x14ac:dyDescent="0.2">
      <c r="A880" s="3" t="str">
        <f t="shared" ref="A880:A889" si="333">A868</f>
        <v>F1</v>
      </c>
      <c r="B880" s="59">
        <v>212164</v>
      </c>
      <c r="C880" s="59">
        <v>199800</v>
      </c>
      <c r="D880" s="59">
        <v>182795</v>
      </c>
      <c r="E880" s="59">
        <v>178144</v>
      </c>
      <c r="F880" s="59">
        <v>176035</v>
      </c>
      <c r="G880" s="59">
        <v>173992</v>
      </c>
      <c r="H880" s="59">
        <v>170910</v>
      </c>
      <c r="I880" s="59">
        <v>169404</v>
      </c>
    </row>
    <row r="881" spans="1:9" ht="15" customHeight="1" x14ac:dyDescent="0.2">
      <c r="A881" s="3" t="str">
        <f t="shared" si="333"/>
        <v>F2</v>
      </c>
      <c r="B881" s="59">
        <v>0</v>
      </c>
      <c r="C881" s="59">
        <v>0</v>
      </c>
      <c r="D881" s="59">
        <v>0</v>
      </c>
      <c r="E881" s="59">
        <v>0</v>
      </c>
      <c r="F881" s="59">
        <v>0</v>
      </c>
      <c r="G881" s="59">
        <v>0</v>
      </c>
      <c r="H881" s="59">
        <v>0</v>
      </c>
      <c r="I881" s="59">
        <v>0</v>
      </c>
    </row>
    <row r="882" spans="1:9" ht="15" customHeight="1" x14ac:dyDescent="0.2">
      <c r="A882" s="3" t="str">
        <f t="shared" si="333"/>
        <v>F3</v>
      </c>
      <c r="B882" s="59">
        <v>0</v>
      </c>
      <c r="C882" s="59">
        <v>0</v>
      </c>
      <c r="D882" s="59">
        <v>0</v>
      </c>
      <c r="E882" s="59">
        <v>0</v>
      </c>
      <c r="F882" s="59">
        <v>0</v>
      </c>
      <c r="G882" s="59">
        <v>0</v>
      </c>
      <c r="H882" s="59">
        <v>0</v>
      </c>
      <c r="I882" s="59">
        <v>0</v>
      </c>
    </row>
    <row r="883" spans="1:9" ht="15" customHeight="1" x14ac:dyDescent="0.2">
      <c r="A883" s="3" t="str">
        <f t="shared" si="333"/>
        <v>F4</v>
      </c>
      <c r="B883" s="59">
        <v>0</v>
      </c>
      <c r="C883" s="59">
        <v>0</v>
      </c>
      <c r="D883" s="59">
        <v>0</v>
      </c>
      <c r="E883" s="59">
        <v>0</v>
      </c>
      <c r="F883" s="59">
        <v>0</v>
      </c>
      <c r="G883" s="59">
        <v>0</v>
      </c>
      <c r="H883" s="59">
        <v>0</v>
      </c>
      <c r="I883" s="59">
        <v>0</v>
      </c>
    </row>
    <row r="884" spans="1:9" ht="15" customHeight="1" x14ac:dyDescent="0.2">
      <c r="A884" s="3" t="str">
        <f t="shared" si="333"/>
        <v>F5</v>
      </c>
      <c r="B884" s="59">
        <v>0</v>
      </c>
      <c r="C884" s="59">
        <v>0</v>
      </c>
      <c r="D884" s="59">
        <v>0</v>
      </c>
      <c r="E884" s="59">
        <v>0</v>
      </c>
      <c r="F884" s="59">
        <v>0</v>
      </c>
      <c r="G884" s="59">
        <v>0</v>
      </c>
      <c r="H884" s="59">
        <v>0</v>
      </c>
      <c r="I884" s="59">
        <v>0</v>
      </c>
    </row>
    <row r="885" spans="1:9" ht="15" customHeight="1" x14ac:dyDescent="0.2">
      <c r="A885" s="3" t="str">
        <f t="shared" si="333"/>
        <v>F6</v>
      </c>
      <c r="B885" s="59">
        <v>0</v>
      </c>
      <c r="C885" s="59">
        <v>0</v>
      </c>
      <c r="D885" s="59">
        <v>0</v>
      </c>
      <c r="E885" s="59">
        <v>0</v>
      </c>
      <c r="F885" s="59">
        <v>0</v>
      </c>
      <c r="G885" s="59">
        <v>0</v>
      </c>
      <c r="H885" s="59">
        <v>0</v>
      </c>
      <c r="I885" s="59">
        <v>0</v>
      </c>
    </row>
    <row r="886" spans="1:9" ht="15" customHeight="1" x14ac:dyDescent="0.2">
      <c r="A886" s="3" t="str">
        <f t="shared" si="333"/>
        <v>F7</v>
      </c>
      <c r="B886" s="59">
        <v>0</v>
      </c>
      <c r="C886" s="59">
        <v>0</v>
      </c>
      <c r="D886" s="59">
        <v>0</v>
      </c>
      <c r="E886" s="59">
        <v>0</v>
      </c>
      <c r="F886" s="59">
        <v>0</v>
      </c>
      <c r="G886" s="59">
        <v>0</v>
      </c>
      <c r="H886" s="59">
        <v>0</v>
      </c>
      <c r="I886" s="59">
        <v>0</v>
      </c>
    </row>
    <row r="887" spans="1:9" ht="15" customHeight="1" x14ac:dyDescent="0.2">
      <c r="A887" s="3" t="str">
        <f t="shared" si="333"/>
        <v>F8</v>
      </c>
      <c r="B887" s="59">
        <v>0</v>
      </c>
      <c r="C887" s="59">
        <v>0</v>
      </c>
      <c r="D887" s="59">
        <v>0</v>
      </c>
      <c r="E887" s="59">
        <v>0</v>
      </c>
      <c r="F887" s="59">
        <v>0</v>
      </c>
      <c r="G887" s="59">
        <v>0</v>
      </c>
      <c r="H887" s="59">
        <v>0</v>
      </c>
      <c r="I887" s="59">
        <v>0</v>
      </c>
    </row>
    <row r="888" spans="1:9" ht="15" customHeight="1" x14ac:dyDescent="0.2">
      <c r="A888" s="3" t="str">
        <f t="shared" si="333"/>
        <v>F9</v>
      </c>
      <c r="B888" s="59">
        <v>0</v>
      </c>
      <c r="C888" s="59">
        <v>0</v>
      </c>
      <c r="D888" s="59">
        <v>0</v>
      </c>
      <c r="E888" s="59">
        <v>0</v>
      </c>
      <c r="F888" s="59">
        <v>0</v>
      </c>
      <c r="G888" s="59">
        <v>0</v>
      </c>
      <c r="H888" s="59">
        <v>0</v>
      </c>
      <c r="I888" s="59">
        <v>0</v>
      </c>
    </row>
    <row r="889" spans="1:9" ht="15" customHeight="1" x14ac:dyDescent="0.2">
      <c r="A889" s="3" t="str">
        <f t="shared" si="333"/>
        <v>F10</v>
      </c>
      <c r="B889" s="59">
        <v>0</v>
      </c>
      <c r="C889" s="59">
        <v>0</v>
      </c>
      <c r="D889" s="59">
        <v>0</v>
      </c>
      <c r="E889" s="59">
        <v>0</v>
      </c>
      <c r="F889" s="59">
        <v>0</v>
      </c>
      <c r="G889" s="59">
        <v>0</v>
      </c>
      <c r="H889" s="59">
        <v>0</v>
      </c>
      <c r="I889" s="59">
        <v>0</v>
      </c>
    </row>
    <row r="892" spans="1:9" ht="15" customHeight="1" x14ac:dyDescent="0.2">
      <c r="A892" s="35" t="s">
        <v>106</v>
      </c>
      <c r="B892" s="35"/>
      <c r="C892" s="35"/>
      <c r="D892" s="35"/>
      <c r="E892" s="35"/>
      <c r="F892" s="35"/>
      <c r="G892" s="35"/>
      <c r="H892" s="35"/>
      <c r="I892" s="35"/>
    </row>
    <row r="893" spans="1:9" ht="15" customHeight="1" x14ac:dyDescent="0.2">
      <c r="A893" s="42" t="s">
        <v>303</v>
      </c>
      <c r="B893" s="52">
        <f t="shared" ref="B893:I893" ca="1" si="334">OFFSET(B751,B751,0)</f>
        <v>2.9499999999999998E-2</v>
      </c>
      <c r="C893" s="52">
        <f t="shared" ca="1" si="334"/>
        <v>0.03</v>
      </c>
      <c r="D893" s="52">
        <f t="shared" ca="1" si="334"/>
        <v>3.4799999999999998E-2</v>
      </c>
      <c r="E893" s="52">
        <f t="shared" ca="1" si="334"/>
        <v>3.5999999999999997E-2</v>
      </c>
      <c r="F893" s="52">
        <f t="shared" ca="1" si="334"/>
        <v>3.6999999999999998E-2</v>
      </c>
      <c r="G893" s="52">
        <f t="shared" ca="1" si="334"/>
        <v>3.7199999999999997E-2</v>
      </c>
      <c r="H893" s="52">
        <f t="shared" ca="1" si="334"/>
        <v>4.0399999999999998E-2</v>
      </c>
      <c r="I893" s="52">
        <f t="shared" ca="1" si="334"/>
        <v>0.04</v>
      </c>
    </row>
    <row r="894" spans="1:9" ht="15" customHeight="1" x14ac:dyDescent="0.2">
      <c r="A894" s="42" t="s">
        <v>105</v>
      </c>
      <c r="B894" s="38">
        <f>VLOOKUP(B4,CRP!$A$2:$F$145,5)</f>
        <v>0</v>
      </c>
      <c r="C894" s="38">
        <f>VLOOKUP(C4,CRP!$A$2:$F$145,5)</f>
        <v>0</v>
      </c>
      <c r="D894" s="38">
        <f>VLOOKUP(D4,CRP!$A$2:$F$145,5)</f>
        <v>0</v>
      </c>
      <c r="E894" s="38">
        <f>VLOOKUP(E4,CRP!$A$2:$F$145,5)</f>
        <v>0</v>
      </c>
      <c r="F894" s="38">
        <f>VLOOKUP(F4,CRP!$A$2:$F$145,5)</f>
        <v>0</v>
      </c>
      <c r="G894" s="38">
        <f>VLOOKUP(G4,CRP!$A$2:$F$145,5)</f>
        <v>0</v>
      </c>
      <c r="H894" s="38">
        <f>VLOOKUP(H4,CRP!$A$2:$F$145,5)</f>
        <v>0</v>
      </c>
      <c r="I894" s="38">
        <f>VLOOKUP(I4,CRP!$A$2:$F$145,5)</f>
        <v>0</v>
      </c>
    </row>
    <row r="896" spans="1:9" ht="15" customHeight="1" x14ac:dyDescent="0.2">
      <c r="A896" s="42" t="s">
        <v>322</v>
      </c>
      <c r="B896" s="111">
        <f ca="1">VLOOKUP(B553,CHOOSE(B900,SPREAD!$E$4:H18,SPREAD!$J$4:$M$18),4)</f>
        <v>7.4999999999999997E-3</v>
      </c>
      <c r="C896" s="111">
        <f ca="1">VLOOKUP(C553,CHOOSE(C900,SPREAD!$E$4:I18,SPREAD!$J$4:$M$18),4)</f>
        <v>7.4999999999999997E-3</v>
      </c>
      <c r="D896" s="111">
        <f ca="1">VLOOKUP(D553,CHOOSE(D900,SPREAD!$E$4:J18,SPREAD!$J$4:$M$18),4)</f>
        <v>7.4999999999999997E-3</v>
      </c>
      <c r="E896" s="111">
        <f ca="1">VLOOKUP(E553,CHOOSE(E900,SPREAD!$E$4:K18,SPREAD!$J$4:$M$18),4)</f>
        <v>7.4999999999999997E-3</v>
      </c>
      <c r="F896" s="111">
        <f ca="1">VLOOKUP(F553,CHOOSE(F900,SPREAD!$E$4:L18,SPREAD!$J$4:$M$18),4)</f>
        <v>7.4999999999999997E-3</v>
      </c>
      <c r="G896" s="111">
        <f ca="1">VLOOKUP(G553,CHOOSE(G900,SPREAD!$E$4:M18,SPREAD!$J$4:$M$18),4)</f>
        <v>7.4999999999999997E-3</v>
      </c>
      <c r="H896" s="111">
        <f ca="1">VLOOKUP(H553,CHOOSE(H900,SPREAD!$E$4:N18,SPREAD!$J$4:$M$18),4)</f>
        <v>7.4999999999999997E-3</v>
      </c>
      <c r="I896" s="111">
        <f ca="1">VLOOKUP(I553,CHOOSE(I900,SPREAD!$E$4:O18,SPREAD!$J$4:$M$18),4)</f>
        <v>7.4999999999999997E-3</v>
      </c>
    </row>
    <row r="897" spans="1:9" ht="15" customHeight="1" x14ac:dyDescent="0.2">
      <c r="A897" s="3" t="s">
        <v>139</v>
      </c>
      <c r="B897" s="111">
        <f>VLOOKUP(B901,SPREAD!$B$4:$C$18,2)</f>
        <v>0.01</v>
      </c>
      <c r="C897" s="111">
        <f>VLOOKUP(C901,SPREAD!$B$4:$C$18,2)</f>
        <v>0.01</v>
      </c>
      <c r="D897" s="111">
        <f>VLOOKUP(D901,SPREAD!$B$4:$C$18,2)</f>
        <v>0.01</v>
      </c>
      <c r="E897" s="111">
        <f>VLOOKUP(E901,SPREAD!$B$4:$C$18,2)</f>
        <v>0.01</v>
      </c>
      <c r="F897" s="111">
        <f>VLOOKUP(F901,SPREAD!$B$4:$C$18,2)</f>
        <v>0.01</v>
      </c>
      <c r="G897" s="111">
        <f>VLOOKUP(G901,SPREAD!$B$4:$C$18,2)</f>
        <v>0.01</v>
      </c>
      <c r="H897" s="111">
        <f>VLOOKUP(H901,SPREAD!$B$4:$C$18,2)</f>
        <v>0.01</v>
      </c>
      <c r="I897" s="111">
        <f>VLOOKUP(I901,SPREAD!$B$4:$C$18,2)</f>
        <v>0.01</v>
      </c>
    </row>
    <row r="899" spans="1:9" ht="15" customHeight="1" x14ac:dyDescent="0.2">
      <c r="A899" s="42" t="s">
        <v>141</v>
      </c>
      <c r="B899" s="112" t="str">
        <f ca="1">VLOOKUP(B553,CHOOSE(B900,SPREAD!$E$4:$H$18,SPREAD!$J$4:$M$18),3)</f>
        <v>Aaa/AAA</v>
      </c>
      <c r="C899" s="112" t="str">
        <f ca="1">VLOOKUP(C553,CHOOSE(C900,SPREAD!$E$4:$H$18,SPREAD!$J$4:$M$18),3)</f>
        <v>Aaa/AAA</v>
      </c>
      <c r="D899" s="112" t="str">
        <f ca="1">VLOOKUP(D553,CHOOSE(D900,SPREAD!$E$4:$H$18,SPREAD!$J$4:$M$18),3)</f>
        <v>Aaa/AAA</v>
      </c>
      <c r="E899" s="112" t="str">
        <f ca="1">VLOOKUP(E553,CHOOSE(E900,SPREAD!$E$4:$H$18,SPREAD!$J$4:$M$18),3)</f>
        <v>Aaa/AAA</v>
      </c>
      <c r="F899" s="112" t="str">
        <f ca="1">VLOOKUP(F553,CHOOSE(F900,SPREAD!$E$4:$H$18,SPREAD!$J$4:$M$18),3)</f>
        <v>Aaa/AAA</v>
      </c>
      <c r="G899" s="112" t="str">
        <f ca="1">VLOOKUP(G553,CHOOSE(G900,SPREAD!$E$4:$H$18,SPREAD!$J$4:$M$18),3)</f>
        <v>Aaa/AAA</v>
      </c>
      <c r="H899" s="112" t="str">
        <f ca="1">VLOOKUP(H553,CHOOSE(H900,SPREAD!$E$4:$H$18,SPREAD!$J$4:$M$18),3)</f>
        <v>Aaa/AAA</v>
      </c>
      <c r="I899" s="112" t="str">
        <f ca="1">VLOOKUP(I553,CHOOSE(I900,SPREAD!$E$4:$H$18,SPREAD!$J$4:$M$18),3)</f>
        <v>Aaa/AAA</v>
      </c>
    </row>
    <row r="900" spans="1:9" ht="15" customHeight="1" x14ac:dyDescent="0.2">
      <c r="A900" s="48" t="s">
        <v>140</v>
      </c>
      <c r="B900" s="113">
        <v>1</v>
      </c>
      <c r="C900" s="113">
        <v>1</v>
      </c>
      <c r="D900" s="113">
        <v>1</v>
      </c>
      <c r="E900" s="113">
        <v>1</v>
      </c>
      <c r="F900" s="113">
        <v>1</v>
      </c>
      <c r="G900" s="113">
        <v>1</v>
      </c>
      <c r="H900" s="113">
        <v>1</v>
      </c>
      <c r="I900" s="113">
        <v>1</v>
      </c>
    </row>
    <row r="901" spans="1:9" ht="15" customHeight="1" x14ac:dyDescent="0.2">
      <c r="A901" s="3" t="s">
        <v>416</v>
      </c>
      <c r="B901" s="114" t="s">
        <v>67</v>
      </c>
      <c r="C901" s="114" t="s">
        <v>67</v>
      </c>
      <c r="D901" s="114" t="s">
        <v>67</v>
      </c>
      <c r="E901" s="114" t="s">
        <v>67</v>
      </c>
      <c r="F901" s="114" t="s">
        <v>67</v>
      </c>
      <c r="G901" s="114" t="s">
        <v>67</v>
      </c>
      <c r="H901" s="114" t="s">
        <v>67</v>
      </c>
      <c r="I901" s="114" t="s">
        <v>67</v>
      </c>
    </row>
    <row r="902" spans="1:9" ht="15" customHeight="1" x14ac:dyDescent="0.2">
      <c r="A902" s="1"/>
    </row>
    <row r="903" spans="1:9" ht="15" customHeight="1" x14ac:dyDescent="0.2">
      <c r="A903" s="3" t="s">
        <v>27</v>
      </c>
      <c r="B903" s="115">
        <v>1.95E-2</v>
      </c>
      <c r="C903" s="115">
        <v>0.02</v>
      </c>
      <c r="D903" s="115">
        <v>2.4799999999999999E-2</v>
      </c>
      <c r="E903" s="115">
        <v>2.5999999999999999E-2</v>
      </c>
      <c r="F903" s="115">
        <v>2.7E-2</v>
      </c>
      <c r="G903" s="115">
        <v>2.7199999999999998E-2</v>
      </c>
      <c r="H903" s="115">
        <v>3.04E-2</v>
      </c>
      <c r="I903" s="115">
        <v>0.03</v>
      </c>
    </row>
    <row r="904" spans="1:9" ht="15" customHeight="1" x14ac:dyDescent="0.2">
      <c r="A904" s="1"/>
    </row>
    <row r="905" spans="1:9" ht="15" customHeight="1" x14ac:dyDescent="0.2">
      <c r="A905" s="1"/>
    </row>
    <row r="906" spans="1:9" ht="15" customHeight="1" x14ac:dyDescent="0.2">
      <c r="A906" s="35" t="s">
        <v>88</v>
      </c>
      <c r="B906" s="35"/>
      <c r="C906" s="35"/>
      <c r="D906" s="35"/>
      <c r="E906" s="35"/>
      <c r="F906" s="35"/>
      <c r="G906" s="35"/>
      <c r="H906" s="35"/>
      <c r="I906" s="35"/>
    </row>
    <row r="907" spans="1:9" ht="15" customHeight="1" x14ac:dyDescent="0.2">
      <c r="A907" s="48" t="s">
        <v>87</v>
      </c>
      <c r="B907" s="62">
        <v>123.25</v>
      </c>
      <c r="C907" s="62">
        <v>129.09</v>
      </c>
      <c r="D907" s="62">
        <v>100.75</v>
      </c>
      <c r="E907" s="62">
        <v>95</v>
      </c>
      <c r="F907" s="62">
        <v>80.714285714285708</v>
      </c>
      <c r="G907" s="62">
        <v>80.714285714285708</v>
      </c>
      <c r="H907" s="62">
        <v>71.428571428571431</v>
      </c>
      <c r="I907" s="62">
        <v>72.28</v>
      </c>
    </row>
    <row r="908" spans="1:9" ht="15" customHeight="1" x14ac:dyDescent="0.2">
      <c r="A908" s="48" t="s">
        <v>86</v>
      </c>
      <c r="B908" s="108">
        <v>5762</v>
      </c>
      <c r="C908" s="108">
        <v>5824.75</v>
      </c>
      <c r="D908" s="108">
        <v>5866</v>
      </c>
      <c r="E908" s="108">
        <v>6012.6350000000002</v>
      </c>
      <c r="F908" s="108">
        <v>6029.66</v>
      </c>
      <c r="G908" s="108">
        <v>6029.66</v>
      </c>
      <c r="H908" s="108">
        <v>6359.5</v>
      </c>
      <c r="I908" s="108">
        <v>6359</v>
      </c>
    </row>
    <row r="910" spans="1:9" ht="15" customHeight="1" x14ac:dyDescent="0.2">
      <c r="A910" s="48" t="s">
        <v>31</v>
      </c>
      <c r="B910" s="61">
        <v>0.2674722594236017</v>
      </c>
      <c r="C910" s="61">
        <v>0.3</v>
      </c>
      <c r="D910" s="61">
        <v>0.3</v>
      </c>
      <c r="E910" s="61">
        <v>0.35</v>
      </c>
      <c r="F910" s="61">
        <v>0.35</v>
      </c>
      <c r="G910" s="61">
        <v>0.35</v>
      </c>
      <c r="H910" s="61">
        <v>0.35</v>
      </c>
      <c r="I910" s="61">
        <v>0.3</v>
      </c>
    </row>
    <row r="911" spans="1:9" ht="15" customHeight="1" x14ac:dyDescent="0.2">
      <c r="A911" s="48" t="s">
        <v>81</v>
      </c>
      <c r="B911" s="61">
        <v>0</v>
      </c>
      <c r="C911" s="61">
        <v>0</v>
      </c>
      <c r="D911" s="61">
        <v>0</v>
      </c>
      <c r="E911" s="61">
        <v>0</v>
      </c>
      <c r="F911" s="61">
        <v>0</v>
      </c>
      <c r="G911" s="61">
        <v>0</v>
      </c>
      <c r="H911" s="61">
        <v>0</v>
      </c>
      <c r="I911" s="61">
        <v>0</v>
      </c>
    </row>
    <row r="914" spans="1:9" ht="15" customHeight="1" x14ac:dyDescent="0.2">
      <c r="A914" s="35" t="s">
        <v>481</v>
      </c>
      <c r="B914" s="35"/>
      <c r="C914" s="35"/>
      <c r="D914" s="35"/>
      <c r="E914" s="35"/>
      <c r="F914" s="35"/>
      <c r="G914" s="35"/>
      <c r="H914" s="35"/>
      <c r="I914" s="35"/>
    </row>
    <row r="915" spans="1:9" ht="15" customHeight="1" x14ac:dyDescent="0.2">
      <c r="A915" s="48" t="s">
        <v>68</v>
      </c>
      <c r="B915" s="107">
        <v>129006</v>
      </c>
      <c r="C915" s="107">
        <v>123328</v>
      </c>
      <c r="D915" s="107">
        <v>111547</v>
      </c>
      <c r="E915" s="107">
        <v>120940</v>
      </c>
      <c r="F915" s="107">
        <v>120179</v>
      </c>
      <c r="G915" s="107">
        <v>129684</v>
      </c>
      <c r="H915" s="107">
        <v>123549</v>
      </c>
      <c r="I915" s="107">
        <v>123354</v>
      </c>
    </row>
    <row r="918" spans="1:9" ht="15" customHeight="1" x14ac:dyDescent="0.2">
      <c r="A918" s="35" t="s">
        <v>80</v>
      </c>
      <c r="B918" s="35"/>
      <c r="C918" s="35"/>
      <c r="D918" s="35"/>
      <c r="E918" s="35"/>
      <c r="F918" s="35"/>
      <c r="G918" s="35"/>
      <c r="H918" s="35"/>
      <c r="I918" s="35"/>
    </row>
    <row r="919" spans="1:9" ht="15" customHeight="1" x14ac:dyDescent="0.2">
      <c r="A919" s="3" t="s">
        <v>28</v>
      </c>
      <c r="B919" s="67" t="s">
        <v>5</v>
      </c>
      <c r="C919" s="67" t="s">
        <v>5</v>
      </c>
      <c r="D919" s="67" t="s">
        <v>5</v>
      </c>
      <c r="E919" s="67" t="s">
        <v>5</v>
      </c>
      <c r="F919" s="67" t="s">
        <v>5</v>
      </c>
      <c r="G919" s="67" t="s">
        <v>5</v>
      </c>
      <c r="H919" s="67" t="s">
        <v>5</v>
      </c>
      <c r="I919" s="67" t="s">
        <v>5</v>
      </c>
    </row>
    <row r="920" spans="1:9" ht="15" customHeight="1" x14ac:dyDescent="0.2">
      <c r="A920" s="42" t="s">
        <v>421</v>
      </c>
      <c r="B920" s="62"/>
      <c r="C920" s="62"/>
      <c r="D920" s="62"/>
      <c r="E920" s="62"/>
      <c r="F920" s="62"/>
      <c r="G920" s="62"/>
      <c r="H920" s="62"/>
      <c r="I920" s="62"/>
    </row>
    <row r="921" spans="1:9" ht="15" customHeight="1" x14ac:dyDescent="0.2">
      <c r="A921" s="48" t="s">
        <v>29</v>
      </c>
      <c r="B921" s="62">
        <v>18.149999999999999</v>
      </c>
      <c r="C921" s="62">
        <v>19.61</v>
      </c>
      <c r="D921" s="62">
        <v>21.99</v>
      </c>
      <c r="E921" s="62">
        <v>20.009999999999998</v>
      </c>
      <c r="F921" s="62">
        <v>140.07</v>
      </c>
      <c r="G921" s="62">
        <v>140.07</v>
      </c>
      <c r="H921" s="62">
        <v>139.65</v>
      </c>
      <c r="I921" s="62">
        <v>127.56</v>
      </c>
    </row>
    <row r="922" spans="1:9" ht="15" customHeight="1" x14ac:dyDescent="0.2">
      <c r="A922" s="48" t="s">
        <v>30</v>
      </c>
      <c r="B922" s="63">
        <v>2.6</v>
      </c>
      <c r="C922" s="63">
        <v>4</v>
      </c>
      <c r="D922" s="63">
        <v>4</v>
      </c>
      <c r="E922" s="63">
        <v>1</v>
      </c>
      <c r="F922" s="63">
        <v>1</v>
      </c>
      <c r="G922" s="63">
        <v>1</v>
      </c>
      <c r="H922" s="63">
        <v>1</v>
      </c>
      <c r="I922" s="63">
        <v>1.9</v>
      </c>
    </row>
    <row r="923" spans="1:9" ht="15" customHeight="1" x14ac:dyDescent="0.2">
      <c r="A923" s="48" t="s">
        <v>90</v>
      </c>
      <c r="B923" s="63">
        <v>2.2999999999999998</v>
      </c>
      <c r="C923" s="63">
        <v>3.5</v>
      </c>
      <c r="D923" s="63">
        <v>6.6</v>
      </c>
      <c r="E923" s="63">
        <v>28.504000000000001</v>
      </c>
      <c r="F923" s="63">
        <v>4.0720000000000001</v>
      </c>
      <c r="G923" s="63">
        <v>4.0720000000000001</v>
      </c>
      <c r="H923" s="63">
        <v>4.0940000000000003</v>
      </c>
      <c r="I923" s="63">
        <v>6.5049999999999999</v>
      </c>
    </row>
    <row r="924" spans="1:9" ht="15" customHeight="1" x14ac:dyDescent="0.2">
      <c r="A924" s="42" t="s">
        <v>84</v>
      </c>
      <c r="B924" s="61">
        <v>1</v>
      </c>
      <c r="C924" s="61">
        <v>1</v>
      </c>
      <c r="D924" s="61">
        <v>1</v>
      </c>
      <c r="E924" s="61">
        <v>1</v>
      </c>
      <c r="F924" s="61">
        <v>1</v>
      </c>
      <c r="G924" s="61">
        <v>1</v>
      </c>
      <c r="H924" s="61">
        <v>1</v>
      </c>
      <c r="I924" s="61">
        <v>1</v>
      </c>
    </row>
    <row r="927" spans="1:9" ht="15" customHeight="1" x14ac:dyDescent="0.2">
      <c r="A927" s="35" t="s">
        <v>73</v>
      </c>
      <c r="B927" s="35"/>
      <c r="C927" s="35"/>
      <c r="D927" s="35"/>
      <c r="E927" s="35"/>
      <c r="F927" s="35"/>
      <c r="G927" s="35"/>
      <c r="H927" s="35"/>
      <c r="I927" s="35"/>
    </row>
    <row r="928" spans="1:9" ht="15" customHeight="1" x14ac:dyDescent="0.2">
      <c r="A928" s="3" t="s">
        <v>70</v>
      </c>
      <c r="B928" s="62">
        <v>0</v>
      </c>
      <c r="C928" s="62">
        <v>0</v>
      </c>
      <c r="D928" s="62">
        <v>0</v>
      </c>
      <c r="E928" s="62">
        <v>0</v>
      </c>
      <c r="F928" s="62">
        <v>0</v>
      </c>
      <c r="G928" s="62">
        <v>0</v>
      </c>
      <c r="H928" s="62">
        <v>0</v>
      </c>
      <c r="I928" s="62">
        <v>0</v>
      </c>
    </row>
    <row r="929" spans="1:9" ht="15" customHeight="1" x14ac:dyDescent="0.2">
      <c r="A929" s="3" t="s">
        <v>71</v>
      </c>
      <c r="B929" s="62">
        <v>0</v>
      </c>
      <c r="C929" s="62">
        <v>0</v>
      </c>
      <c r="D929" s="62">
        <v>0</v>
      </c>
      <c r="E929" s="62">
        <v>0</v>
      </c>
      <c r="F929" s="62">
        <v>0</v>
      </c>
      <c r="G929" s="62">
        <v>0</v>
      </c>
      <c r="H929" s="62">
        <v>0</v>
      </c>
      <c r="I929" s="62">
        <v>0</v>
      </c>
    </row>
    <row r="930" spans="1:9" ht="15" customHeight="1" x14ac:dyDescent="0.2">
      <c r="A930" s="3" t="s">
        <v>72</v>
      </c>
      <c r="B930" s="64">
        <v>0</v>
      </c>
      <c r="C930" s="64">
        <v>0</v>
      </c>
      <c r="D930" s="64">
        <v>0</v>
      </c>
      <c r="E930" s="64">
        <v>0</v>
      </c>
      <c r="F930" s="64">
        <v>0</v>
      </c>
      <c r="G930" s="64">
        <v>0</v>
      </c>
      <c r="H930" s="64">
        <v>0</v>
      </c>
      <c r="I930" s="64">
        <v>0</v>
      </c>
    </row>
    <row r="931" spans="1:9" ht="15" customHeight="1" x14ac:dyDescent="0.2">
      <c r="A931" s="48" t="s">
        <v>68</v>
      </c>
      <c r="B931" s="62">
        <v>0</v>
      </c>
      <c r="C931" s="62">
        <v>0</v>
      </c>
      <c r="D931" s="62">
        <v>0</v>
      </c>
      <c r="E931" s="62">
        <v>0</v>
      </c>
      <c r="F931" s="62">
        <v>0</v>
      </c>
      <c r="G931" s="62">
        <v>0</v>
      </c>
      <c r="H931" s="62">
        <v>0</v>
      </c>
      <c r="I931" s="62">
        <v>0</v>
      </c>
    </row>
    <row r="934" spans="1:9" ht="15" customHeight="1" x14ac:dyDescent="0.2">
      <c r="A934" s="35" t="s">
        <v>91</v>
      </c>
      <c r="B934" s="35"/>
      <c r="C934" s="35"/>
      <c r="D934" s="35"/>
      <c r="E934" s="35"/>
      <c r="F934" s="35"/>
      <c r="G934" s="35"/>
      <c r="H934" s="35"/>
      <c r="I934" s="35"/>
    </row>
    <row r="935" spans="1:9" ht="15" customHeight="1" x14ac:dyDescent="0.2">
      <c r="A935" s="3" t="s">
        <v>22</v>
      </c>
      <c r="B935" s="67" t="s">
        <v>5</v>
      </c>
      <c r="C935" s="67" t="s">
        <v>5</v>
      </c>
      <c r="D935" s="67" t="s">
        <v>5</v>
      </c>
      <c r="E935" s="67" t="s">
        <v>5</v>
      </c>
      <c r="F935" s="67" t="s">
        <v>5</v>
      </c>
      <c r="G935" s="67" t="s">
        <v>5</v>
      </c>
      <c r="H935" s="67" t="s">
        <v>5</v>
      </c>
      <c r="I935" s="67" t="s">
        <v>5</v>
      </c>
    </row>
    <row r="936" spans="1:9" ht="15" customHeight="1" x14ac:dyDescent="0.2">
      <c r="A936" s="48" t="s">
        <v>92</v>
      </c>
      <c r="B936" s="62">
        <v>717</v>
      </c>
      <c r="C936" s="62">
        <v>717</v>
      </c>
      <c r="D936" s="62">
        <v>717</v>
      </c>
      <c r="E936" s="62">
        <v>645</v>
      </c>
      <c r="F936" s="62">
        <v>645</v>
      </c>
      <c r="G936" s="62">
        <v>645</v>
      </c>
      <c r="H936" s="62">
        <v>645</v>
      </c>
      <c r="I936" s="62">
        <v>488</v>
      </c>
    </row>
    <row r="937" spans="1:9" ht="15" customHeight="1" x14ac:dyDescent="0.2">
      <c r="A937" s="48" t="s">
        <v>93</v>
      </c>
      <c r="B937" s="62">
        <v>662</v>
      </c>
      <c r="C937" s="62">
        <v>662</v>
      </c>
      <c r="D937" s="62">
        <v>662</v>
      </c>
      <c r="E937" s="62">
        <v>610</v>
      </c>
      <c r="F937" s="62">
        <v>610</v>
      </c>
      <c r="G937" s="62">
        <v>610</v>
      </c>
      <c r="H937" s="62">
        <v>610</v>
      </c>
      <c r="I937" s="62">
        <v>516</v>
      </c>
    </row>
    <row r="938" spans="1:9" ht="15" customHeight="1" x14ac:dyDescent="0.2">
      <c r="A938" s="48" t="s">
        <v>94</v>
      </c>
      <c r="B938" s="62">
        <v>676</v>
      </c>
      <c r="C938" s="62">
        <v>676</v>
      </c>
      <c r="D938" s="62">
        <v>676</v>
      </c>
      <c r="E938" s="62">
        <v>613</v>
      </c>
      <c r="F938" s="62">
        <v>613</v>
      </c>
      <c r="G938" s="62">
        <v>613</v>
      </c>
      <c r="H938" s="62">
        <v>613</v>
      </c>
      <c r="I938" s="62">
        <v>556</v>
      </c>
    </row>
    <row r="939" spans="1:9" ht="15" customHeight="1" x14ac:dyDescent="0.2">
      <c r="A939" s="48" t="s">
        <v>95</v>
      </c>
      <c r="B939" s="62">
        <v>645</v>
      </c>
      <c r="C939" s="62">
        <v>645</v>
      </c>
      <c r="D939" s="62">
        <v>645</v>
      </c>
      <c r="E939" s="62">
        <v>587</v>
      </c>
      <c r="F939" s="62">
        <v>587</v>
      </c>
      <c r="G939" s="62">
        <v>587</v>
      </c>
      <c r="H939" s="62">
        <v>587</v>
      </c>
      <c r="I939" s="62">
        <v>542</v>
      </c>
    </row>
    <row r="940" spans="1:9" ht="15" customHeight="1" x14ac:dyDescent="0.2">
      <c r="A940" s="48" t="s">
        <v>96</v>
      </c>
      <c r="B940" s="62">
        <v>593</v>
      </c>
      <c r="C940" s="62">
        <v>593</v>
      </c>
      <c r="D940" s="62">
        <v>593</v>
      </c>
      <c r="E940" s="62">
        <v>551</v>
      </c>
      <c r="F940" s="62">
        <v>551</v>
      </c>
      <c r="G940" s="62">
        <v>551</v>
      </c>
      <c r="H940" s="62">
        <v>551</v>
      </c>
      <c r="I940" s="62">
        <v>513</v>
      </c>
    </row>
    <row r="941" spans="1:9" ht="15" customHeight="1" x14ac:dyDescent="0.2">
      <c r="A941" s="48" t="s">
        <v>97</v>
      </c>
      <c r="B941" s="62">
        <v>534</v>
      </c>
      <c r="C941" s="62">
        <v>534</v>
      </c>
      <c r="D941" s="62">
        <v>534</v>
      </c>
      <c r="E941" s="62">
        <v>505</v>
      </c>
      <c r="F941" s="62">
        <v>505</v>
      </c>
      <c r="G941" s="62">
        <v>505</v>
      </c>
      <c r="H941" s="62">
        <v>505</v>
      </c>
      <c r="I941" s="62">
        <v>486</v>
      </c>
    </row>
    <row r="942" spans="1:9" ht="15" customHeight="1" x14ac:dyDescent="0.2">
      <c r="A942" s="48" t="s">
        <v>98</v>
      </c>
      <c r="B942" s="62">
        <v>1877</v>
      </c>
      <c r="C942" s="62">
        <v>1877</v>
      </c>
      <c r="D942" s="62">
        <v>1877</v>
      </c>
      <c r="E942" s="62">
        <v>1855</v>
      </c>
      <c r="F942" s="62">
        <v>1855</v>
      </c>
      <c r="G942" s="62">
        <v>1855</v>
      </c>
      <c r="H942" s="62">
        <v>1855</v>
      </c>
      <c r="I942" s="62">
        <v>1801</v>
      </c>
    </row>
    <row r="945" spans="1:9" ht="15" customHeight="1" x14ac:dyDescent="0.2">
      <c r="A945" s="35" t="s">
        <v>482</v>
      </c>
      <c r="B945" s="35"/>
      <c r="C945" s="35"/>
      <c r="D945" s="35"/>
      <c r="E945" s="35"/>
      <c r="F945" s="35"/>
      <c r="G945" s="35"/>
      <c r="H945" s="35"/>
      <c r="I945" s="35"/>
    </row>
    <row r="946" spans="1:9" ht="15" customHeight="1" x14ac:dyDescent="0.2">
      <c r="A946" s="48" t="s">
        <v>30</v>
      </c>
      <c r="B946" s="64">
        <v>3</v>
      </c>
      <c r="C946" s="64">
        <v>3</v>
      </c>
      <c r="D946" s="64">
        <v>3</v>
      </c>
      <c r="E946" s="64">
        <v>5</v>
      </c>
      <c r="F946" s="64">
        <v>3</v>
      </c>
      <c r="G946" s="64">
        <v>3</v>
      </c>
      <c r="H946" s="64">
        <v>3</v>
      </c>
      <c r="I946" s="64">
        <v>3</v>
      </c>
    </row>
    <row r="947" spans="1:9" ht="15" customHeight="1" x14ac:dyDescent="0.2">
      <c r="A947" s="48" t="s">
        <v>20</v>
      </c>
      <c r="B947" s="107">
        <v>509</v>
      </c>
      <c r="C947" s="107">
        <v>431</v>
      </c>
      <c r="D947" s="107">
        <v>384</v>
      </c>
      <c r="E947" s="107">
        <v>352</v>
      </c>
      <c r="F947" s="107">
        <v>305</v>
      </c>
      <c r="G947" s="107">
        <v>220</v>
      </c>
      <c r="H947" s="107">
        <v>136</v>
      </c>
      <c r="I947" s="107">
        <v>56</v>
      </c>
    </row>
    <row r="948" spans="1:9" ht="15" customHeight="1" x14ac:dyDescent="0.2">
      <c r="A948" s="48" t="s">
        <v>68</v>
      </c>
      <c r="B948" s="107">
        <v>43871</v>
      </c>
      <c r="C948" s="107">
        <v>36403</v>
      </c>
      <c r="D948" s="107">
        <v>35295</v>
      </c>
      <c r="E948" s="107">
        <v>16960</v>
      </c>
      <c r="F948" s="107">
        <v>16962</v>
      </c>
      <c r="G948" s="107">
        <v>16961</v>
      </c>
      <c r="H948" s="107">
        <v>16960</v>
      </c>
      <c r="I948" s="107">
        <v>16958</v>
      </c>
    </row>
    <row r="951" spans="1:9" ht="15" customHeight="1" x14ac:dyDescent="0.2">
      <c r="A951" s="35" t="s">
        <v>76</v>
      </c>
      <c r="B951" s="35"/>
      <c r="C951" s="35"/>
      <c r="D951" s="35"/>
      <c r="E951" s="35"/>
      <c r="F951" s="35"/>
      <c r="G951" s="35"/>
      <c r="H951" s="35"/>
      <c r="I951" s="35"/>
    </row>
    <row r="952" spans="1:9" ht="15" customHeight="1" x14ac:dyDescent="0.2">
      <c r="A952" s="3" t="s">
        <v>384</v>
      </c>
      <c r="B952" s="67" t="s">
        <v>388</v>
      </c>
      <c r="C952" s="67" t="s">
        <v>388</v>
      </c>
      <c r="D952" s="67" t="s">
        <v>388</v>
      </c>
      <c r="E952" s="67" t="s">
        <v>388</v>
      </c>
      <c r="F952" s="67" t="s">
        <v>388</v>
      </c>
      <c r="G952" s="67" t="s">
        <v>388</v>
      </c>
      <c r="H952" s="67" t="s">
        <v>388</v>
      </c>
      <c r="I952" s="67" t="s">
        <v>388</v>
      </c>
    </row>
    <row r="953" spans="1:9" ht="15" customHeight="1" x14ac:dyDescent="0.2">
      <c r="A953" s="3" t="s">
        <v>387</v>
      </c>
      <c r="B953" s="61">
        <v>0</v>
      </c>
      <c r="C953" s="61">
        <v>0</v>
      </c>
      <c r="D953" s="61">
        <v>0</v>
      </c>
      <c r="E953" s="61">
        <v>0</v>
      </c>
      <c r="F953" s="61">
        <v>0</v>
      </c>
      <c r="G953" s="61">
        <v>0</v>
      </c>
      <c r="H953" s="61">
        <v>0</v>
      </c>
      <c r="I953" s="61">
        <v>0</v>
      </c>
    </row>
    <row r="954" spans="1:9" ht="15" customHeight="1" x14ac:dyDescent="0.2">
      <c r="A954" s="3" t="s">
        <v>424</v>
      </c>
      <c r="B954" s="107">
        <v>0</v>
      </c>
      <c r="C954" s="61">
        <v>0</v>
      </c>
      <c r="D954" s="107">
        <v>0</v>
      </c>
      <c r="E954" s="107">
        <v>0</v>
      </c>
      <c r="F954" s="107">
        <v>0</v>
      </c>
      <c r="G954" s="107">
        <v>0</v>
      </c>
      <c r="H954" s="107">
        <v>0</v>
      </c>
      <c r="I954" s="107">
        <v>0</v>
      </c>
    </row>
    <row r="955" spans="1:9" ht="15" customHeight="1" x14ac:dyDescent="0.2">
      <c r="A955" s="42" t="s">
        <v>421</v>
      </c>
      <c r="B955" s="62"/>
      <c r="C955" s="62"/>
      <c r="D955" s="62"/>
      <c r="E955" s="62"/>
      <c r="F955" s="62"/>
      <c r="G955" s="62"/>
      <c r="H955" s="62"/>
      <c r="I955" s="62"/>
    </row>
    <row r="956" spans="1:9" ht="15" customHeight="1" x14ac:dyDescent="0.2">
      <c r="A956" s="3" t="s">
        <v>383</v>
      </c>
      <c r="B956" s="60">
        <v>0</v>
      </c>
      <c r="C956" s="60">
        <v>0</v>
      </c>
      <c r="D956" s="60">
        <v>0</v>
      </c>
      <c r="E956" s="60">
        <v>0</v>
      </c>
      <c r="F956" s="60">
        <v>0</v>
      </c>
      <c r="G956" s="60">
        <v>0</v>
      </c>
      <c r="H956" s="60">
        <v>0</v>
      </c>
      <c r="I956" s="60">
        <v>0</v>
      </c>
    </row>
    <row r="957" spans="1:9" ht="15" customHeight="1" x14ac:dyDescent="0.2">
      <c r="A957" s="48" t="s">
        <v>425</v>
      </c>
      <c r="B957" s="64">
        <v>0</v>
      </c>
      <c r="C957" s="64">
        <v>0</v>
      </c>
      <c r="D957" s="64">
        <v>0</v>
      </c>
      <c r="E957" s="64">
        <v>0</v>
      </c>
      <c r="F957" s="64">
        <v>0</v>
      </c>
      <c r="G957" s="64">
        <v>0</v>
      </c>
      <c r="H957" s="64">
        <v>0</v>
      </c>
      <c r="I957" s="64">
        <v>0</v>
      </c>
    </row>
    <row r="958" spans="1:9" ht="15" customHeight="1" x14ac:dyDescent="0.2">
      <c r="A958" s="48" t="s">
        <v>426</v>
      </c>
      <c r="B958" s="62">
        <v>0</v>
      </c>
      <c r="C958" s="62">
        <v>0</v>
      </c>
      <c r="D958" s="62">
        <v>0</v>
      </c>
      <c r="E958" s="62">
        <v>0</v>
      </c>
      <c r="F958" s="62">
        <v>0</v>
      </c>
      <c r="G958" s="62">
        <v>0</v>
      </c>
      <c r="H958" s="62">
        <v>0</v>
      </c>
      <c r="I958" s="62">
        <v>0</v>
      </c>
    </row>
    <row r="959" spans="1:9" ht="15" customHeight="1" x14ac:dyDescent="0.2">
      <c r="A959" s="48" t="s">
        <v>68</v>
      </c>
      <c r="B959" s="62">
        <v>0</v>
      </c>
      <c r="C959" s="62">
        <v>0</v>
      </c>
      <c r="D959" s="62">
        <v>0</v>
      </c>
      <c r="E959" s="62">
        <v>0</v>
      </c>
      <c r="F959" s="62">
        <v>0</v>
      </c>
      <c r="G959" s="62">
        <v>0</v>
      </c>
      <c r="H959" s="62">
        <v>0</v>
      </c>
      <c r="I959" s="62">
        <v>0</v>
      </c>
    </row>
    <row r="962" spans="1:9" ht="15" customHeight="1" x14ac:dyDescent="0.2">
      <c r="A962" s="35" t="s">
        <v>440</v>
      </c>
      <c r="B962" s="35"/>
      <c r="C962" s="35"/>
      <c r="D962" s="35"/>
      <c r="E962" s="35"/>
      <c r="F962" s="35"/>
      <c r="G962" s="35"/>
      <c r="H962" s="35"/>
      <c r="I962" s="35"/>
    </row>
    <row r="963" spans="1:9" ht="15" customHeight="1" x14ac:dyDescent="0.2">
      <c r="A963" s="48" t="s">
        <v>439</v>
      </c>
      <c r="B963" s="116">
        <v>1</v>
      </c>
      <c r="C963" s="116">
        <v>1</v>
      </c>
      <c r="D963" s="116">
        <v>1</v>
      </c>
      <c r="E963" s="116">
        <v>1</v>
      </c>
      <c r="F963" s="116">
        <v>1</v>
      </c>
      <c r="G963" s="116">
        <v>1</v>
      </c>
      <c r="H963" s="116">
        <v>1</v>
      </c>
      <c r="I963" s="116">
        <v>1</v>
      </c>
    </row>
    <row r="964" spans="1:9" ht="15" customHeight="1" x14ac:dyDescent="0.2">
      <c r="A964" s="3" t="s">
        <v>68</v>
      </c>
      <c r="B964" s="57">
        <v>0</v>
      </c>
      <c r="C964" s="57">
        <v>0</v>
      </c>
      <c r="D964" s="57">
        <v>0</v>
      </c>
      <c r="E964" s="57">
        <v>0</v>
      </c>
      <c r="F964" s="57">
        <v>0</v>
      </c>
      <c r="G964" s="57">
        <v>0</v>
      </c>
      <c r="H964" s="57">
        <v>0</v>
      </c>
      <c r="I964" s="57">
        <v>0</v>
      </c>
    </row>
    <row r="967" spans="1:9" ht="15" customHeight="1" x14ac:dyDescent="0.2">
      <c r="A967" s="35" t="s">
        <v>498</v>
      </c>
      <c r="B967" s="35"/>
      <c r="C967" s="35"/>
      <c r="D967" s="35"/>
      <c r="E967" s="35"/>
      <c r="F967" s="35"/>
      <c r="G967" s="35"/>
      <c r="H967" s="35"/>
      <c r="I967" s="35"/>
    </row>
    <row r="968" spans="1:9" ht="15" customHeight="1" x14ac:dyDescent="0.2">
      <c r="A968" s="3" t="s">
        <v>21</v>
      </c>
      <c r="B968" s="67" t="s">
        <v>5</v>
      </c>
      <c r="C968" s="67" t="s">
        <v>5</v>
      </c>
      <c r="D968" s="67" t="s">
        <v>5</v>
      </c>
      <c r="E968" s="67" t="s">
        <v>5</v>
      </c>
      <c r="F968" s="67" t="s">
        <v>5</v>
      </c>
      <c r="G968" s="67" t="s">
        <v>5</v>
      </c>
      <c r="H968" s="67" t="s">
        <v>5</v>
      </c>
      <c r="I968" s="67" t="s">
        <v>5</v>
      </c>
    </row>
    <row r="969" spans="1:9" ht="15" customHeight="1" x14ac:dyDescent="0.2">
      <c r="A969" s="48" t="s">
        <v>344</v>
      </c>
      <c r="B969" s="107">
        <v>7103</v>
      </c>
      <c r="C969" s="107">
        <v>6606</v>
      </c>
      <c r="D969" s="107">
        <v>6041</v>
      </c>
      <c r="E969" s="107">
        <v>5523</v>
      </c>
      <c r="F969" s="107">
        <v>5098</v>
      </c>
      <c r="G969" s="107">
        <v>4795</v>
      </c>
      <c r="H969" s="107">
        <v>4795</v>
      </c>
      <c r="I969" s="107">
        <v>4213</v>
      </c>
    </row>
    <row r="970" spans="1:9" ht="15" customHeight="1" x14ac:dyDescent="0.2">
      <c r="A970" s="48" t="s">
        <v>345</v>
      </c>
      <c r="B970" s="107">
        <v>5098</v>
      </c>
      <c r="C970" s="107">
        <v>6041</v>
      </c>
      <c r="D970" s="107">
        <v>4475</v>
      </c>
      <c r="E970" s="107">
        <v>4475</v>
      </c>
      <c r="F970" s="107">
        <v>3381</v>
      </c>
      <c r="G970" s="107">
        <v>3381</v>
      </c>
      <c r="H970" s="107">
        <v>3381</v>
      </c>
      <c r="I970" s="107">
        <v>3381</v>
      </c>
    </row>
    <row r="971" spans="1:9" ht="15" customHeight="1" x14ac:dyDescent="0.2">
      <c r="A971" s="48" t="s">
        <v>346</v>
      </c>
      <c r="B971" s="107">
        <v>3911</v>
      </c>
      <c r="C971" s="107">
        <v>4475</v>
      </c>
      <c r="D971" s="107">
        <v>3381</v>
      </c>
      <c r="E971" s="107">
        <v>3381</v>
      </c>
      <c r="F971" s="107">
        <v>2429</v>
      </c>
      <c r="G971" s="107">
        <v>2429</v>
      </c>
      <c r="H971" s="107">
        <v>2429</v>
      </c>
      <c r="I971" s="107">
        <v>2429</v>
      </c>
    </row>
    <row r="972" spans="1:9" ht="15" customHeight="1" x14ac:dyDescent="0.2">
      <c r="A972" s="48" t="s">
        <v>347</v>
      </c>
      <c r="B972" s="107">
        <v>2872</v>
      </c>
      <c r="C972" s="107">
        <v>3381</v>
      </c>
      <c r="D972" s="107">
        <v>2429</v>
      </c>
      <c r="E972" s="107">
        <v>2429</v>
      </c>
      <c r="F972" s="107">
        <v>1782</v>
      </c>
      <c r="G972" s="107">
        <v>1782</v>
      </c>
      <c r="H972" s="107">
        <v>1782</v>
      </c>
      <c r="I972" s="107">
        <v>0</v>
      </c>
    </row>
    <row r="973" spans="1:9" ht="15" customHeight="1" x14ac:dyDescent="0.2">
      <c r="A973" s="48" t="s">
        <v>348</v>
      </c>
      <c r="B973" s="107">
        <v>2114</v>
      </c>
      <c r="C973" s="107">
        <v>2114</v>
      </c>
      <c r="D973" s="107">
        <v>1782</v>
      </c>
      <c r="E973" s="107">
        <v>1782</v>
      </c>
      <c r="F973" s="107">
        <v>1523</v>
      </c>
      <c r="G973" s="107">
        <v>1523</v>
      </c>
      <c r="H973" s="107">
        <v>1333</v>
      </c>
      <c r="I973" s="107">
        <v>1333</v>
      </c>
    </row>
    <row r="974" spans="1:9" ht="15" customHeight="1" x14ac:dyDescent="0.2">
      <c r="A974" s="48" t="s">
        <v>349</v>
      </c>
      <c r="B974" s="107">
        <v>1523</v>
      </c>
      <c r="C974" s="107">
        <v>1523</v>
      </c>
      <c r="D974" s="107">
        <v>1333</v>
      </c>
      <c r="E974" s="107">
        <v>1333</v>
      </c>
      <c r="F974" s="107">
        <v>1224</v>
      </c>
      <c r="G974" s="107">
        <v>1224</v>
      </c>
      <c r="H974" s="107">
        <v>1109</v>
      </c>
      <c r="I974" s="107">
        <v>1109</v>
      </c>
    </row>
    <row r="975" spans="1:9" ht="15" customHeight="1" x14ac:dyDescent="0.2">
      <c r="A975" s="48" t="s">
        <v>350</v>
      </c>
      <c r="B975" s="107">
        <v>1224</v>
      </c>
      <c r="C975" s="107">
        <v>1224</v>
      </c>
      <c r="D975" s="107">
        <v>1109</v>
      </c>
      <c r="E975" s="107">
        <v>1109</v>
      </c>
      <c r="F975" s="107">
        <v>934</v>
      </c>
      <c r="G975" s="107">
        <v>934</v>
      </c>
      <c r="H975" s="107">
        <v>782</v>
      </c>
      <c r="I975" s="107">
        <v>782</v>
      </c>
    </row>
    <row r="976" spans="1:9" ht="15" customHeight="1" x14ac:dyDescent="0.2">
      <c r="A976" s="48" t="s">
        <v>351</v>
      </c>
      <c r="B976" s="107">
        <v>934</v>
      </c>
      <c r="C976" s="107">
        <v>934</v>
      </c>
      <c r="D976" s="107">
        <v>782</v>
      </c>
      <c r="E976" s="107">
        <v>782</v>
      </c>
      <c r="F976" s="107">
        <v>721</v>
      </c>
      <c r="G976" s="107">
        <v>721</v>
      </c>
      <c r="H976" s="107">
        <v>712</v>
      </c>
      <c r="I976" s="107">
        <v>712</v>
      </c>
    </row>
    <row r="977" spans="1:9" ht="15" customHeight="1" x14ac:dyDescent="0.2">
      <c r="A977" s="48" t="s">
        <v>352</v>
      </c>
      <c r="B977" s="107">
        <v>721</v>
      </c>
      <c r="C977" s="107">
        <v>721</v>
      </c>
      <c r="D977" s="107">
        <v>712</v>
      </c>
      <c r="E977" s="107">
        <v>712</v>
      </c>
      <c r="F977" s="107">
        <v>650</v>
      </c>
      <c r="G977" s="107">
        <v>650</v>
      </c>
      <c r="H977" s="107">
        <v>534</v>
      </c>
      <c r="I977" s="107">
        <v>534</v>
      </c>
    </row>
    <row r="978" spans="1:9" ht="15" customHeight="1" x14ac:dyDescent="0.2">
      <c r="A978" s="48" t="s">
        <v>353</v>
      </c>
      <c r="B978" s="107">
        <v>650</v>
      </c>
      <c r="C978" s="107">
        <v>650</v>
      </c>
      <c r="D978" s="107">
        <v>534</v>
      </c>
      <c r="E978" s="107">
        <v>534</v>
      </c>
      <c r="F978" s="107">
        <v>489</v>
      </c>
      <c r="G978" s="107">
        <v>489</v>
      </c>
      <c r="H978" s="107">
        <v>489</v>
      </c>
      <c r="I978" s="107">
        <v>489</v>
      </c>
    </row>
    <row r="979" spans="1:9" ht="15" customHeight="1" x14ac:dyDescent="0.2">
      <c r="A979" s="48" t="s">
        <v>354</v>
      </c>
      <c r="B979" s="107">
        <v>489</v>
      </c>
      <c r="C979" s="107">
        <v>489</v>
      </c>
      <c r="D979" s="107">
        <v>489</v>
      </c>
      <c r="E979" s="107">
        <v>489</v>
      </c>
      <c r="F979" s="107">
        <v>453</v>
      </c>
      <c r="G979" s="107">
        <v>453</v>
      </c>
      <c r="H979" s="107">
        <v>471</v>
      </c>
      <c r="I979" s="107">
        <v>471</v>
      </c>
    </row>
    <row r="982" spans="1:9" ht="15" customHeight="1" x14ac:dyDescent="0.2">
      <c r="A982" s="35" t="s">
        <v>483</v>
      </c>
      <c r="B982" s="35"/>
      <c r="C982" s="35"/>
      <c r="D982" s="35"/>
      <c r="E982" s="35"/>
      <c r="F982" s="35"/>
      <c r="G982" s="35"/>
      <c r="H982" s="35"/>
      <c r="I982" s="35"/>
    </row>
    <row r="983" spans="1:9" ht="15" customHeight="1" x14ac:dyDescent="0.2">
      <c r="A983" s="3" t="s">
        <v>68</v>
      </c>
      <c r="B983" s="57">
        <v>193539</v>
      </c>
      <c r="C983" s="57">
        <v>177955</v>
      </c>
      <c r="D983" s="57">
        <v>155239</v>
      </c>
      <c r="E983" s="57">
        <v>164490</v>
      </c>
      <c r="F983" s="57">
        <v>150589</v>
      </c>
      <c r="G983" s="57">
        <v>158842</v>
      </c>
      <c r="H983" s="57">
        <v>146761</v>
      </c>
      <c r="I983" s="57">
        <v>146620</v>
      </c>
    </row>
    <row r="986" spans="1:9" ht="15" customHeight="1" x14ac:dyDescent="0.2">
      <c r="A986" s="35" t="s">
        <v>435</v>
      </c>
      <c r="B986" s="35"/>
      <c r="C986" s="35"/>
      <c r="D986" s="35"/>
      <c r="E986" s="35"/>
      <c r="F986" s="35"/>
      <c r="G986" s="35"/>
      <c r="H986" s="35"/>
      <c r="I986" s="35"/>
    </row>
    <row r="987" spans="1:9" ht="15" customHeight="1" x14ac:dyDescent="0.2">
      <c r="A987" s="48" t="s">
        <v>439</v>
      </c>
      <c r="B987" s="116">
        <v>1</v>
      </c>
      <c r="C987" s="116">
        <v>1</v>
      </c>
      <c r="D987" s="116">
        <v>1</v>
      </c>
      <c r="E987" s="116">
        <v>1</v>
      </c>
      <c r="F987" s="116">
        <v>1</v>
      </c>
      <c r="G987" s="116">
        <v>1</v>
      </c>
      <c r="H987" s="116">
        <v>1</v>
      </c>
      <c r="I987" s="116">
        <v>1</v>
      </c>
    </row>
    <row r="988" spans="1:9" ht="15" customHeight="1" x14ac:dyDescent="0.2">
      <c r="A988" s="48" t="s">
        <v>68</v>
      </c>
      <c r="B988" s="107">
        <v>0</v>
      </c>
      <c r="C988" s="107">
        <v>0</v>
      </c>
      <c r="D988" s="107">
        <v>0</v>
      </c>
      <c r="E988" s="107">
        <v>0</v>
      </c>
      <c r="F988" s="107">
        <v>0</v>
      </c>
      <c r="G988" s="107">
        <v>0</v>
      </c>
      <c r="H988" s="107">
        <v>0</v>
      </c>
      <c r="I988" s="107">
        <v>0</v>
      </c>
    </row>
    <row r="989" spans="1:9" ht="15" customHeight="1" x14ac:dyDescent="0.2">
      <c r="A989" s="48"/>
      <c r="B989" s="107"/>
      <c r="C989" s="107"/>
      <c r="D989" s="107"/>
      <c r="E989" s="107"/>
      <c r="F989" s="107"/>
      <c r="G989" s="107"/>
      <c r="H989" s="107"/>
      <c r="I989" s="107"/>
    </row>
    <row r="991" spans="1:9" ht="15" customHeight="1" x14ac:dyDescent="0.2">
      <c r="A991" s="35" t="s">
        <v>431</v>
      </c>
      <c r="B991" s="35"/>
      <c r="C991" s="35"/>
      <c r="D991" s="35"/>
      <c r="E991" s="35"/>
      <c r="F991" s="35"/>
      <c r="G991" s="35"/>
      <c r="H991" s="35"/>
      <c r="I991" s="35"/>
    </row>
    <row r="992" spans="1:9" ht="15" customHeight="1" x14ac:dyDescent="0.2">
      <c r="A992" s="48" t="s">
        <v>439</v>
      </c>
      <c r="B992" s="116">
        <v>1</v>
      </c>
      <c r="C992" s="116">
        <v>1</v>
      </c>
      <c r="D992" s="116">
        <v>1</v>
      </c>
      <c r="E992" s="116">
        <v>1</v>
      </c>
      <c r="F992" s="116">
        <v>1</v>
      </c>
      <c r="G992" s="116">
        <v>1</v>
      </c>
      <c r="H992" s="116">
        <v>1</v>
      </c>
      <c r="I992" s="116">
        <v>1</v>
      </c>
    </row>
    <row r="993" spans="1:9" ht="15" customHeight="1" x14ac:dyDescent="0.2">
      <c r="A993" s="48" t="s">
        <v>68</v>
      </c>
      <c r="B993" s="107">
        <v>0</v>
      </c>
      <c r="C993" s="107">
        <v>0</v>
      </c>
      <c r="D993" s="107">
        <v>0</v>
      </c>
      <c r="E993" s="107">
        <v>0</v>
      </c>
      <c r="F993" s="107">
        <v>0</v>
      </c>
      <c r="G993" s="107">
        <v>0</v>
      </c>
      <c r="H993" s="107">
        <v>0</v>
      </c>
      <c r="I993" s="107">
        <v>0</v>
      </c>
    </row>
    <row r="996" spans="1:9" ht="15" customHeight="1" x14ac:dyDescent="0.2">
      <c r="A996" s="35" t="s">
        <v>338</v>
      </c>
      <c r="B996" s="35"/>
      <c r="C996" s="35"/>
      <c r="D996" s="35"/>
      <c r="E996" s="35"/>
      <c r="F996" s="35"/>
      <c r="G996" s="35"/>
      <c r="H996" s="35"/>
      <c r="I996" s="35"/>
    </row>
    <row r="997" spans="1:9" ht="15" customHeight="1" x14ac:dyDescent="0.2">
      <c r="A997" s="42" t="s">
        <v>329</v>
      </c>
      <c r="B997" s="117">
        <v>1</v>
      </c>
      <c r="C997" s="117">
        <v>1</v>
      </c>
      <c r="D997" s="117">
        <v>1</v>
      </c>
      <c r="E997" s="117">
        <v>1</v>
      </c>
      <c r="F997" s="117">
        <v>1</v>
      </c>
      <c r="G997" s="117">
        <v>1</v>
      </c>
      <c r="H997" s="117">
        <v>1</v>
      </c>
      <c r="I997" s="117">
        <v>1</v>
      </c>
    </row>
    <row r="998" spans="1:9" ht="15" customHeight="1" x14ac:dyDescent="0.2">
      <c r="A998" s="48" t="s">
        <v>68</v>
      </c>
      <c r="B998" s="62">
        <v>4711</v>
      </c>
      <c r="C998" s="62">
        <v>4629</v>
      </c>
      <c r="D998" s="62">
        <v>4616</v>
      </c>
      <c r="E998" s="62">
        <v>2374</v>
      </c>
      <c r="F998" s="62">
        <v>2055</v>
      </c>
      <c r="G998" s="62">
        <v>2022</v>
      </c>
      <c r="H998" s="62">
        <v>1577</v>
      </c>
      <c r="I998" s="62">
        <v>1522</v>
      </c>
    </row>
  </sheetData>
  <dataValidations count="7">
    <dataValidation type="list" allowBlank="1" showInputMessage="1" showErrorMessage="1" sqref="B17:I18" xr:uid="{4B706EA3-9A4B-ED45-842F-CDBE81949A7E}">
      <formula1>$A$758:$A$759</formula1>
    </dataValidation>
    <dataValidation type="list" allowBlank="1" showInputMessage="1" showErrorMessage="1" sqref="B900:I900" xr:uid="{3DFAF3D6-FB07-C440-A3F9-F44DC62AB9CC}">
      <formula1>"0,1,2"</formula1>
    </dataValidation>
    <dataValidation type="list" allowBlank="1" showInputMessage="1" showErrorMessage="1" sqref="B16:I16" xr:uid="{78AADBCF-EACC-EB48-818E-EA3D29F27A60}">
      <formula1>$A$752:$A$754</formula1>
    </dataValidation>
    <dataValidation type="list" allowBlank="1" showInputMessage="1" showErrorMessage="1" sqref="B778:I779" xr:uid="{CD9DF74E-3892-9D42-BF01-8662F2A3C777}">
      <formula1>"1,2,3,4,5,6,7,8,9,10,Forever"</formula1>
    </dataValidation>
    <dataValidation type="list" allowBlank="1" showInputMessage="1" showErrorMessage="1" sqref="B789:I789" xr:uid="{1CA51CF5-2B82-CF40-BD01-AF6183376066}">
      <formula1>"1,2"</formula1>
    </dataValidation>
    <dataValidation type="list" allowBlank="1" showInputMessage="1" showErrorMessage="1" sqref="B785:I786" xr:uid="{EF6780D9-9C70-914B-98DC-2D8146F31807}">
      <formula1>"1,2,3,4"</formula1>
    </dataValidation>
    <dataValidation type="list" allowBlank="1" showInputMessage="1" showErrorMessage="1" sqref="B968:I968 B935:I935 B952:I952 B919:I919 B9:I9 B803:I803 B799:I799 B797:I797 B782:I782" xr:uid="{39DB24EC-4DDB-2B4D-B576-6C81D4AE07DB}">
      <formula1>"Yes, 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P18"/>
  <sheetViews>
    <sheetView workbookViewId="0">
      <selection activeCell="A40" sqref="A40"/>
    </sheetView>
  </sheetViews>
  <sheetFormatPr baseColWidth="10" defaultColWidth="12.6640625" defaultRowHeight="15" customHeight="1" x14ac:dyDescent="0.15"/>
  <cols>
    <col min="1" max="1" width="3.6640625" style="1" customWidth="1"/>
    <col min="2" max="13" width="12.6640625" style="1"/>
    <col min="14" max="16" width="12.6640625" style="20"/>
    <col min="17" max="16384" width="12.6640625" style="1"/>
  </cols>
  <sheetData>
    <row r="1" spans="2:13" ht="15" customHeight="1" x14ac:dyDescent="0.15">
      <c r="E1" s="10" t="s">
        <v>123</v>
      </c>
      <c r="F1" s="11"/>
      <c r="G1" s="11"/>
      <c r="H1" s="11"/>
      <c r="J1" s="10" t="s">
        <v>127</v>
      </c>
      <c r="K1" s="11"/>
      <c r="L1" s="11"/>
      <c r="M1" s="11"/>
    </row>
    <row r="2" spans="2:13" ht="15" customHeight="1" x14ac:dyDescent="0.15">
      <c r="E2" s="13" t="s">
        <v>124</v>
      </c>
      <c r="F2" s="14"/>
      <c r="G2" s="15"/>
      <c r="H2" s="15"/>
      <c r="J2" s="13" t="s">
        <v>124</v>
      </c>
      <c r="K2" s="16"/>
      <c r="L2" s="12"/>
      <c r="M2" s="12"/>
    </row>
    <row r="3" spans="2:13" ht="15" customHeight="1" x14ac:dyDescent="0.15">
      <c r="B3" s="12" t="s">
        <v>107</v>
      </c>
      <c r="C3" s="12" t="s">
        <v>108</v>
      </c>
      <c r="E3" s="18" t="s">
        <v>125</v>
      </c>
      <c r="F3" s="18" t="s">
        <v>126</v>
      </c>
      <c r="G3" s="18" t="s">
        <v>107</v>
      </c>
      <c r="H3" s="18" t="s">
        <v>108</v>
      </c>
      <c r="J3" s="12" t="s">
        <v>128</v>
      </c>
      <c r="K3" s="12" t="s">
        <v>126</v>
      </c>
      <c r="L3" s="12" t="s">
        <v>107</v>
      </c>
      <c r="M3" s="12" t="s">
        <v>108</v>
      </c>
    </row>
    <row r="4" spans="2:13" ht="15" customHeight="1" x14ac:dyDescent="0.15">
      <c r="B4" s="12" t="s">
        <v>109</v>
      </c>
      <c r="C4" s="17">
        <v>8.9999999999999993E-3</v>
      </c>
      <c r="E4" s="12">
        <v>-100000</v>
      </c>
      <c r="F4" s="12">
        <v>0.19999900000000001</v>
      </c>
      <c r="G4" s="12" t="s">
        <v>122</v>
      </c>
      <c r="H4" s="17">
        <v>0.2</v>
      </c>
      <c r="J4" s="12">
        <v>-100000</v>
      </c>
      <c r="K4" s="12">
        <v>0.49999900000000003</v>
      </c>
      <c r="L4" s="12" t="s">
        <v>122</v>
      </c>
      <c r="M4" s="17">
        <v>0.2</v>
      </c>
    </row>
    <row r="5" spans="2:13" ht="15" customHeight="1" x14ac:dyDescent="0.15">
      <c r="B5" s="12" t="s">
        <v>67</v>
      </c>
      <c r="C5" s="17">
        <v>0.01</v>
      </c>
      <c r="E5" s="12">
        <v>0.2</v>
      </c>
      <c r="F5" s="12">
        <v>0.64999899999999999</v>
      </c>
      <c r="G5" s="12" t="s">
        <v>121</v>
      </c>
      <c r="H5" s="17">
        <v>0.16</v>
      </c>
      <c r="J5" s="12">
        <v>0.5</v>
      </c>
      <c r="K5" s="12">
        <v>0.79999900000000002</v>
      </c>
      <c r="L5" s="12" t="s">
        <v>121</v>
      </c>
      <c r="M5" s="17">
        <v>0.16</v>
      </c>
    </row>
    <row r="6" spans="2:13" ht="15" customHeight="1" x14ac:dyDescent="0.15">
      <c r="B6" s="12" t="s">
        <v>110</v>
      </c>
      <c r="C6" s="17">
        <v>1.2E-2</v>
      </c>
      <c r="E6" s="12">
        <v>0.65</v>
      </c>
      <c r="F6" s="12">
        <v>0.79999900000000002</v>
      </c>
      <c r="G6" s="12" t="s">
        <v>120</v>
      </c>
      <c r="H6" s="17">
        <v>0.12</v>
      </c>
      <c r="J6" s="12">
        <v>0.8</v>
      </c>
      <c r="K6" s="12">
        <v>1.2499990000000001</v>
      </c>
      <c r="L6" s="12" t="s">
        <v>120</v>
      </c>
      <c r="M6" s="17">
        <v>0.12</v>
      </c>
    </row>
    <row r="7" spans="2:13" ht="15" customHeight="1" x14ac:dyDescent="0.15">
      <c r="B7" s="12" t="s">
        <v>111</v>
      </c>
      <c r="C7" s="17">
        <v>7.0000000000000001E-3</v>
      </c>
      <c r="E7" s="12">
        <v>0.8</v>
      </c>
      <c r="F7" s="12">
        <v>1.2499990000000001</v>
      </c>
      <c r="G7" s="12" t="s">
        <v>119</v>
      </c>
      <c r="H7" s="17">
        <v>0.09</v>
      </c>
      <c r="J7" s="12">
        <v>1.25</v>
      </c>
      <c r="K7" s="12">
        <v>1.4999990000000001</v>
      </c>
      <c r="L7" s="12" t="s">
        <v>119</v>
      </c>
      <c r="M7" s="17">
        <v>0.09</v>
      </c>
    </row>
    <row r="8" spans="2:13" ht="15" customHeight="1" x14ac:dyDescent="0.15">
      <c r="B8" s="12" t="s">
        <v>112</v>
      </c>
      <c r="C8" s="17">
        <v>4.0000000000000001E-3</v>
      </c>
      <c r="E8" s="12">
        <v>1.25</v>
      </c>
      <c r="F8" s="12">
        <v>1.4999990000000001</v>
      </c>
      <c r="G8" s="12" t="s">
        <v>115</v>
      </c>
      <c r="H8" s="17">
        <v>7.4999999999999997E-2</v>
      </c>
      <c r="J8" s="12">
        <v>1.5</v>
      </c>
      <c r="K8" s="12">
        <v>1.9999990000000001</v>
      </c>
      <c r="L8" s="12" t="s">
        <v>115</v>
      </c>
      <c r="M8" s="17">
        <v>7.4999999999999997E-2</v>
      </c>
    </row>
    <row r="9" spans="2:13" ht="15" customHeight="1" x14ac:dyDescent="0.15">
      <c r="B9" s="12" t="s">
        <v>113</v>
      </c>
      <c r="C9" s="17">
        <v>0.04</v>
      </c>
      <c r="E9" s="12">
        <v>1.5</v>
      </c>
      <c r="F9" s="12">
        <v>1.7499990000000001</v>
      </c>
      <c r="G9" s="12" t="s">
        <v>114</v>
      </c>
      <c r="H9" s="17">
        <v>6.5000000000000002E-2</v>
      </c>
      <c r="J9" s="12">
        <v>2</v>
      </c>
      <c r="K9" s="12">
        <v>2.4999989999999999</v>
      </c>
      <c r="L9" s="12" t="s">
        <v>114</v>
      </c>
      <c r="M9" s="17">
        <v>6.5000000000000002E-2</v>
      </c>
    </row>
    <row r="10" spans="2:13" ht="15" customHeight="1" x14ac:dyDescent="0.15">
      <c r="B10" s="12" t="s">
        <v>114</v>
      </c>
      <c r="C10" s="17">
        <v>0.05</v>
      </c>
      <c r="E10" s="12">
        <v>1.75</v>
      </c>
      <c r="F10" s="12">
        <v>1.9999990000000001</v>
      </c>
      <c r="G10" s="12" t="s">
        <v>113</v>
      </c>
      <c r="H10" s="17">
        <v>5.5E-2</v>
      </c>
      <c r="J10" s="12">
        <v>2.5</v>
      </c>
      <c r="K10" s="12">
        <v>2.9999989999999999</v>
      </c>
      <c r="L10" s="12" t="s">
        <v>113</v>
      </c>
      <c r="M10" s="17">
        <v>5.5E-2</v>
      </c>
    </row>
    <row r="11" spans="2:13" ht="15" customHeight="1" x14ac:dyDescent="0.15">
      <c r="B11" s="12" t="s">
        <v>115</v>
      </c>
      <c r="C11" s="17">
        <v>0.06</v>
      </c>
      <c r="E11" s="12">
        <v>2</v>
      </c>
      <c r="F11" s="12">
        <v>2.2499999000000002</v>
      </c>
      <c r="G11" s="12" t="s">
        <v>117</v>
      </c>
      <c r="H11" s="17">
        <v>4.2500000000000003E-2</v>
      </c>
      <c r="J11" s="12">
        <v>3</v>
      </c>
      <c r="K11" s="12">
        <v>3.4999989999999999</v>
      </c>
      <c r="L11" s="12" t="s">
        <v>117</v>
      </c>
      <c r="M11" s="17">
        <v>4.2500000000000003E-2</v>
      </c>
    </row>
    <row r="12" spans="2:13" ht="15" customHeight="1" x14ac:dyDescent="0.15">
      <c r="B12" s="12" t="s">
        <v>116</v>
      </c>
      <c r="C12" s="17">
        <v>2.75E-2</v>
      </c>
      <c r="E12" s="12">
        <v>2.25</v>
      </c>
      <c r="F12" s="12">
        <v>2.4999899999999999</v>
      </c>
      <c r="G12" s="12" t="s">
        <v>116</v>
      </c>
      <c r="H12" s="17">
        <v>3.2500000000000001E-2</v>
      </c>
      <c r="J12" s="12">
        <v>3.5</v>
      </c>
      <c r="K12" s="12">
        <v>3.9999999000000002</v>
      </c>
      <c r="L12" s="12" t="s">
        <v>116</v>
      </c>
      <c r="M12" s="17">
        <v>3.2500000000000001E-2</v>
      </c>
    </row>
    <row r="13" spans="2:13" ht="15" customHeight="1" x14ac:dyDescent="0.15">
      <c r="B13" s="12" t="s">
        <v>117</v>
      </c>
      <c r="C13" s="17">
        <v>3.2500000000000001E-2</v>
      </c>
      <c r="E13" s="12">
        <v>2.5</v>
      </c>
      <c r="F13" s="12">
        <v>2.9999989999999999</v>
      </c>
      <c r="G13" s="12" t="s">
        <v>118</v>
      </c>
      <c r="H13" s="17">
        <v>2.2499999999999999E-2</v>
      </c>
      <c r="J13" s="12">
        <v>4</v>
      </c>
      <c r="K13" s="12">
        <v>4.4999989999999999</v>
      </c>
      <c r="L13" s="12" t="s">
        <v>118</v>
      </c>
      <c r="M13" s="17">
        <v>2.2499999999999999E-2</v>
      </c>
    </row>
    <row r="14" spans="2:13" ht="15" customHeight="1" x14ac:dyDescent="0.15">
      <c r="B14" s="12" t="s">
        <v>118</v>
      </c>
      <c r="C14" s="17">
        <v>1.7500000000000002E-2</v>
      </c>
      <c r="E14" s="12">
        <v>3</v>
      </c>
      <c r="F14" s="12">
        <v>4.2499989999999999</v>
      </c>
      <c r="G14" s="12" t="s">
        <v>110</v>
      </c>
      <c r="H14" s="17">
        <v>1.7500000000000002E-2</v>
      </c>
      <c r="J14" s="12">
        <v>4.5</v>
      </c>
      <c r="K14" s="12">
        <v>5.9999989999999999</v>
      </c>
      <c r="L14" s="12" t="s">
        <v>110</v>
      </c>
      <c r="M14" s="17">
        <v>1.7500000000000002E-2</v>
      </c>
    </row>
    <row r="15" spans="2:13" ht="15" customHeight="1" x14ac:dyDescent="0.15">
      <c r="B15" s="12" t="s">
        <v>119</v>
      </c>
      <c r="C15" s="17">
        <v>7.0000000000000007E-2</v>
      </c>
      <c r="E15" s="12">
        <v>4.25</v>
      </c>
      <c r="F15" s="12">
        <v>5.4999989999999999</v>
      </c>
      <c r="G15" s="12" t="s">
        <v>67</v>
      </c>
      <c r="H15" s="17">
        <v>1.2500000000000001E-2</v>
      </c>
      <c r="J15" s="12">
        <v>6</v>
      </c>
      <c r="K15" s="12">
        <v>7.4999989999999999</v>
      </c>
      <c r="L15" s="12" t="s">
        <v>67</v>
      </c>
      <c r="M15" s="17">
        <v>1.2500000000000001E-2</v>
      </c>
    </row>
    <row r="16" spans="2:13" ht="15" customHeight="1" x14ac:dyDescent="0.15">
      <c r="B16" s="12" t="s">
        <v>120</v>
      </c>
      <c r="C16" s="17">
        <v>0.08</v>
      </c>
      <c r="E16" s="12">
        <v>5.5</v>
      </c>
      <c r="F16" s="12">
        <v>6.4999989999999999</v>
      </c>
      <c r="G16" s="12" t="s">
        <v>109</v>
      </c>
      <c r="H16" s="17">
        <v>1.0999999999999999E-2</v>
      </c>
      <c r="J16" s="12">
        <v>7.5</v>
      </c>
      <c r="K16" s="12">
        <v>9.4999990000000007</v>
      </c>
      <c r="L16" s="12" t="s">
        <v>109</v>
      </c>
      <c r="M16" s="17">
        <v>1.0999999999999999E-2</v>
      </c>
    </row>
    <row r="17" spans="2:13" ht="15" customHeight="1" x14ac:dyDescent="0.15">
      <c r="B17" s="12" t="s">
        <v>121</v>
      </c>
      <c r="C17" s="17">
        <v>0.1</v>
      </c>
      <c r="E17" s="12">
        <v>6.5</v>
      </c>
      <c r="F17" s="12">
        <v>8.4999990000000007</v>
      </c>
      <c r="G17" s="12" t="s">
        <v>111</v>
      </c>
      <c r="H17" s="17">
        <v>0.01</v>
      </c>
      <c r="J17" s="12">
        <v>9.5</v>
      </c>
      <c r="K17" s="12">
        <v>12.499999000000001</v>
      </c>
      <c r="L17" s="12" t="s">
        <v>111</v>
      </c>
      <c r="M17" s="17">
        <v>0.01</v>
      </c>
    </row>
    <row r="18" spans="2:13" ht="15" customHeight="1" x14ac:dyDescent="0.15">
      <c r="B18" s="12" t="s">
        <v>122</v>
      </c>
      <c r="C18" s="17">
        <v>0.12</v>
      </c>
      <c r="E18" s="19">
        <v>8.5</v>
      </c>
      <c r="F18" s="12">
        <v>100000</v>
      </c>
      <c r="G18" s="12" t="s">
        <v>112</v>
      </c>
      <c r="H18" s="17">
        <v>7.4999999999999997E-3</v>
      </c>
      <c r="J18" s="12">
        <v>12.5</v>
      </c>
      <c r="K18" s="12">
        <v>100000</v>
      </c>
      <c r="L18" s="12" t="s">
        <v>112</v>
      </c>
      <c r="M18" s="17">
        <v>7.4999999999999997E-3</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158"/>
  <sheetViews>
    <sheetView zoomScaleNormal="100" workbookViewId="0">
      <selection activeCell="A40" sqref="A40"/>
    </sheetView>
  </sheetViews>
  <sheetFormatPr baseColWidth="10" defaultColWidth="9.1640625" defaultRowHeight="15" customHeight="1" x14ac:dyDescent="0.2"/>
  <cols>
    <col min="1" max="16384" width="9.1640625" style="1"/>
  </cols>
  <sheetData>
    <row r="1" spans="1:6" ht="15" customHeight="1" x14ac:dyDescent="0.2">
      <c r="A1" s="15" t="s">
        <v>142</v>
      </c>
      <c r="B1" s="21" t="s">
        <v>143</v>
      </c>
      <c r="C1" s="22" t="s">
        <v>144</v>
      </c>
      <c r="D1" s="22" t="s">
        <v>145</v>
      </c>
      <c r="E1" s="23" t="s">
        <v>146</v>
      </c>
      <c r="F1" s="15" t="s">
        <v>147</v>
      </c>
    </row>
    <row r="2" spans="1:6" ht="15" customHeight="1" x14ac:dyDescent="0.2">
      <c r="A2" s="24" t="s">
        <v>148</v>
      </c>
      <c r="B2" s="25">
        <v>390</v>
      </c>
      <c r="C2" s="26">
        <v>5.0000000000000001E-3</v>
      </c>
      <c r="D2" s="27">
        <v>6.5000000000000002E-2</v>
      </c>
      <c r="E2" s="28">
        <v>7.4999999999999997E-3</v>
      </c>
      <c r="F2" s="29" t="s">
        <v>149</v>
      </c>
    </row>
    <row r="3" spans="1:6" ht="15" customHeight="1" x14ac:dyDescent="0.2">
      <c r="A3" s="24" t="s">
        <v>150</v>
      </c>
      <c r="B3" s="25">
        <v>12.9</v>
      </c>
      <c r="C3" s="26">
        <v>4.4999999999999998E-2</v>
      </c>
      <c r="D3" s="27">
        <v>0.125</v>
      </c>
      <c r="E3" s="28">
        <v>6.7500000000000004E-2</v>
      </c>
      <c r="F3" s="29" t="s">
        <v>151</v>
      </c>
    </row>
    <row r="4" spans="1:6" ht="15" customHeight="1" x14ac:dyDescent="0.2">
      <c r="A4" s="24" t="s">
        <v>152</v>
      </c>
      <c r="B4" s="25">
        <v>4.5</v>
      </c>
      <c r="C4" s="26">
        <v>1.6E-2</v>
      </c>
      <c r="D4" s="27">
        <v>8.1500000000000003E-2</v>
      </c>
      <c r="E4" s="28">
        <v>2.4E-2</v>
      </c>
      <c r="F4" s="29" t="s">
        <v>153</v>
      </c>
    </row>
    <row r="5" spans="1:6" ht="15" customHeight="1" x14ac:dyDescent="0.2">
      <c r="A5" s="24" t="s">
        <v>154</v>
      </c>
      <c r="B5" s="25">
        <v>124.2</v>
      </c>
      <c r="C5" s="26">
        <v>0.03</v>
      </c>
      <c r="D5" s="27">
        <v>0.10249999999999999</v>
      </c>
      <c r="E5" s="28">
        <v>4.4999999999999998E-2</v>
      </c>
      <c r="F5" s="29" t="s">
        <v>155</v>
      </c>
    </row>
    <row r="6" spans="1:6" ht="15" customHeight="1" x14ac:dyDescent="0.2">
      <c r="A6" s="24" t="s">
        <v>156</v>
      </c>
      <c r="B6" s="25">
        <v>609.9</v>
      </c>
      <c r="C6" s="26">
        <v>7.4999999999999997E-2</v>
      </c>
      <c r="D6" s="27">
        <v>0.17</v>
      </c>
      <c r="E6" s="28">
        <v>0.1125</v>
      </c>
      <c r="F6" s="29" t="s">
        <v>157</v>
      </c>
    </row>
    <row r="7" spans="1:6" ht="15" customHeight="1" x14ac:dyDescent="0.2">
      <c r="A7" s="24" t="s">
        <v>158</v>
      </c>
      <c r="B7" s="25">
        <v>10.4</v>
      </c>
      <c r="C7" s="26">
        <v>0.03</v>
      </c>
      <c r="D7" s="27">
        <v>0.10249999999999999</v>
      </c>
      <c r="E7" s="28">
        <v>4.4999999999999998E-2</v>
      </c>
      <c r="F7" s="29" t="s">
        <v>151</v>
      </c>
    </row>
    <row r="8" spans="1:6" ht="15" customHeight="1" x14ac:dyDescent="0.2">
      <c r="A8" s="24" t="s">
        <v>159</v>
      </c>
      <c r="B8" s="25">
        <v>2.6</v>
      </c>
      <c r="C8" s="26">
        <v>6.5000000000000002E-2</v>
      </c>
      <c r="D8" s="27">
        <v>0.155</v>
      </c>
      <c r="E8" s="28">
        <v>9.7500000000000003E-2</v>
      </c>
      <c r="F8" s="29" t="s">
        <v>160</v>
      </c>
    </row>
    <row r="9" spans="1:6" ht="15" customHeight="1" x14ac:dyDescent="0.2">
      <c r="A9" s="24" t="s">
        <v>161</v>
      </c>
      <c r="B9" s="25">
        <v>1560.4</v>
      </c>
      <c r="C9" s="26">
        <v>0</v>
      </c>
      <c r="D9" s="27">
        <v>5.7500000000000002E-2</v>
      </c>
      <c r="E9" s="28">
        <v>0</v>
      </c>
      <c r="F9" s="29" t="s">
        <v>162</v>
      </c>
    </row>
    <row r="10" spans="1:6" ht="15" customHeight="1" x14ac:dyDescent="0.2">
      <c r="A10" s="24" t="s">
        <v>163</v>
      </c>
      <c r="B10" s="25">
        <v>428.3</v>
      </c>
      <c r="C10" s="26">
        <v>0</v>
      </c>
      <c r="D10" s="27">
        <v>5.7500000000000002E-2</v>
      </c>
      <c r="E10" s="28">
        <v>0</v>
      </c>
      <c r="F10" s="29" t="s">
        <v>153</v>
      </c>
    </row>
    <row r="11" spans="1:6" ht="15" customHeight="1" x14ac:dyDescent="0.2">
      <c r="A11" s="24" t="s">
        <v>164</v>
      </c>
      <c r="B11" s="25">
        <v>73.400000000000006</v>
      </c>
      <c r="C11" s="26">
        <v>2.1999999999999999E-2</v>
      </c>
      <c r="D11" s="27">
        <v>9.0499999999999997E-2</v>
      </c>
      <c r="E11" s="28">
        <v>3.3000000000000002E-2</v>
      </c>
      <c r="F11" s="29" t="s">
        <v>151</v>
      </c>
    </row>
    <row r="12" spans="1:6" ht="15" customHeight="1" x14ac:dyDescent="0.2">
      <c r="A12" s="24" t="s">
        <v>165</v>
      </c>
      <c r="B12" s="25">
        <v>8.4</v>
      </c>
      <c r="C12" s="26">
        <v>1.9E-2</v>
      </c>
      <c r="D12" s="27">
        <v>8.5999999999999993E-2</v>
      </c>
      <c r="E12" s="28">
        <v>2.8500000000000001E-2</v>
      </c>
      <c r="F12" s="29" t="s">
        <v>160</v>
      </c>
    </row>
    <row r="13" spans="1:6" ht="15" customHeight="1" x14ac:dyDescent="0.2">
      <c r="A13" s="24" t="s">
        <v>166</v>
      </c>
      <c r="B13" s="25">
        <v>32.9</v>
      </c>
      <c r="C13" s="26">
        <v>1.9E-2</v>
      </c>
      <c r="D13" s="27">
        <v>8.5999999999999993E-2</v>
      </c>
      <c r="E13" s="28">
        <v>2.8500000000000001E-2</v>
      </c>
      <c r="F13" s="29" t="s">
        <v>149</v>
      </c>
    </row>
    <row r="14" spans="1:6" ht="15" customHeight="1" x14ac:dyDescent="0.2">
      <c r="A14" s="24" t="s">
        <v>167</v>
      </c>
      <c r="B14" s="25">
        <v>150</v>
      </c>
      <c r="C14" s="26">
        <v>3.5999999999999997E-2</v>
      </c>
      <c r="D14" s="27">
        <v>0.1115</v>
      </c>
      <c r="E14" s="28">
        <v>5.3999999999999999E-2</v>
      </c>
      <c r="F14" s="29" t="s">
        <v>168</v>
      </c>
    </row>
    <row r="15" spans="1:6" ht="15" customHeight="1" x14ac:dyDescent="0.2">
      <c r="A15" s="24" t="s">
        <v>169</v>
      </c>
      <c r="B15" s="25">
        <v>3.7</v>
      </c>
      <c r="C15" s="26">
        <v>6.5000000000000002E-2</v>
      </c>
      <c r="D15" s="27">
        <v>0.155</v>
      </c>
      <c r="E15" s="28">
        <v>9.7500000000000003E-2</v>
      </c>
      <c r="F15" s="29" t="s">
        <v>160</v>
      </c>
    </row>
    <row r="16" spans="1:6" ht="15" customHeight="1" x14ac:dyDescent="0.2">
      <c r="A16" s="24" t="s">
        <v>170</v>
      </c>
      <c r="B16" s="25">
        <v>71.7</v>
      </c>
      <c r="C16" s="26">
        <v>6.5000000000000002E-2</v>
      </c>
      <c r="D16" s="27">
        <v>0.155</v>
      </c>
      <c r="E16" s="28">
        <v>9.7500000000000003E-2</v>
      </c>
      <c r="F16" s="29" t="s">
        <v>151</v>
      </c>
    </row>
    <row r="17" spans="1:6" ht="15" customHeight="1" x14ac:dyDescent="0.2">
      <c r="A17" s="24" t="s">
        <v>171</v>
      </c>
      <c r="B17" s="25">
        <v>524.79999999999995</v>
      </c>
      <c r="C17" s="26">
        <v>6.0000000000000001E-3</v>
      </c>
      <c r="D17" s="27">
        <v>6.6500000000000004E-2</v>
      </c>
      <c r="E17" s="28">
        <v>8.9999999999999993E-3</v>
      </c>
      <c r="F17" s="29" t="s">
        <v>153</v>
      </c>
    </row>
    <row r="18" spans="1:6" ht="15" customHeight="1" x14ac:dyDescent="0.2">
      <c r="A18" s="24" t="s">
        <v>172</v>
      </c>
      <c r="B18" s="25">
        <v>1.6</v>
      </c>
      <c r="C18" s="26">
        <v>0.09</v>
      </c>
      <c r="D18" s="27">
        <v>0.1925</v>
      </c>
      <c r="E18" s="28">
        <v>0.13500000000000001</v>
      </c>
      <c r="F18" s="29" t="s">
        <v>157</v>
      </c>
    </row>
    <row r="19" spans="1:6" ht="15" customHeight="1" x14ac:dyDescent="0.2">
      <c r="A19" s="24" t="s">
        <v>173</v>
      </c>
      <c r="B19" s="25">
        <v>5.5570000000000004</v>
      </c>
      <c r="C19" s="26">
        <v>7.0000000000000001E-3</v>
      </c>
      <c r="D19" s="27">
        <v>6.8000000000000005E-2</v>
      </c>
      <c r="E19" s="28">
        <v>1.0500000000000001E-2</v>
      </c>
      <c r="F19" s="29" t="s">
        <v>160</v>
      </c>
    </row>
    <row r="20" spans="1:6" ht="15" customHeight="1" x14ac:dyDescent="0.2">
      <c r="A20" s="24" t="s">
        <v>174</v>
      </c>
      <c r="B20" s="25">
        <v>30.6</v>
      </c>
      <c r="C20" s="26">
        <v>3.5999999999999997E-2</v>
      </c>
      <c r="D20" s="27">
        <v>0.1115</v>
      </c>
      <c r="E20" s="28">
        <v>5.3999999999999999E-2</v>
      </c>
      <c r="F20" s="29" t="s">
        <v>157</v>
      </c>
    </row>
    <row r="21" spans="1:6" ht="15" customHeight="1" x14ac:dyDescent="0.2">
      <c r="A21" s="24" t="s">
        <v>175</v>
      </c>
      <c r="B21" s="25">
        <v>17.899999999999999</v>
      </c>
      <c r="C21" s="26">
        <v>6.5000000000000002E-2</v>
      </c>
      <c r="D21" s="27">
        <v>0.155</v>
      </c>
      <c r="E21" s="28">
        <v>9.7500000000000003E-2</v>
      </c>
      <c r="F21" s="29" t="s">
        <v>151</v>
      </c>
    </row>
    <row r="22" spans="1:6" ht="15" customHeight="1" x14ac:dyDescent="0.2">
      <c r="A22" s="24" t="s">
        <v>176</v>
      </c>
      <c r="B22" s="25">
        <v>14.8</v>
      </c>
      <c r="C22" s="26">
        <v>8.5000000000000006E-3</v>
      </c>
      <c r="D22" s="27">
        <v>7.0300000000000001E-2</v>
      </c>
      <c r="E22" s="28">
        <v>1.2800000000000001E-2</v>
      </c>
      <c r="F22" s="29" t="s">
        <v>155</v>
      </c>
    </row>
    <row r="23" spans="1:6" ht="15" customHeight="1" x14ac:dyDescent="0.2">
      <c r="A23" s="24" t="s">
        <v>177</v>
      </c>
      <c r="B23" s="25">
        <v>2245.6999999999998</v>
      </c>
      <c r="C23" s="26">
        <v>1.9E-2</v>
      </c>
      <c r="D23" s="27">
        <v>8.5999999999999993E-2</v>
      </c>
      <c r="E23" s="28">
        <v>2.8500000000000001E-2</v>
      </c>
      <c r="F23" s="29" t="s">
        <v>157</v>
      </c>
    </row>
    <row r="24" spans="1:6" ht="15" customHeight="1" x14ac:dyDescent="0.2">
      <c r="A24" s="24" t="s">
        <v>178</v>
      </c>
      <c r="B24" s="25">
        <v>54.5</v>
      </c>
      <c r="C24" s="26">
        <v>1.9E-2</v>
      </c>
      <c r="D24" s="27">
        <v>8.5999999999999993E-2</v>
      </c>
      <c r="E24" s="28">
        <v>2.8500000000000001E-2</v>
      </c>
      <c r="F24" s="29" t="s">
        <v>151</v>
      </c>
    </row>
    <row r="25" spans="1:6" ht="15" customHeight="1" x14ac:dyDescent="0.2">
      <c r="A25" s="24" t="s">
        <v>179</v>
      </c>
      <c r="B25" s="25">
        <v>11.6</v>
      </c>
      <c r="C25" s="26">
        <v>6.5000000000000002E-2</v>
      </c>
      <c r="D25" s="27">
        <v>0.155</v>
      </c>
      <c r="E25" s="28">
        <v>9.7500000000000003E-2</v>
      </c>
      <c r="F25" s="29" t="s">
        <v>155</v>
      </c>
    </row>
    <row r="26" spans="1:6" ht="15" customHeight="1" x14ac:dyDescent="0.2">
      <c r="A26" s="24" t="s">
        <v>180</v>
      </c>
      <c r="B26" s="25">
        <v>15.2</v>
      </c>
      <c r="C26" s="26">
        <v>5.5E-2</v>
      </c>
      <c r="D26" s="27">
        <v>0.14000000000000001</v>
      </c>
      <c r="E26" s="28">
        <v>8.2500000000000004E-2</v>
      </c>
      <c r="F26" s="29" t="s">
        <v>168</v>
      </c>
    </row>
    <row r="27" spans="1:6" ht="15" customHeight="1" x14ac:dyDescent="0.2">
      <c r="A27" s="24" t="s">
        <v>181</v>
      </c>
      <c r="B27" s="25">
        <v>29.6</v>
      </c>
      <c r="C27" s="26">
        <v>5.5E-2</v>
      </c>
      <c r="D27" s="27">
        <v>0.14000000000000001</v>
      </c>
      <c r="E27" s="28">
        <v>8.2500000000000004E-2</v>
      </c>
      <c r="F27" s="29" t="s">
        <v>155</v>
      </c>
    </row>
    <row r="28" spans="1:6" ht="15" customHeight="1" x14ac:dyDescent="0.2">
      <c r="A28" s="24" t="s">
        <v>182</v>
      </c>
      <c r="B28" s="25">
        <v>1826.8</v>
      </c>
      <c r="C28" s="26">
        <v>0</v>
      </c>
      <c r="D28" s="27">
        <v>5.7500000000000002E-2</v>
      </c>
      <c r="E28" s="28">
        <v>0</v>
      </c>
      <c r="F28" s="29" t="s">
        <v>183</v>
      </c>
    </row>
    <row r="29" spans="1:6" ht="15" customHeight="1" x14ac:dyDescent="0.2">
      <c r="A29" s="24" t="s">
        <v>184</v>
      </c>
      <c r="B29" s="25">
        <v>1.897</v>
      </c>
      <c r="C29" s="26">
        <v>6.0000000000000001E-3</v>
      </c>
      <c r="D29" s="27">
        <v>6.6500000000000004E-2</v>
      </c>
      <c r="E29" s="28">
        <v>8.9999999999999993E-3</v>
      </c>
      <c r="F29" s="29" t="s">
        <v>160</v>
      </c>
    </row>
    <row r="30" spans="1:6" ht="15" customHeight="1" x14ac:dyDescent="0.2">
      <c r="A30" s="24" t="s">
        <v>185</v>
      </c>
      <c r="B30" s="25">
        <v>4</v>
      </c>
      <c r="C30" s="26">
        <v>5.5E-2</v>
      </c>
      <c r="D30" s="27">
        <v>0.14000000000000001</v>
      </c>
      <c r="E30" s="28">
        <v>8.2500000000000004E-2</v>
      </c>
      <c r="F30" s="29" t="s">
        <v>155</v>
      </c>
    </row>
    <row r="31" spans="1:6" ht="15" customHeight="1" x14ac:dyDescent="0.2">
      <c r="A31" s="24" t="s">
        <v>186</v>
      </c>
      <c r="B31" s="25">
        <v>277.2</v>
      </c>
      <c r="C31" s="26">
        <v>6.0000000000000001E-3</v>
      </c>
      <c r="D31" s="27">
        <v>6.6500000000000004E-2</v>
      </c>
      <c r="E31" s="28">
        <v>8.9999999999999993E-3</v>
      </c>
      <c r="F31" s="29" t="s">
        <v>157</v>
      </c>
    </row>
    <row r="32" spans="1:6" ht="15" customHeight="1" x14ac:dyDescent="0.2">
      <c r="A32" s="24" t="s">
        <v>187</v>
      </c>
      <c r="B32" s="25">
        <v>9240.2999999999993</v>
      </c>
      <c r="C32" s="26">
        <v>6.0000000000000001E-3</v>
      </c>
      <c r="D32" s="27">
        <v>6.6500000000000004E-2</v>
      </c>
      <c r="E32" s="28">
        <v>8.9999999999999993E-3</v>
      </c>
      <c r="F32" s="29" t="s">
        <v>168</v>
      </c>
    </row>
    <row r="33" spans="1:6" ht="15" customHeight="1" x14ac:dyDescent="0.2">
      <c r="A33" s="24" t="s">
        <v>188</v>
      </c>
      <c r="B33" s="25">
        <v>378.4</v>
      </c>
      <c r="C33" s="26">
        <v>1.9E-2</v>
      </c>
      <c r="D33" s="27">
        <v>8.5999999999999993E-2</v>
      </c>
      <c r="E33" s="28">
        <v>2.8500000000000001E-2</v>
      </c>
      <c r="F33" s="29" t="s">
        <v>157</v>
      </c>
    </row>
    <row r="34" spans="1:6" ht="15" customHeight="1" x14ac:dyDescent="0.2">
      <c r="A34" s="24" t="s">
        <v>189</v>
      </c>
      <c r="B34" s="25">
        <v>32.700000000000003</v>
      </c>
      <c r="C34" s="26">
        <v>6.5000000000000002E-2</v>
      </c>
      <c r="D34" s="27">
        <v>0.155</v>
      </c>
      <c r="E34" s="28">
        <v>9.7500000000000003E-2</v>
      </c>
      <c r="F34" s="29" t="s">
        <v>155</v>
      </c>
    </row>
    <row r="35" spans="1:6" ht="15" customHeight="1" x14ac:dyDescent="0.2">
      <c r="A35" s="24" t="s">
        <v>190</v>
      </c>
      <c r="B35" s="25">
        <v>14.1</v>
      </c>
      <c r="C35" s="26">
        <v>3.5999999999999997E-2</v>
      </c>
      <c r="D35" s="27">
        <v>0.1115</v>
      </c>
      <c r="E35" s="28">
        <v>5.3999999999999999E-2</v>
      </c>
      <c r="F35" s="29" t="s">
        <v>155</v>
      </c>
    </row>
    <row r="36" spans="1:6" ht="15" customHeight="1" x14ac:dyDescent="0.2">
      <c r="A36" s="24" t="s">
        <v>191</v>
      </c>
      <c r="B36" s="25">
        <v>1.2</v>
      </c>
      <c r="C36" s="26">
        <v>4.4999999999999998E-2</v>
      </c>
      <c r="D36" s="27">
        <v>0.125</v>
      </c>
      <c r="E36" s="28">
        <v>6.7500000000000004E-2</v>
      </c>
      <c r="F36" s="29" t="s">
        <v>162</v>
      </c>
    </row>
    <row r="37" spans="1:6" ht="15" customHeight="1" x14ac:dyDescent="0.2">
      <c r="A37" s="24" t="s">
        <v>192</v>
      </c>
      <c r="B37" s="25">
        <v>49.6</v>
      </c>
      <c r="C37" s="26">
        <v>2.5000000000000001E-2</v>
      </c>
      <c r="D37" s="27">
        <v>9.5000000000000001E-2</v>
      </c>
      <c r="E37" s="28">
        <v>3.7499999999999999E-2</v>
      </c>
      <c r="F37" s="29" t="s">
        <v>157</v>
      </c>
    </row>
    <row r="38" spans="1:6" ht="15" customHeight="1" x14ac:dyDescent="0.2">
      <c r="A38" s="24" t="s">
        <v>193</v>
      </c>
      <c r="B38" s="25">
        <v>31.1</v>
      </c>
      <c r="C38" s="26">
        <v>4.4999999999999998E-2</v>
      </c>
      <c r="D38" s="27">
        <v>0.125</v>
      </c>
      <c r="E38" s="28">
        <v>6.7500000000000004E-2</v>
      </c>
      <c r="F38" s="29" t="s">
        <v>155</v>
      </c>
    </row>
    <row r="39" spans="1:6" ht="15" customHeight="1" x14ac:dyDescent="0.2">
      <c r="A39" s="24" t="s">
        <v>194</v>
      </c>
      <c r="B39" s="25">
        <v>57.9</v>
      </c>
      <c r="C39" s="26">
        <v>2.5000000000000001E-2</v>
      </c>
      <c r="D39" s="27">
        <v>9.5000000000000001E-2</v>
      </c>
      <c r="E39" s="28">
        <v>3.7499999999999999E-2</v>
      </c>
      <c r="F39" s="29" t="s">
        <v>151</v>
      </c>
    </row>
    <row r="40" spans="1:6" ht="15" customHeight="1" x14ac:dyDescent="0.2">
      <c r="A40" s="24" t="s">
        <v>195</v>
      </c>
      <c r="B40" s="25">
        <v>60.8</v>
      </c>
      <c r="C40" s="26">
        <v>0.09</v>
      </c>
      <c r="D40" s="27">
        <v>0.1925</v>
      </c>
      <c r="E40" s="28">
        <v>0.13500000000000001</v>
      </c>
      <c r="F40" s="29" t="s">
        <v>160</v>
      </c>
    </row>
    <row r="41" spans="1:6" ht="15" customHeight="1" x14ac:dyDescent="0.2">
      <c r="A41" s="24" t="s">
        <v>196</v>
      </c>
      <c r="B41" s="25">
        <v>1</v>
      </c>
      <c r="C41" s="26">
        <v>1.2E-2</v>
      </c>
      <c r="D41" s="27">
        <v>7.5499999999999998E-2</v>
      </c>
      <c r="E41" s="28">
        <v>1.7999999999999999E-2</v>
      </c>
      <c r="F41" s="29" t="s">
        <v>160</v>
      </c>
    </row>
    <row r="42" spans="1:6" ht="15" customHeight="1" x14ac:dyDescent="0.2">
      <c r="A42" s="24" t="s">
        <v>197</v>
      </c>
      <c r="B42" s="25">
        <v>21.9</v>
      </c>
      <c r="C42" s="26">
        <v>6.5000000000000002E-2</v>
      </c>
      <c r="D42" s="27">
        <v>0.155</v>
      </c>
      <c r="E42" s="28">
        <v>9.7500000000000003E-2</v>
      </c>
      <c r="F42" s="29" t="s">
        <v>153</v>
      </c>
    </row>
    <row r="43" spans="1:6" ht="15" customHeight="1" x14ac:dyDescent="0.2">
      <c r="A43" s="24" t="s">
        <v>198</v>
      </c>
      <c r="B43" s="25">
        <v>208.9</v>
      </c>
      <c r="C43" s="26">
        <v>7.0000000000000001E-3</v>
      </c>
      <c r="D43" s="27">
        <v>6.8000000000000005E-2</v>
      </c>
      <c r="E43" s="28">
        <v>1.0500000000000001E-2</v>
      </c>
      <c r="F43" s="29" t="s">
        <v>151</v>
      </c>
    </row>
    <row r="44" spans="1:6" ht="15" customHeight="1" x14ac:dyDescent="0.2">
      <c r="A44" s="24" t="s">
        <v>199</v>
      </c>
      <c r="B44" s="25">
        <v>335.9</v>
      </c>
      <c r="C44" s="26">
        <v>0</v>
      </c>
      <c r="D44" s="27">
        <v>5.7500000000000002E-2</v>
      </c>
      <c r="E44" s="28">
        <v>0</v>
      </c>
      <c r="F44" s="29" t="s">
        <v>153</v>
      </c>
    </row>
    <row r="45" spans="1:6" ht="15" customHeight="1" x14ac:dyDescent="0.2">
      <c r="A45" s="24" t="s">
        <v>200</v>
      </c>
      <c r="B45" s="25">
        <v>61.2</v>
      </c>
      <c r="C45" s="26">
        <v>4.4999999999999998E-2</v>
      </c>
      <c r="D45" s="27">
        <v>0.125</v>
      </c>
      <c r="E45" s="28">
        <v>6.7500000000000004E-2</v>
      </c>
      <c r="F45" s="29" t="s">
        <v>160</v>
      </c>
    </row>
    <row r="46" spans="1:6" ht="15" customHeight="1" x14ac:dyDescent="0.2">
      <c r="A46" s="24" t="s">
        <v>201</v>
      </c>
      <c r="B46" s="25">
        <v>94.5</v>
      </c>
      <c r="C46" s="26">
        <v>6.5000000000000002E-2</v>
      </c>
      <c r="D46" s="27">
        <v>0.155</v>
      </c>
      <c r="E46" s="28">
        <v>9.7500000000000003E-2</v>
      </c>
      <c r="F46" s="29" t="s">
        <v>157</v>
      </c>
    </row>
    <row r="47" spans="1:6" ht="15" customHeight="1" x14ac:dyDescent="0.2">
      <c r="A47" s="24" t="s">
        <v>202</v>
      </c>
      <c r="B47" s="25">
        <v>272</v>
      </c>
      <c r="C47" s="26">
        <v>7.4999999999999997E-2</v>
      </c>
      <c r="D47" s="27">
        <v>0.17</v>
      </c>
      <c r="E47" s="28">
        <v>0.1125</v>
      </c>
      <c r="F47" s="29" t="s">
        <v>155</v>
      </c>
    </row>
    <row r="48" spans="1:6" ht="15" customHeight="1" x14ac:dyDescent="0.2">
      <c r="A48" s="24" t="s">
        <v>203</v>
      </c>
      <c r="B48" s="25">
        <v>24.3</v>
      </c>
      <c r="C48" s="26">
        <v>3.5999999999999997E-2</v>
      </c>
      <c r="D48" s="27">
        <v>0.1115</v>
      </c>
      <c r="E48" s="28">
        <v>5.3999999999999999E-2</v>
      </c>
      <c r="F48" s="29" t="s">
        <v>157</v>
      </c>
    </row>
    <row r="49" spans="1:6" ht="15" customHeight="1" x14ac:dyDescent="0.2">
      <c r="A49" s="24" t="s">
        <v>204</v>
      </c>
      <c r="B49" s="25">
        <v>24.9</v>
      </c>
      <c r="C49" s="26">
        <v>7.0000000000000001E-3</v>
      </c>
      <c r="D49" s="27">
        <v>6.8000000000000005E-2</v>
      </c>
      <c r="E49" s="28">
        <v>1.0500000000000001E-2</v>
      </c>
      <c r="F49" s="29" t="s">
        <v>151</v>
      </c>
    </row>
    <row r="50" spans="1:6" ht="15" customHeight="1" x14ac:dyDescent="0.2">
      <c r="A50" s="24" t="s">
        <v>205</v>
      </c>
      <c r="B50" s="25">
        <v>47.5</v>
      </c>
      <c r="C50" s="26">
        <v>4.4999999999999998E-2</v>
      </c>
      <c r="D50" s="27">
        <v>0.125</v>
      </c>
      <c r="E50" s="28">
        <v>6.7500000000000004E-2</v>
      </c>
      <c r="F50" s="29" t="s">
        <v>155</v>
      </c>
    </row>
    <row r="51" spans="1:6" ht="15" customHeight="1" x14ac:dyDescent="0.2">
      <c r="A51" s="24" t="s">
        <v>206</v>
      </c>
      <c r="B51" s="25">
        <v>3.9</v>
      </c>
      <c r="C51" s="26">
        <v>4.4999999999999998E-2</v>
      </c>
      <c r="D51" s="27">
        <v>0.125</v>
      </c>
      <c r="E51" s="28">
        <v>6.7500000000000004E-2</v>
      </c>
      <c r="F51" s="29" t="s">
        <v>168</v>
      </c>
    </row>
    <row r="52" spans="1:6" ht="15" customHeight="1" x14ac:dyDescent="0.2">
      <c r="A52" s="24" t="s">
        <v>207</v>
      </c>
      <c r="B52" s="25">
        <v>267.3</v>
      </c>
      <c r="C52" s="26">
        <v>0</v>
      </c>
      <c r="D52" s="27">
        <v>5.7500000000000002E-2</v>
      </c>
      <c r="E52" s="28">
        <v>0</v>
      </c>
      <c r="F52" s="29" t="s">
        <v>153</v>
      </c>
    </row>
    <row r="53" spans="1:6" ht="15" customHeight="1" x14ac:dyDescent="0.2">
      <c r="A53" s="24" t="s">
        <v>208</v>
      </c>
      <c r="B53" s="25">
        <v>2806.4</v>
      </c>
      <c r="C53" s="26">
        <v>4.0000000000000001E-3</v>
      </c>
      <c r="D53" s="27">
        <v>6.3500000000000001E-2</v>
      </c>
      <c r="E53" s="28">
        <v>6.0000000000000001E-3</v>
      </c>
      <c r="F53" s="29" t="s">
        <v>153</v>
      </c>
    </row>
    <row r="54" spans="1:6" ht="15" customHeight="1" x14ac:dyDescent="0.2">
      <c r="A54" s="24" t="s">
        <v>209</v>
      </c>
      <c r="B54" s="25">
        <v>19.3</v>
      </c>
      <c r="C54" s="26">
        <v>3.5999999999999997E-2</v>
      </c>
      <c r="D54" s="27">
        <v>0.1115</v>
      </c>
      <c r="E54" s="28">
        <v>5.3999999999999999E-2</v>
      </c>
      <c r="F54" s="29" t="s">
        <v>155</v>
      </c>
    </row>
    <row r="55" spans="1:6" ht="15" customHeight="1" x14ac:dyDescent="0.2">
      <c r="A55" s="24" t="s">
        <v>210</v>
      </c>
      <c r="B55" s="25">
        <v>16.100000000000001</v>
      </c>
      <c r="C55" s="26">
        <v>3.5999999999999997E-2</v>
      </c>
      <c r="D55" s="27">
        <v>0.1115</v>
      </c>
      <c r="E55" s="28">
        <v>5.3999999999999999E-2</v>
      </c>
      <c r="F55" s="29" t="s">
        <v>151</v>
      </c>
    </row>
    <row r="56" spans="1:6" ht="15" customHeight="1" x14ac:dyDescent="0.2">
      <c r="A56" s="24" t="s">
        <v>211</v>
      </c>
      <c r="B56" s="25">
        <v>3730.3</v>
      </c>
      <c r="C56" s="26">
        <v>0</v>
      </c>
      <c r="D56" s="27">
        <v>5.7500000000000002E-2</v>
      </c>
      <c r="E56" s="28">
        <v>0</v>
      </c>
      <c r="F56" s="29" t="s">
        <v>153</v>
      </c>
    </row>
    <row r="57" spans="1:6" ht="15" customHeight="1" x14ac:dyDescent="0.2">
      <c r="A57" s="24" t="s">
        <v>212</v>
      </c>
      <c r="B57" s="25">
        <v>48.1</v>
      </c>
      <c r="C57" s="26">
        <v>5.5E-2</v>
      </c>
      <c r="D57" s="27">
        <v>0.14000000000000001</v>
      </c>
      <c r="E57" s="28">
        <v>8.2500000000000004E-2</v>
      </c>
      <c r="F57" s="29" t="s">
        <v>155</v>
      </c>
    </row>
    <row r="58" spans="1:6" ht="15" customHeight="1" x14ac:dyDescent="0.2">
      <c r="A58" s="24" t="s">
        <v>213</v>
      </c>
      <c r="B58" s="25">
        <v>242.2</v>
      </c>
      <c r="C58" s="26">
        <v>7.4999999999999997E-2</v>
      </c>
      <c r="D58" s="27">
        <v>0.17</v>
      </c>
      <c r="E58" s="28">
        <v>0.1125</v>
      </c>
      <c r="F58" s="29" t="s">
        <v>153</v>
      </c>
    </row>
    <row r="59" spans="1:6" ht="15" customHeight="1" x14ac:dyDescent="0.2">
      <c r="A59" s="24" t="s">
        <v>214</v>
      </c>
      <c r="B59" s="25">
        <v>53.8</v>
      </c>
      <c r="C59" s="26">
        <v>2.5000000000000001E-2</v>
      </c>
      <c r="D59" s="27">
        <v>9.5000000000000001E-2</v>
      </c>
      <c r="E59" s="28">
        <v>3.7499999999999999E-2</v>
      </c>
      <c r="F59" s="29" t="s">
        <v>157</v>
      </c>
    </row>
    <row r="60" spans="1:6" ht="15" customHeight="1" x14ac:dyDescent="0.2">
      <c r="A60" s="24" t="s">
        <v>215</v>
      </c>
      <c r="B60" s="25">
        <v>0.5</v>
      </c>
      <c r="C60" s="26">
        <v>4.0000000000000001E-3</v>
      </c>
      <c r="D60" s="27">
        <v>6.3500000000000001E-2</v>
      </c>
      <c r="E60" s="28">
        <v>6.0000000000000001E-3</v>
      </c>
      <c r="F60" s="29" t="s">
        <v>153</v>
      </c>
    </row>
    <row r="61" spans="1:6" ht="15" customHeight="1" x14ac:dyDescent="0.2">
      <c r="A61" s="24" t="s">
        <v>216</v>
      </c>
      <c r="B61" s="25">
        <v>18.600000000000001</v>
      </c>
      <c r="C61" s="26">
        <v>6.5000000000000002E-2</v>
      </c>
      <c r="D61" s="27">
        <v>0.155</v>
      </c>
      <c r="E61" s="28">
        <v>9.7500000000000003E-2</v>
      </c>
      <c r="F61" s="29" t="s">
        <v>157</v>
      </c>
    </row>
    <row r="62" spans="1:6" ht="15" customHeight="1" x14ac:dyDescent="0.2">
      <c r="A62" s="24" t="s">
        <v>217</v>
      </c>
      <c r="B62" s="25">
        <v>274</v>
      </c>
      <c r="C62" s="26">
        <v>4.0000000000000001E-3</v>
      </c>
      <c r="D62" s="27">
        <v>6.3500000000000001E-2</v>
      </c>
      <c r="E62" s="28">
        <v>6.0000000000000001E-3</v>
      </c>
      <c r="F62" s="29" t="s">
        <v>168</v>
      </c>
    </row>
    <row r="63" spans="1:6" ht="15" customHeight="1" x14ac:dyDescent="0.2">
      <c r="A63" s="24" t="s">
        <v>218</v>
      </c>
      <c r="B63" s="25">
        <v>133.4</v>
      </c>
      <c r="C63" s="26">
        <v>2.5000000000000001E-2</v>
      </c>
      <c r="D63" s="27">
        <v>9.5000000000000001E-2</v>
      </c>
      <c r="E63" s="28">
        <v>3.7499999999999999E-2</v>
      </c>
      <c r="F63" s="29" t="s">
        <v>151</v>
      </c>
    </row>
    <row r="64" spans="1:6" ht="15" customHeight="1" x14ac:dyDescent="0.2">
      <c r="A64" s="24" t="s">
        <v>219</v>
      </c>
      <c r="B64" s="25">
        <v>15.3</v>
      </c>
      <c r="C64" s="26">
        <v>2.1999999999999999E-2</v>
      </c>
      <c r="D64" s="27">
        <v>9.0499999999999997E-2</v>
      </c>
      <c r="E64" s="28">
        <v>3.3000000000000002E-2</v>
      </c>
      <c r="F64" s="29" t="s">
        <v>153</v>
      </c>
    </row>
    <row r="65" spans="1:6" ht="15" customHeight="1" x14ac:dyDescent="0.2">
      <c r="A65" s="24" t="s">
        <v>220</v>
      </c>
      <c r="B65" s="25">
        <v>1876.8</v>
      </c>
      <c r="C65" s="26">
        <v>2.1999999999999999E-2</v>
      </c>
      <c r="D65" s="27">
        <v>9.0499999999999997E-2</v>
      </c>
      <c r="E65" s="28">
        <v>3.3000000000000002E-2</v>
      </c>
      <c r="F65" s="29" t="s">
        <v>168</v>
      </c>
    </row>
    <row r="66" spans="1:6" ht="15" customHeight="1" x14ac:dyDescent="0.2">
      <c r="A66" s="24" t="s">
        <v>221</v>
      </c>
      <c r="B66" s="25">
        <v>868.4</v>
      </c>
      <c r="C66" s="26">
        <v>2.1999999999999999E-2</v>
      </c>
      <c r="D66" s="27">
        <v>9.0499999999999997E-2</v>
      </c>
      <c r="E66" s="28">
        <v>3.3000000000000002E-2</v>
      </c>
      <c r="F66" s="29" t="s">
        <v>168</v>
      </c>
    </row>
    <row r="67" spans="1:6" ht="15" customHeight="1" x14ac:dyDescent="0.2">
      <c r="A67" s="24" t="s">
        <v>222</v>
      </c>
      <c r="B67" s="25">
        <v>232.1</v>
      </c>
      <c r="C67" s="26">
        <v>1.6E-2</v>
      </c>
      <c r="D67" s="27">
        <v>8.1500000000000003E-2</v>
      </c>
      <c r="E67" s="28">
        <v>2.4E-2</v>
      </c>
      <c r="F67" s="29" t="s">
        <v>153</v>
      </c>
    </row>
    <row r="68" spans="1:6" ht="15" customHeight="1" x14ac:dyDescent="0.2">
      <c r="A68" s="24" t="s">
        <v>223</v>
      </c>
      <c r="B68" s="25">
        <v>1.4</v>
      </c>
      <c r="C68" s="26">
        <v>4.0000000000000001E-3</v>
      </c>
      <c r="D68" s="27">
        <v>6.3500000000000001E-2</v>
      </c>
      <c r="E68" s="28">
        <v>6.0000000000000001E-3</v>
      </c>
      <c r="F68" s="29" t="s">
        <v>153</v>
      </c>
    </row>
    <row r="69" spans="1:6" ht="15" customHeight="1" x14ac:dyDescent="0.2">
      <c r="A69" s="24" t="s">
        <v>224</v>
      </c>
      <c r="B69" s="25">
        <v>290.60000000000002</v>
      </c>
      <c r="C69" s="26">
        <v>7.0000000000000001E-3</v>
      </c>
      <c r="D69" s="27">
        <v>6.8000000000000005E-2</v>
      </c>
      <c r="E69" s="28">
        <v>1.0500000000000001E-2</v>
      </c>
      <c r="F69" s="29" t="s">
        <v>149</v>
      </c>
    </row>
    <row r="70" spans="1:6" ht="15" customHeight="1" x14ac:dyDescent="0.2">
      <c r="A70" s="24" t="s">
        <v>225</v>
      </c>
      <c r="B70" s="25">
        <v>2149.5</v>
      </c>
      <c r="C70" s="26">
        <v>1.9E-2</v>
      </c>
      <c r="D70" s="27">
        <v>8.5999999999999993E-2</v>
      </c>
      <c r="E70" s="28">
        <v>2.8500000000000001E-2</v>
      </c>
      <c r="F70" s="29" t="s">
        <v>153</v>
      </c>
    </row>
    <row r="71" spans="1:6" ht="15" customHeight="1" x14ac:dyDescent="0.2">
      <c r="A71" s="24" t="s">
        <v>226</v>
      </c>
      <c r="B71" s="25">
        <v>14.4</v>
      </c>
      <c r="C71" s="26">
        <v>0.1</v>
      </c>
      <c r="D71" s="27">
        <v>0.20749999999999999</v>
      </c>
      <c r="E71" s="28">
        <v>0.15</v>
      </c>
      <c r="F71" s="29" t="s">
        <v>160</v>
      </c>
    </row>
    <row r="72" spans="1:6" ht="15" customHeight="1" x14ac:dyDescent="0.2">
      <c r="A72" s="24" t="s">
        <v>227</v>
      </c>
      <c r="B72" s="25">
        <v>4919.6000000000004</v>
      </c>
      <c r="C72" s="26">
        <v>7.0000000000000001E-3</v>
      </c>
      <c r="D72" s="27">
        <v>6.8000000000000005E-2</v>
      </c>
      <c r="E72" s="28">
        <v>1.0500000000000001E-2</v>
      </c>
      <c r="F72" s="29" t="s">
        <v>168</v>
      </c>
    </row>
    <row r="73" spans="1:6" ht="15" customHeight="1" x14ac:dyDescent="0.2">
      <c r="A73" s="24" t="s">
        <v>228</v>
      </c>
      <c r="B73" s="25">
        <v>1</v>
      </c>
      <c r="C73" s="26">
        <v>4.0000000000000001E-3</v>
      </c>
      <c r="D73" s="27">
        <v>6.3500000000000001E-2</v>
      </c>
      <c r="E73" s="28">
        <v>6.0000000000000001E-3</v>
      </c>
      <c r="F73" s="29" t="s">
        <v>153</v>
      </c>
    </row>
    <row r="74" spans="1:6" ht="15" customHeight="1" x14ac:dyDescent="0.2">
      <c r="A74" s="24" t="s">
        <v>229</v>
      </c>
      <c r="B74" s="25">
        <v>33.700000000000003</v>
      </c>
      <c r="C74" s="26">
        <v>4.4999999999999998E-2</v>
      </c>
      <c r="D74" s="27">
        <v>0.125</v>
      </c>
      <c r="E74" s="28">
        <v>6.7500000000000004E-2</v>
      </c>
      <c r="F74" s="29" t="s">
        <v>149</v>
      </c>
    </row>
    <row r="75" spans="1:6" ht="15" customHeight="1" x14ac:dyDescent="0.2">
      <c r="A75" s="24" t="s">
        <v>230</v>
      </c>
      <c r="B75" s="25">
        <v>321.89999999999998</v>
      </c>
      <c r="C75" s="26">
        <v>1.9E-2</v>
      </c>
      <c r="D75" s="27">
        <v>8.5999999999999993E-2</v>
      </c>
      <c r="E75" s="28">
        <v>2.8500000000000001E-2</v>
      </c>
      <c r="F75" s="29" t="s">
        <v>151</v>
      </c>
    </row>
    <row r="76" spans="1:6" ht="15" customHeight="1" x14ac:dyDescent="0.2">
      <c r="A76" s="24" t="s">
        <v>231</v>
      </c>
      <c r="B76" s="25">
        <v>55.2</v>
      </c>
      <c r="C76" s="26">
        <v>4.4999999999999998E-2</v>
      </c>
      <c r="D76" s="27">
        <v>0.125</v>
      </c>
      <c r="E76" s="28">
        <v>6.7500000000000004E-2</v>
      </c>
      <c r="F76" s="29" t="s">
        <v>155</v>
      </c>
    </row>
    <row r="77" spans="1:6" ht="15" customHeight="1" x14ac:dyDescent="0.2">
      <c r="A77" s="24" t="s">
        <v>232</v>
      </c>
      <c r="B77" s="25">
        <v>1304.5999999999999</v>
      </c>
      <c r="C77" s="26">
        <v>6.0000000000000001E-3</v>
      </c>
      <c r="D77" s="27">
        <v>6.6500000000000004E-2</v>
      </c>
      <c r="E77" s="28">
        <v>8.9999999999999993E-3</v>
      </c>
      <c r="F77" s="29" t="s">
        <v>168</v>
      </c>
    </row>
    <row r="78" spans="1:6" ht="15" customHeight="1" x14ac:dyDescent="0.2">
      <c r="A78" s="24" t="s">
        <v>233</v>
      </c>
      <c r="B78" s="25">
        <v>175.8</v>
      </c>
      <c r="C78" s="26">
        <v>5.0000000000000001E-3</v>
      </c>
      <c r="D78" s="27">
        <v>6.5000000000000002E-2</v>
      </c>
      <c r="E78" s="28">
        <v>7.4999999999999997E-3</v>
      </c>
      <c r="F78" s="29" t="s">
        <v>149</v>
      </c>
    </row>
    <row r="79" spans="1:6" ht="15" customHeight="1" x14ac:dyDescent="0.2">
      <c r="A79" s="24" t="s">
        <v>234</v>
      </c>
      <c r="B79" s="25">
        <v>31</v>
      </c>
      <c r="C79" s="26">
        <v>1.6E-2</v>
      </c>
      <c r="D79" s="27">
        <v>8.1500000000000003E-2</v>
      </c>
      <c r="E79" s="28">
        <v>2.4E-2</v>
      </c>
      <c r="F79" s="29" t="s">
        <v>151</v>
      </c>
    </row>
    <row r="80" spans="1:6" ht="15" customHeight="1" x14ac:dyDescent="0.2">
      <c r="A80" s="24" t="s">
        <v>235</v>
      </c>
      <c r="B80" s="25">
        <v>44.4</v>
      </c>
      <c r="C80" s="26">
        <v>5.5E-2</v>
      </c>
      <c r="D80" s="27">
        <v>0.14000000000000001</v>
      </c>
      <c r="E80" s="28">
        <v>8.2500000000000004E-2</v>
      </c>
      <c r="F80" s="29" t="s">
        <v>149</v>
      </c>
    </row>
    <row r="81" spans="1:6" ht="15" customHeight="1" x14ac:dyDescent="0.2">
      <c r="A81" s="24" t="s">
        <v>236</v>
      </c>
      <c r="B81" s="25">
        <v>10.5</v>
      </c>
      <c r="C81" s="26">
        <v>0</v>
      </c>
      <c r="D81" s="27">
        <v>5.7500000000000002E-2</v>
      </c>
      <c r="E81" s="28">
        <v>0</v>
      </c>
      <c r="F81" s="29" t="s">
        <v>153</v>
      </c>
    </row>
    <row r="82" spans="1:6" ht="15" customHeight="1" x14ac:dyDescent="0.2">
      <c r="A82" s="24" t="s">
        <v>237</v>
      </c>
      <c r="B82" s="25">
        <v>45.9</v>
      </c>
      <c r="C82" s="26">
        <v>1.6E-2</v>
      </c>
      <c r="D82" s="27">
        <v>8.1500000000000003E-2</v>
      </c>
      <c r="E82" s="28">
        <v>2.4E-2</v>
      </c>
      <c r="F82" s="29" t="s">
        <v>151</v>
      </c>
    </row>
    <row r="83" spans="1:6" ht="15" customHeight="1" x14ac:dyDescent="0.2">
      <c r="A83" s="24" t="s">
        <v>238</v>
      </c>
      <c r="B83" s="25">
        <v>60.1</v>
      </c>
      <c r="C83" s="26">
        <v>0</v>
      </c>
      <c r="D83" s="27">
        <v>5.7500000000000002E-2</v>
      </c>
      <c r="E83" s="28">
        <v>0</v>
      </c>
      <c r="F83" s="29" t="s">
        <v>153</v>
      </c>
    </row>
    <row r="84" spans="1:6" ht="15" customHeight="1" x14ac:dyDescent="0.2">
      <c r="A84" s="24" t="s">
        <v>239</v>
      </c>
      <c r="B84" s="25">
        <v>51.8</v>
      </c>
      <c r="C84" s="26">
        <v>5.0000000000000001E-3</v>
      </c>
      <c r="D84" s="27">
        <v>6.5000000000000002E-2</v>
      </c>
      <c r="E84" s="28">
        <v>7.4999999999999997E-3</v>
      </c>
      <c r="F84" s="29" t="s">
        <v>168</v>
      </c>
    </row>
    <row r="85" spans="1:6" ht="15" customHeight="1" x14ac:dyDescent="0.2">
      <c r="A85" s="24" t="s">
        <v>240</v>
      </c>
      <c r="B85" s="25">
        <v>10.199999999999999</v>
      </c>
      <c r="C85" s="26">
        <v>3.5999999999999997E-2</v>
      </c>
      <c r="D85" s="27">
        <v>0.1115</v>
      </c>
      <c r="E85" s="28">
        <v>5.3999999999999999E-2</v>
      </c>
      <c r="F85" s="29" t="s">
        <v>151</v>
      </c>
    </row>
    <row r="86" spans="1:6" ht="15" customHeight="1" x14ac:dyDescent="0.2">
      <c r="A86" s="24" t="s">
        <v>241</v>
      </c>
      <c r="B86" s="25">
        <v>313.2</v>
      </c>
      <c r="C86" s="26">
        <v>1.2E-2</v>
      </c>
      <c r="D86" s="27">
        <v>7.5499999999999998E-2</v>
      </c>
      <c r="E86" s="28">
        <v>1.7999999999999999E-2</v>
      </c>
      <c r="F86" s="29" t="s">
        <v>168</v>
      </c>
    </row>
    <row r="87" spans="1:6" ht="15" customHeight="1" x14ac:dyDescent="0.2">
      <c r="A87" s="24" t="s">
        <v>242</v>
      </c>
      <c r="B87" s="25">
        <v>9.6</v>
      </c>
      <c r="C87" s="26">
        <v>1.2E-2</v>
      </c>
      <c r="D87" s="27">
        <v>7.5499999999999998E-2</v>
      </c>
      <c r="E87" s="28">
        <v>1.7999999999999999E-2</v>
      </c>
      <c r="F87" s="29" t="s">
        <v>153</v>
      </c>
    </row>
    <row r="88" spans="1:6" ht="15" customHeight="1" x14ac:dyDescent="0.2">
      <c r="A88" s="24" t="s">
        <v>243</v>
      </c>
      <c r="B88" s="25">
        <v>11.9</v>
      </c>
      <c r="C88" s="26">
        <v>1.6E-2</v>
      </c>
      <c r="D88" s="27">
        <v>8.1500000000000003E-2</v>
      </c>
      <c r="E88" s="28">
        <v>2.4E-2</v>
      </c>
      <c r="F88" s="29" t="s">
        <v>168</v>
      </c>
    </row>
    <row r="89" spans="1:6" ht="15" customHeight="1" x14ac:dyDescent="0.2">
      <c r="A89" s="24" t="s">
        <v>244</v>
      </c>
      <c r="B89" s="25">
        <v>1260.9000000000001</v>
      </c>
      <c r="C89" s="26">
        <v>1.2E-2</v>
      </c>
      <c r="D89" s="27">
        <v>7.5499999999999998E-2</v>
      </c>
      <c r="E89" s="28">
        <v>1.7999999999999999E-2</v>
      </c>
      <c r="F89" s="29" t="s">
        <v>157</v>
      </c>
    </row>
    <row r="90" spans="1:6" ht="15" customHeight="1" x14ac:dyDescent="0.2">
      <c r="A90" s="24" t="s">
        <v>245</v>
      </c>
      <c r="B90" s="25">
        <v>8</v>
      </c>
      <c r="C90" s="26">
        <v>6.5000000000000002E-2</v>
      </c>
      <c r="D90" s="27">
        <v>0.155</v>
      </c>
      <c r="E90" s="28">
        <v>9.7500000000000003E-2</v>
      </c>
      <c r="F90" s="29" t="s">
        <v>151</v>
      </c>
    </row>
    <row r="91" spans="1:6" ht="15" customHeight="1" x14ac:dyDescent="0.2">
      <c r="A91" s="24" t="s">
        <v>246</v>
      </c>
      <c r="B91" s="25">
        <v>11.5</v>
      </c>
      <c r="C91" s="26">
        <v>5.5E-2</v>
      </c>
      <c r="D91" s="27">
        <v>0.14000000000000001</v>
      </c>
      <c r="E91" s="28">
        <v>8.2500000000000004E-2</v>
      </c>
      <c r="F91" s="29" t="s">
        <v>168</v>
      </c>
    </row>
    <row r="92" spans="1:6" ht="15" customHeight="1" x14ac:dyDescent="0.2">
      <c r="A92" s="24" t="s">
        <v>247</v>
      </c>
      <c r="B92" s="25">
        <v>4.4000000000000004</v>
      </c>
      <c r="C92" s="26">
        <v>3.5999999999999997E-2</v>
      </c>
      <c r="D92" s="27">
        <v>0.1115</v>
      </c>
      <c r="E92" s="28">
        <v>5.3999999999999999E-2</v>
      </c>
      <c r="F92" s="29" t="s">
        <v>151</v>
      </c>
    </row>
    <row r="93" spans="1:6" ht="15" customHeight="1" x14ac:dyDescent="0.2">
      <c r="A93" s="24" t="s">
        <v>248</v>
      </c>
      <c r="B93" s="25">
        <v>1.5</v>
      </c>
      <c r="C93" s="26">
        <v>2.1999999999999999E-2</v>
      </c>
      <c r="D93" s="27">
        <v>9.0499999999999997E-2</v>
      </c>
      <c r="E93" s="28">
        <v>3.3000000000000002E-2</v>
      </c>
      <c r="F93" s="29" t="s">
        <v>160</v>
      </c>
    </row>
    <row r="94" spans="1:6" ht="15" customHeight="1" x14ac:dyDescent="0.2">
      <c r="A94" s="24" t="s">
        <v>249</v>
      </c>
      <c r="B94" s="25">
        <v>103.8</v>
      </c>
      <c r="C94" s="26">
        <v>2.5000000000000001E-2</v>
      </c>
      <c r="D94" s="27">
        <v>9.5000000000000001E-2</v>
      </c>
      <c r="E94" s="28">
        <v>3.7499999999999999E-2</v>
      </c>
      <c r="F94" s="29" t="s">
        <v>155</v>
      </c>
    </row>
    <row r="95" spans="1:6" ht="15" customHeight="1" x14ac:dyDescent="0.2">
      <c r="A95" s="24" t="s">
        <v>250</v>
      </c>
      <c r="B95" s="25">
        <v>15.6</v>
      </c>
      <c r="C95" s="26">
        <v>4.4999999999999998E-2</v>
      </c>
      <c r="D95" s="27">
        <v>0.125</v>
      </c>
      <c r="E95" s="28">
        <v>6.7500000000000004E-2</v>
      </c>
      <c r="F95" s="29" t="s">
        <v>155</v>
      </c>
    </row>
    <row r="96" spans="1:6" ht="15" customHeight="1" x14ac:dyDescent="0.2">
      <c r="A96" s="24" t="s">
        <v>251</v>
      </c>
      <c r="B96" s="25">
        <v>13.1</v>
      </c>
      <c r="C96" s="26">
        <v>2.1999999999999999E-2</v>
      </c>
      <c r="D96" s="27">
        <v>9.0499999999999997E-2</v>
      </c>
      <c r="E96" s="28">
        <v>3.3000000000000002E-2</v>
      </c>
      <c r="F96" s="29" t="s">
        <v>155</v>
      </c>
    </row>
    <row r="97" spans="1:6" ht="15" customHeight="1" x14ac:dyDescent="0.2">
      <c r="A97" s="24" t="s">
        <v>252</v>
      </c>
      <c r="B97" s="25">
        <v>853.54</v>
      </c>
      <c r="C97" s="26">
        <v>0</v>
      </c>
      <c r="D97" s="27">
        <v>5.7500000000000002E-2</v>
      </c>
      <c r="E97" s="28">
        <v>0</v>
      </c>
      <c r="F97" s="29" t="s">
        <v>153</v>
      </c>
    </row>
    <row r="98" spans="1:6" ht="15" customHeight="1" x14ac:dyDescent="0.2">
      <c r="A98" s="24" t="s">
        <v>253</v>
      </c>
      <c r="B98" s="25">
        <v>185.8</v>
      </c>
      <c r="C98" s="26">
        <v>0</v>
      </c>
      <c r="D98" s="27">
        <v>5.7500000000000002E-2</v>
      </c>
      <c r="E98" s="28">
        <v>0</v>
      </c>
      <c r="F98" s="29" t="s">
        <v>162</v>
      </c>
    </row>
    <row r="99" spans="1:6" ht="15" customHeight="1" x14ac:dyDescent="0.2">
      <c r="A99" s="24" t="s">
        <v>254</v>
      </c>
      <c r="B99" s="25">
        <v>11.3</v>
      </c>
      <c r="C99" s="26">
        <v>6.5000000000000002E-2</v>
      </c>
      <c r="D99" s="27">
        <v>0.155</v>
      </c>
      <c r="E99" s="28">
        <v>9.7500000000000003E-2</v>
      </c>
      <c r="F99" s="29" t="s">
        <v>157</v>
      </c>
    </row>
    <row r="100" spans="1:6" ht="15" customHeight="1" x14ac:dyDescent="0.2">
      <c r="A100" s="24" t="s">
        <v>255</v>
      </c>
      <c r="B100" s="25">
        <v>521.79999999999995</v>
      </c>
      <c r="C100" s="26">
        <v>3.5999999999999997E-2</v>
      </c>
      <c r="D100" s="27">
        <v>0.1115</v>
      </c>
      <c r="E100" s="28">
        <v>5.3999999999999999E-2</v>
      </c>
      <c r="F100" s="29" t="s">
        <v>155</v>
      </c>
    </row>
    <row r="101" spans="1:6" ht="15" customHeight="1" x14ac:dyDescent="0.2">
      <c r="A101" s="24" t="s">
        <v>256</v>
      </c>
      <c r="B101" s="25">
        <v>512.6</v>
      </c>
      <c r="C101" s="26">
        <v>0</v>
      </c>
      <c r="D101" s="27">
        <v>5.7500000000000002E-2</v>
      </c>
      <c r="E101" s="28">
        <v>0</v>
      </c>
      <c r="F101" s="29" t="s">
        <v>153</v>
      </c>
    </row>
    <row r="102" spans="1:6" ht="15" customHeight="1" x14ac:dyDescent="0.2">
      <c r="A102" s="24" t="s">
        <v>257</v>
      </c>
      <c r="B102" s="25">
        <v>80</v>
      </c>
      <c r="C102" s="26">
        <v>7.0000000000000001E-3</v>
      </c>
      <c r="D102" s="27">
        <v>6.8000000000000005E-2</v>
      </c>
      <c r="E102" s="28">
        <v>1.0500000000000001E-2</v>
      </c>
      <c r="F102" s="29" t="s">
        <v>149</v>
      </c>
    </row>
    <row r="103" spans="1:6" ht="15" customHeight="1" x14ac:dyDescent="0.2">
      <c r="A103" s="24" t="s">
        <v>258</v>
      </c>
      <c r="B103" s="25">
        <v>232.3</v>
      </c>
      <c r="C103" s="26">
        <v>7.4999999999999997E-2</v>
      </c>
      <c r="D103" s="27">
        <v>0.17</v>
      </c>
      <c r="E103" s="28">
        <v>0.1125</v>
      </c>
      <c r="F103" s="29" t="s">
        <v>168</v>
      </c>
    </row>
    <row r="104" spans="1:6" ht="15" customHeight="1" x14ac:dyDescent="0.2">
      <c r="A104" s="24" t="s">
        <v>259</v>
      </c>
      <c r="B104" s="25">
        <v>42.7</v>
      </c>
      <c r="C104" s="26">
        <v>1.9E-2</v>
      </c>
      <c r="D104" s="27">
        <v>8.5999999999999993E-2</v>
      </c>
      <c r="E104" s="28">
        <v>2.8500000000000001E-2</v>
      </c>
      <c r="F104" s="29" t="s">
        <v>157</v>
      </c>
    </row>
    <row r="105" spans="1:6" ht="15" customHeight="1" x14ac:dyDescent="0.2">
      <c r="A105" s="24" t="s">
        <v>260</v>
      </c>
      <c r="B105" s="25">
        <v>15.3</v>
      </c>
      <c r="C105" s="26">
        <v>4.4999999999999998E-2</v>
      </c>
      <c r="D105" s="27">
        <v>0.125</v>
      </c>
      <c r="E105" s="28">
        <v>6.7500000000000004E-2</v>
      </c>
      <c r="F105" s="29" t="s">
        <v>168</v>
      </c>
    </row>
    <row r="106" spans="1:6" ht="15" customHeight="1" x14ac:dyDescent="0.2">
      <c r="A106" s="24" t="s">
        <v>261</v>
      </c>
      <c r="B106" s="25">
        <v>29</v>
      </c>
      <c r="C106" s="26">
        <v>0.03</v>
      </c>
      <c r="D106" s="27">
        <v>0.10249999999999999</v>
      </c>
      <c r="E106" s="28">
        <v>4.4999999999999998E-2</v>
      </c>
      <c r="F106" s="29" t="s">
        <v>157</v>
      </c>
    </row>
    <row r="107" spans="1:6" ht="15" customHeight="1" x14ac:dyDescent="0.2">
      <c r="A107" s="24" t="s">
        <v>262</v>
      </c>
      <c r="B107" s="25">
        <v>202.4</v>
      </c>
      <c r="C107" s="26">
        <v>1.2E-2</v>
      </c>
      <c r="D107" s="27">
        <v>7.5499999999999998E-2</v>
      </c>
      <c r="E107" s="28">
        <v>1.7999999999999999E-2</v>
      </c>
      <c r="F107" s="29" t="s">
        <v>157</v>
      </c>
    </row>
    <row r="108" spans="1:6" ht="15" customHeight="1" x14ac:dyDescent="0.2">
      <c r="A108" s="24" t="s">
        <v>263</v>
      </c>
      <c r="B108" s="25">
        <v>272.10000000000002</v>
      </c>
      <c r="C108" s="26">
        <v>1.9E-2</v>
      </c>
      <c r="D108" s="27">
        <v>8.5999999999999993E-2</v>
      </c>
      <c r="E108" s="28">
        <v>2.8500000000000001E-2</v>
      </c>
      <c r="F108" s="29" t="s">
        <v>168</v>
      </c>
    </row>
    <row r="109" spans="1:6" ht="15" customHeight="1" x14ac:dyDescent="0.2">
      <c r="A109" s="24" t="s">
        <v>264</v>
      </c>
      <c r="B109" s="25">
        <v>525.9</v>
      </c>
      <c r="C109" s="26">
        <v>8.5000000000000006E-3</v>
      </c>
      <c r="D109" s="27">
        <v>7.0300000000000001E-2</v>
      </c>
      <c r="E109" s="28">
        <v>1.2800000000000001E-2</v>
      </c>
      <c r="F109" s="29" t="s">
        <v>151</v>
      </c>
    </row>
    <row r="110" spans="1:6" ht="15" customHeight="1" x14ac:dyDescent="0.2">
      <c r="A110" s="24" t="s">
        <v>265</v>
      </c>
      <c r="B110" s="25">
        <v>227.3</v>
      </c>
      <c r="C110" s="26">
        <v>2.5000000000000001E-2</v>
      </c>
      <c r="D110" s="27">
        <v>9.5000000000000001E-2</v>
      </c>
      <c r="E110" s="28">
        <v>3.7499999999999999E-2</v>
      </c>
      <c r="F110" s="29" t="s">
        <v>153</v>
      </c>
    </row>
    <row r="111" spans="1:6" ht="15" customHeight="1" x14ac:dyDescent="0.2">
      <c r="A111" s="24" t="s">
        <v>266</v>
      </c>
      <c r="B111" s="25">
        <v>203.2</v>
      </c>
      <c r="C111" s="26">
        <v>5.0000000000000001E-3</v>
      </c>
      <c r="D111" s="27">
        <v>6.5000000000000002E-2</v>
      </c>
      <c r="E111" s="28">
        <v>7.4999999999999997E-3</v>
      </c>
      <c r="F111" s="29" t="s">
        <v>149</v>
      </c>
    </row>
    <row r="112" spans="1:6" ht="15" customHeight="1" x14ac:dyDescent="0.2">
      <c r="A112" s="24" t="s">
        <v>267</v>
      </c>
      <c r="B112" s="25">
        <v>5.2</v>
      </c>
      <c r="C112" s="26">
        <v>8.5000000000000006E-3</v>
      </c>
      <c r="D112" s="27">
        <v>7.0300000000000001E-2</v>
      </c>
      <c r="E112" s="28">
        <v>1.2800000000000001E-2</v>
      </c>
      <c r="F112" s="29" t="s">
        <v>149</v>
      </c>
    </row>
    <row r="113" spans="1:6" ht="15" customHeight="1" x14ac:dyDescent="0.2">
      <c r="A113" s="24" t="s">
        <v>268</v>
      </c>
      <c r="B113" s="25">
        <v>189.6</v>
      </c>
      <c r="C113" s="26">
        <v>2.1999999999999999E-2</v>
      </c>
      <c r="D113" s="27">
        <v>9.0499999999999997E-2</v>
      </c>
      <c r="E113" s="28">
        <v>3.3000000000000002E-2</v>
      </c>
      <c r="F113" s="29" t="s">
        <v>151</v>
      </c>
    </row>
    <row r="114" spans="1:6" ht="15" customHeight="1" x14ac:dyDescent="0.2">
      <c r="A114" s="24" t="s">
        <v>269</v>
      </c>
      <c r="B114" s="25">
        <v>2096.8000000000002</v>
      </c>
      <c r="C114" s="26">
        <v>1.9E-2</v>
      </c>
      <c r="D114" s="27">
        <v>8.5999999999999993E-2</v>
      </c>
      <c r="E114" s="28">
        <v>2.8500000000000001E-2</v>
      </c>
      <c r="F114" s="29" t="s">
        <v>151</v>
      </c>
    </row>
    <row r="115" spans="1:6" ht="15" customHeight="1" x14ac:dyDescent="0.2">
      <c r="A115" s="24" t="s">
        <v>270</v>
      </c>
      <c r="B115" s="25">
        <v>7.5</v>
      </c>
      <c r="C115" s="26">
        <v>5.5E-2</v>
      </c>
      <c r="D115" s="27">
        <v>0.14000000000000001</v>
      </c>
      <c r="E115" s="28">
        <v>8.2500000000000004E-2</v>
      </c>
      <c r="F115" s="29" t="s">
        <v>155</v>
      </c>
    </row>
    <row r="116" spans="1:6" ht="15" customHeight="1" x14ac:dyDescent="0.2">
      <c r="A116" s="24" t="s">
        <v>271</v>
      </c>
      <c r="B116" s="25">
        <v>748.5</v>
      </c>
      <c r="C116" s="26">
        <v>6.0000000000000001E-3</v>
      </c>
      <c r="D116" s="27">
        <v>6.6500000000000004E-2</v>
      </c>
      <c r="E116" s="28">
        <v>8.9999999999999993E-3</v>
      </c>
      <c r="F116" s="29" t="s">
        <v>149</v>
      </c>
    </row>
    <row r="117" spans="1:6" ht="15" customHeight="1" x14ac:dyDescent="0.2">
      <c r="A117" s="24" t="s">
        <v>272</v>
      </c>
      <c r="B117" s="25">
        <v>14.8</v>
      </c>
      <c r="C117" s="26">
        <v>4.4999999999999998E-2</v>
      </c>
      <c r="D117" s="27">
        <v>0.125</v>
      </c>
      <c r="E117" s="28">
        <v>6.7500000000000004E-2</v>
      </c>
      <c r="F117" s="29" t="s">
        <v>155</v>
      </c>
    </row>
    <row r="118" spans="1:6" ht="15" customHeight="1" x14ac:dyDescent="0.2">
      <c r="A118" s="24" t="s">
        <v>273</v>
      </c>
      <c r="B118" s="25">
        <v>45.5</v>
      </c>
      <c r="C118" s="26">
        <v>4.4999999999999998E-2</v>
      </c>
      <c r="D118" s="27">
        <v>0.125</v>
      </c>
      <c r="E118" s="28">
        <v>6.7500000000000004E-2</v>
      </c>
      <c r="F118" s="29" t="s">
        <v>151</v>
      </c>
    </row>
    <row r="119" spans="1:6" ht="15" customHeight="1" x14ac:dyDescent="0.2">
      <c r="A119" s="24" t="s">
        <v>274</v>
      </c>
      <c r="B119" s="25">
        <v>1</v>
      </c>
      <c r="C119" s="26">
        <v>1.2E-2</v>
      </c>
      <c r="D119" s="27">
        <v>7.5499999999999998E-2</v>
      </c>
      <c r="E119" s="28">
        <v>1.7999999999999999E-2</v>
      </c>
      <c r="F119" s="29" t="s">
        <v>149</v>
      </c>
    </row>
    <row r="120" spans="1:6" ht="15" customHeight="1" x14ac:dyDescent="0.2">
      <c r="A120" s="24" t="s">
        <v>275</v>
      </c>
      <c r="B120" s="25">
        <v>297.89999999999998</v>
      </c>
      <c r="C120" s="26">
        <v>0</v>
      </c>
      <c r="D120" s="27">
        <v>5.7500000000000002E-2</v>
      </c>
      <c r="E120" s="28">
        <v>0</v>
      </c>
      <c r="F120" s="29" t="s">
        <v>168</v>
      </c>
    </row>
    <row r="121" spans="1:6" ht="15" customHeight="1" x14ac:dyDescent="0.2">
      <c r="A121" s="24" t="s">
        <v>276</v>
      </c>
      <c r="B121" s="25">
        <v>97.7</v>
      </c>
      <c r="C121" s="26">
        <v>8.5000000000000006E-3</v>
      </c>
      <c r="D121" s="27">
        <v>7.0300000000000001E-2</v>
      </c>
      <c r="E121" s="28">
        <v>1.2800000000000001E-2</v>
      </c>
      <c r="F121" s="29" t="s">
        <v>151</v>
      </c>
    </row>
    <row r="122" spans="1:6" ht="15" customHeight="1" x14ac:dyDescent="0.2">
      <c r="A122" s="24" t="s">
        <v>277</v>
      </c>
      <c r="B122" s="25">
        <v>48</v>
      </c>
      <c r="C122" s="26">
        <v>2.5000000000000001E-2</v>
      </c>
      <c r="D122" s="27">
        <v>9.5000000000000001E-2</v>
      </c>
      <c r="E122" s="28">
        <v>3.7499999999999999E-2</v>
      </c>
      <c r="F122" s="29" t="s">
        <v>151</v>
      </c>
    </row>
    <row r="123" spans="1:6" ht="15" customHeight="1" x14ac:dyDescent="0.2">
      <c r="A123" s="24" t="s">
        <v>278</v>
      </c>
      <c r="B123" s="25">
        <v>350.6</v>
      </c>
      <c r="C123" s="26">
        <v>1.9E-2</v>
      </c>
      <c r="D123" s="27">
        <v>8.5999999999999993E-2</v>
      </c>
      <c r="E123" s="28">
        <v>2.8500000000000001E-2</v>
      </c>
      <c r="F123" s="29" t="s">
        <v>155</v>
      </c>
    </row>
    <row r="124" spans="1:6" ht="15" customHeight="1" x14ac:dyDescent="0.2">
      <c r="A124" s="24" t="s">
        <v>279</v>
      </c>
      <c r="B124" s="25">
        <v>1393</v>
      </c>
      <c r="C124" s="26">
        <v>1.9E-2</v>
      </c>
      <c r="D124" s="27">
        <v>8.5999999999999993E-2</v>
      </c>
      <c r="E124" s="28">
        <v>2.8500000000000001E-2</v>
      </c>
      <c r="F124" s="29" t="s">
        <v>153</v>
      </c>
    </row>
    <row r="125" spans="1:6" ht="15" customHeight="1" x14ac:dyDescent="0.2">
      <c r="A125" s="24" t="s">
        <v>280</v>
      </c>
      <c r="B125" s="25">
        <v>67.2</v>
      </c>
      <c r="C125" s="26">
        <v>4.4999999999999998E-2</v>
      </c>
      <c r="D125" s="27">
        <v>0.125</v>
      </c>
      <c r="E125" s="28">
        <v>6.7500000000000004E-2</v>
      </c>
      <c r="F125" s="29" t="s">
        <v>168</v>
      </c>
    </row>
    <row r="126" spans="1:6" ht="15" customHeight="1" x14ac:dyDescent="0.2">
      <c r="A126" s="24" t="s">
        <v>281</v>
      </c>
      <c r="B126" s="25">
        <v>1.5</v>
      </c>
      <c r="C126" s="26">
        <v>1.6E-2</v>
      </c>
      <c r="D126" s="27">
        <v>8.1500000000000003E-2</v>
      </c>
      <c r="E126" s="28">
        <v>2.4E-2</v>
      </c>
      <c r="F126" s="29" t="s">
        <v>160</v>
      </c>
    </row>
    <row r="127" spans="1:6" ht="15" customHeight="1" x14ac:dyDescent="0.2">
      <c r="A127" s="24" t="s">
        <v>282</v>
      </c>
      <c r="B127" s="25">
        <v>0.71299999999999997</v>
      </c>
      <c r="C127" s="26">
        <v>6.5000000000000002E-2</v>
      </c>
      <c r="D127" s="27">
        <v>0.155</v>
      </c>
      <c r="E127" s="28">
        <v>9.7500000000000003E-2</v>
      </c>
      <c r="F127" s="29" t="s">
        <v>160</v>
      </c>
    </row>
    <row r="128" spans="1:6" ht="15" customHeight="1" x14ac:dyDescent="0.2">
      <c r="A128" s="24" t="s">
        <v>283</v>
      </c>
      <c r="B128" s="25">
        <v>5.3</v>
      </c>
      <c r="C128" s="26">
        <v>3.5999999999999997E-2</v>
      </c>
      <c r="D128" s="27">
        <v>0.1115</v>
      </c>
      <c r="E128" s="28">
        <v>5.3999999999999999E-2</v>
      </c>
      <c r="F128" s="29" t="s">
        <v>157</v>
      </c>
    </row>
    <row r="129" spans="1:6" ht="15" customHeight="1" x14ac:dyDescent="0.2">
      <c r="A129" s="24" t="s">
        <v>284</v>
      </c>
      <c r="B129" s="25">
        <v>579.70000000000005</v>
      </c>
      <c r="C129" s="26">
        <v>0</v>
      </c>
      <c r="D129" s="27">
        <v>5.7500000000000002E-2</v>
      </c>
      <c r="E129" s="28">
        <v>0</v>
      </c>
      <c r="F129" s="29" t="s">
        <v>153</v>
      </c>
    </row>
    <row r="130" spans="1:6" ht="15" customHeight="1" x14ac:dyDescent="0.2">
      <c r="A130" s="24" t="s">
        <v>285</v>
      </c>
      <c r="B130" s="25">
        <v>685.4</v>
      </c>
      <c r="C130" s="26">
        <v>0</v>
      </c>
      <c r="D130" s="27">
        <v>5.7500000000000002E-2</v>
      </c>
      <c r="E130" s="28">
        <v>0</v>
      </c>
      <c r="F130" s="29" t="s">
        <v>153</v>
      </c>
    </row>
    <row r="131" spans="1:6" ht="15" customHeight="1" x14ac:dyDescent="0.2">
      <c r="A131" s="24" t="s">
        <v>286</v>
      </c>
      <c r="B131" s="25">
        <v>970.9</v>
      </c>
      <c r="C131" s="26">
        <v>6.0000000000000001E-3</v>
      </c>
      <c r="D131" s="27">
        <v>6.6500000000000004E-2</v>
      </c>
      <c r="E131" s="28">
        <v>8.9999999999999993E-3</v>
      </c>
      <c r="F131" s="29" t="s">
        <v>168</v>
      </c>
    </row>
    <row r="132" spans="1:6" ht="15" customHeight="1" x14ac:dyDescent="0.2">
      <c r="A132" s="24" t="s">
        <v>287</v>
      </c>
      <c r="B132" s="25">
        <v>387.3</v>
      </c>
      <c r="C132" s="26">
        <v>1.6E-2</v>
      </c>
      <c r="D132" s="27">
        <v>8.1500000000000003E-2</v>
      </c>
      <c r="E132" s="28">
        <v>2.4E-2</v>
      </c>
      <c r="F132" s="29" t="s">
        <v>168</v>
      </c>
    </row>
    <row r="133" spans="1:6" ht="15" customHeight="1" x14ac:dyDescent="0.2">
      <c r="A133" s="24" t="s">
        <v>288</v>
      </c>
      <c r="B133" s="25">
        <v>24.6</v>
      </c>
      <c r="C133" s="26">
        <v>1.6E-2</v>
      </c>
      <c r="D133" s="27">
        <v>8.1500000000000003E-2</v>
      </c>
      <c r="E133" s="28">
        <v>2.4E-2</v>
      </c>
      <c r="F133" s="29" t="s">
        <v>160</v>
      </c>
    </row>
    <row r="134" spans="1:6" ht="15" customHeight="1" x14ac:dyDescent="0.2">
      <c r="A134" s="24" t="s">
        <v>289</v>
      </c>
      <c r="B134" s="25">
        <v>47</v>
      </c>
      <c r="C134" s="26">
        <v>3.5999999999999997E-2</v>
      </c>
      <c r="D134" s="27">
        <v>0.1115</v>
      </c>
      <c r="E134" s="28">
        <v>5.3999999999999999E-2</v>
      </c>
      <c r="F134" s="29" t="s">
        <v>155</v>
      </c>
    </row>
    <row r="135" spans="1:6" ht="15" customHeight="1" x14ac:dyDescent="0.2">
      <c r="A135" s="24" t="s">
        <v>290</v>
      </c>
      <c r="B135" s="25">
        <v>822.1</v>
      </c>
      <c r="C135" s="26">
        <v>2.1999999999999999E-2</v>
      </c>
      <c r="D135" s="27">
        <v>9.0499999999999997E-2</v>
      </c>
      <c r="E135" s="28">
        <v>3.3000000000000002E-2</v>
      </c>
      <c r="F135" s="29" t="s">
        <v>153</v>
      </c>
    </row>
    <row r="136" spans="1:6" ht="15" customHeight="1" x14ac:dyDescent="0.2">
      <c r="A136" s="24" t="s">
        <v>291</v>
      </c>
      <c r="B136" s="25">
        <v>1.5</v>
      </c>
      <c r="C136" s="26">
        <v>1.6E-2</v>
      </c>
      <c r="D136" s="27">
        <v>8.1500000000000003E-2</v>
      </c>
      <c r="E136" s="28">
        <v>2.4E-2</v>
      </c>
      <c r="F136" s="29" t="s">
        <v>160</v>
      </c>
    </row>
    <row r="137" spans="1:6" ht="15" customHeight="1" x14ac:dyDescent="0.2">
      <c r="A137" s="24" t="s">
        <v>292</v>
      </c>
      <c r="B137" s="25">
        <v>21.5</v>
      </c>
      <c r="C137" s="26">
        <v>4.4999999999999998E-2</v>
      </c>
      <c r="D137" s="27">
        <v>0.125</v>
      </c>
      <c r="E137" s="28">
        <v>6.7500000000000004E-2</v>
      </c>
      <c r="F137" s="29" t="s">
        <v>155</v>
      </c>
    </row>
    <row r="138" spans="1:6" ht="15" customHeight="1" x14ac:dyDescent="0.2">
      <c r="A138" s="24" t="s">
        <v>293</v>
      </c>
      <c r="B138" s="25">
        <v>177.4</v>
      </c>
      <c r="C138" s="26">
        <v>0.1</v>
      </c>
      <c r="D138" s="27">
        <v>0.20749999999999999</v>
      </c>
      <c r="E138" s="28">
        <v>0.15</v>
      </c>
      <c r="F138" s="29" t="s">
        <v>151</v>
      </c>
    </row>
    <row r="139" spans="1:6" ht="15" customHeight="1" x14ac:dyDescent="0.2">
      <c r="A139" s="24" t="s">
        <v>294</v>
      </c>
      <c r="B139" s="25">
        <v>402.3</v>
      </c>
      <c r="C139" s="26">
        <v>5.0000000000000001E-3</v>
      </c>
      <c r="D139" s="27">
        <v>6.5000000000000002E-2</v>
      </c>
      <c r="E139" s="28">
        <v>7.4999999999999997E-3</v>
      </c>
      <c r="F139" s="29" t="s">
        <v>149</v>
      </c>
    </row>
    <row r="140" spans="1:6" ht="15" customHeight="1" x14ac:dyDescent="0.2">
      <c r="A140" s="24" t="s">
        <v>4</v>
      </c>
      <c r="B140" s="25">
        <v>2678.5</v>
      </c>
      <c r="C140" s="26">
        <v>4.0000000000000001E-3</v>
      </c>
      <c r="D140" s="27">
        <v>6.3500000000000001E-2</v>
      </c>
      <c r="E140" s="28">
        <v>6.0000000000000001E-3</v>
      </c>
      <c r="F140" s="29" t="s">
        <v>153</v>
      </c>
    </row>
    <row r="141" spans="1:6" ht="15" customHeight="1" x14ac:dyDescent="0.2">
      <c r="A141" s="24" t="s">
        <v>13</v>
      </c>
      <c r="B141" s="25">
        <v>16768.400000000001</v>
      </c>
      <c r="C141" s="26">
        <v>0</v>
      </c>
      <c r="D141" s="27">
        <v>5.7500000000000002E-2</v>
      </c>
      <c r="E141" s="28">
        <v>0</v>
      </c>
      <c r="F141" s="29" t="s">
        <v>183</v>
      </c>
    </row>
    <row r="142" spans="1:6" ht="15" customHeight="1" x14ac:dyDescent="0.2">
      <c r="A142" s="24" t="s">
        <v>295</v>
      </c>
      <c r="B142" s="25">
        <v>55.7</v>
      </c>
      <c r="C142" s="26">
        <v>1.9E-2</v>
      </c>
      <c r="D142" s="27">
        <v>8.5999999999999993E-2</v>
      </c>
      <c r="E142" s="28">
        <v>2.8500000000000001E-2</v>
      </c>
      <c r="F142" s="29" t="s">
        <v>157</v>
      </c>
    </row>
    <row r="143" spans="1:6" ht="15" customHeight="1" x14ac:dyDescent="0.2">
      <c r="A143" s="24" t="s">
        <v>296</v>
      </c>
      <c r="B143" s="25">
        <v>438.3</v>
      </c>
      <c r="C143" s="26">
        <v>7.4999999999999997E-2</v>
      </c>
      <c r="D143" s="27">
        <v>0.17</v>
      </c>
      <c r="E143" s="28">
        <v>0.1125</v>
      </c>
      <c r="F143" s="29" t="s">
        <v>157</v>
      </c>
    </row>
    <row r="144" spans="1:6" ht="15" customHeight="1" x14ac:dyDescent="0.2">
      <c r="A144" s="24" t="s">
        <v>297</v>
      </c>
      <c r="B144" s="25">
        <v>171.4</v>
      </c>
      <c r="C144" s="26">
        <v>4.4999999999999998E-2</v>
      </c>
      <c r="D144" s="27">
        <v>0.125</v>
      </c>
      <c r="E144" s="28">
        <v>6.7500000000000004E-2</v>
      </c>
      <c r="F144" s="29" t="s">
        <v>168</v>
      </c>
    </row>
    <row r="145" spans="1:6" ht="15" customHeight="1" x14ac:dyDescent="0.2">
      <c r="A145" s="24" t="s">
        <v>298</v>
      </c>
      <c r="B145" s="25">
        <v>26.8</v>
      </c>
      <c r="C145" s="26">
        <v>4.4999999999999998E-2</v>
      </c>
      <c r="D145" s="27">
        <v>0.125</v>
      </c>
      <c r="E145" s="28">
        <v>6.7500000000000004E-2</v>
      </c>
      <c r="F145" s="29" t="s">
        <v>155</v>
      </c>
    </row>
    <row r="148" spans="1:6" ht="15" customHeight="1" x14ac:dyDescent="0.2">
      <c r="A148" s="1" t="s">
        <v>147</v>
      </c>
      <c r="B148" s="1" t="s">
        <v>299</v>
      </c>
      <c r="C148" s="1" t="s">
        <v>300</v>
      </c>
      <c r="D148" s="1" t="s">
        <v>301</v>
      </c>
    </row>
    <row r="149" spans="1:6" ht="15" customHeight="1" x14ac:dyDescent="0.2">
      <c r="A149" s="30" t="s">
        <v>155</v>
      </c>
      <c r="B149" s="31">
        <v>0.11729931023156509</v>
      </c>
      <c r="C149" s="31">
        <v>5.9799310231565116E-2</v>
      </c>
      <c r="D149" s="31">
        <v>3.9866206821043408E-2</v>
      </c>
    </row>
    <row r="150" spans="1:6" ht="15" customHeight="1" x14ac:dyDescent="0.2">
      <c r="A150" s="30" t="s">
        <v>168</v>
      </c>
      <c r="B150" s="31">
        <v>7.2635132552806722E-2</v>
      </c>
      <c r="C150" s="31">
        <v>1.5135132552806728E-2</v>
      </c>
      <c r="D150" s="31">
        <v>1.0090088368537817E-2</v>
      </c>
    </row>
    <row r="151" spans="1:6" ht="15" customHeight="1" x14ac:dyDescent="0.2">
      <c r="A151" s="30" t="s">
        <v>162</v>
      </c>
      <c r="B151" s="31">
        <v>5.7546354583953303E-2</v>
      </c>
      <c r="C151" s="31">
        <v>4.6354583953302045E-5</v>
      </c>
      <c r="D151" s="31">
        <v>3.0903055968868028E-5</v>
      </c>
    </row>
    <row r="152" spans="1:6" ht="15" customHeight="1" x14ac:dyDescent="0.2">
      <c r="A152" s="30" t="s">
        <v>160</v>
      </c>
      <c r="B152" s="31">
        <v>0.14368591343876252</v>
      </c>
      <c r="C152" s="31">
        <v>8.6185913438762543E-2</v>
      </c>
      <c r="D152" s="31">
        <v>5.7457275625841693E-2</v>
      </c>
    </row>
    <row r="153" spans="1:6" ht="15" customHeight="1" x14ac:dyDescent="0.2">
      <c r="A153" s="30" t="s">
        <v>157</v>
      </c>
      <c r="B153" s="31">
        <v>9.9547111393186727E-2</v>
      </c>
      <c r="C153" s="31">
        <v>4.2047111393186717E-2</v>
      </c>
      <c r="D153" s="31">
        <v>2.8031407595457827E-2</v>
      </c>
    </row>
    <row r="154" spans="1:6" ht="15" customHeight="1" x14ac:dyDescent="0.2">
      <c r="A154" s="30" t="s">
        <v>151</v>
      </c>
      <c r="B154" s="31">
        <v>9.0780617603809274E-2</v>
      </c>
      <c r="C154" s="31">
        <v>3.3280617603809265E-2</v>
      </c>
      <c r="D154" s="31">
        <v>2.2187078402539511E-2</v>
      </c>
    </row>
    <row r="155" spans="1:6" ht="15" customHeight="1" x14ac:dyDescent="0.2">
      <c r="A155" s="30" t="s">
        <v>149</v>
      </c>
      <c r="B155" s="31">
        <v>6.8453750623027082E-2</v>
      </c>
      <c r="C155" s="31">
        <v>1.0953750623027081E-2</v>
      </c>
      <c r="D155" s="31">
        <v>7.3025004153513869E-3</v>
      </c>
    </row>
    <row r="156" spans="1:6" ht="15" customHeight="1" x14ac:dyDescent="0.2">
      <c r="A156" s="30" t="s">
        <v>183</v>
      </c>
      <c r="B156" s="31">
        <v>5.7500000000000009E-2</v>
      </c>
      <c r="C156" s="31">
        <v>0</v>
      </c>
      <c r="D156" s="31">
        <v>0</v>
      </c>
    </row>
    <row r="157" spans="1:6" ht="15" customHeight="1" x14ac:dyDescent="0.2">
      <c r="A157" s="30" t="s">
        <v>153</v>
      </c>
      <c r="B157" s="31">
        <v>6.8794293133065204E-2</v>
      </c>
      <c r="C157" s="31">
        <v>1.1294293133065215E-2</v>
      </c>
      <c r="D157" s="31">
        <v>7.5295287553768095E-3</v>
      </c>
    </row>
    <row r="158" spans="1:6" ht="15" customHeight="1" x14ac:dyDescent="0.2">
      <c r="A158" s="32" t="s">
        <v>302</v>
      </c>
      <c r="B158" s="33">
        <v>7.183808550897261E-2</v>
      </c>
      <c r="C158" s="33">
        <v>1.4338085508972608E-2</v>
      </c>
      <c r="D158" s="33">
        <v>9.5587236726484073E-3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APPLE</vt:lpstr>
      <vt:lpstr>SPREAD</vt:lpstr>
      <vt:lpstr>CRP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2017-01-19T07:17:48Z</dcterms:created>
  <dcterms:modified xsi:type="dcterms:W3CDTF">2020-08-17T21:04:06Z</dcterms:modified>
</cp:coreProperties>
</file>