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o/Desktop/2-Educacion/4-Stock-Market/Popular/"/>
    </mc:Choice>
  </mc:AlternateContent>
  <xr:revisionPtr revIDLastSave="0" documentId="13_ncr:1_{6E9EF2AA-CF9F-844B-AFE7-0F591339B504}" xr6:coauthVersionLast="45" xr6:coauthVersionMax="45" xr10:uidLastSave="{00000000-0000-0000-0000-000000000000}"/>
  <bookViews>
    <workbookView xWindow="3200" yWindow="460" windowWidth="25600" windowHeight="16060" tabRatio="769" xr2:uid="{00000000-000D-0000-FFFF-FFFF00000000}"/>
  </bookViews>
  <sheets>
    <sheet name="VALUATION" sheetId="4" r:id="rId1"/>
    <sheet name="DASHBOARD" sheetId="28" r:id="rId2"/>
    <sheet name="DATA" sheetId="23" r:id="rId3"/>
    <sheet name="Page1" sheetId="8" r:id="rId4"/>
    <sheet name="Page2" sheetId="11" r:id="rId5"/>
    <sheet name="Page3" sheetId="22" r:id="rId6"/>
    <sheet name="Page4" sheetId="9" r:id="rId7"/>
    <sheet name="PAGE5" sheetId="13" r:id="rId8"/>
    <sheet name="PAGE6" sheetId="14" r:id="rId9"/>
    <sheet name="PAGE7" sheetId="15" r:id="rId10"/>
    <sheet name="Page8" sheetId="12" r:id="rId11"/>
    <sheet name="PAGE9" sheetId="16" r:id="rId12"/>
    <sheet name="PAGE10" sheetId="17" r:id="rId13"/>
    <sheet name="PAGE11" sheetId="18" r:id="rId14"/>
    <sheet name="PAGE12" sheetId="21" r:id="rId15"/>
    <sheet name="PAGE13" sheetId="20" r:id="rId16"/>
    <sheet name="PAGE14" sheetId="19" r:id="rId17"/>
  </sheets>
  <externalReferences>
    <externalReference r:id="rId18"/>
  </externalReferences>
  <definedNames>
    <definedName name="NumberToRatingTable">'[1]Misc Data'!$A$4:$D$26</definedName>
    <definedName name="_xlnm.Print_Area" localSheetId="1">DASHBOARD!$B$2:$AB$79</definedName>
    <definedName name="_xlnm.Print_Area" localSheetId="3">Page1!$B$2:$M$52</definedName>
    <definedName name="_xlnm.Print_Area" localSheetId="12">PAGE10!$B$2:$F$36</definedName>
    <definedName name="_xlnm.Print_Area" localSheetId="13">PAGE11!$A$1:$E$86</definedName>
    <definedName name="_xlnm.Print_Area" localSheetId="14">PAGE12!$A$1:$E$36</definedName>
    <definedName name="_xlnm.Print_Area" localSheetId="15">PAGE13!$A$1:$E$88</definedName>
    <definedName name="_xlnm.Print_Area" localSheetId="16">PAGE14!$A$1:$E$82</definedName>
    <definedName name="_xlnm.Print_Area" localSheetId="4">Page2!$B$2:$K$71</definedName>
    <definedName name="_xlnm.Print_Area" localSheetId="5">Page3!$B$2:$K$71</definedName>
    <definedName name="_xlnm.Print_Area" localSheetId="6">Page4!$B$2:$K$48</definedName>
    <definedName name="_xlnm.Print_Area" localSheetId="7">PAGE5!$B$2:$K$48</definedName>
    <definedName name="_xlnm.Print_Area" localSheetId="8">PAGE6!$B$2:$K$48</definedName>
    <definedName name="_xlnm.Print_Area" localSheetId="9">PAGE7!$B$2:$K$48</definedName>
    <definedName name="_xlnm.Print_Area" localSheetId="10">Page8!$B$2:$L$52</definedName>
    <definedName name="_xlnm.Print_Area" localSheetId="11">PAGE9!$B$2:$L$34</definedName>
    <definedName name="_xlnm.Print_Area" localSheetId="0">VALUATION!$A$1:$C$33</definedName>
  </definedNames>
  <calcPr calcId="191029" iterate="1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8" l="1"/>
  <c r="H8" i="28"/>
  <c r="H9" i="28"/>
  <c r="D10" i="28"/>
  <c r="F10" i="28"/>
  <c r="D11" i="28"/>
  <c r="F11" i="28"/>
  <c r="D12" i="28"/>
  <c r="F12" i="28"/>
  <c r="D13" i="28"/>
  <c r="F13" i="28"/>
  <c r="D14" i="28"/>
  <c r="F14" i="28"/>
  <c r="D15" i="28"/>
  <c r="F15" i="28"/>
  <c r="D16" i="28"/>
  <c r="F16" i="28"/>
  <c r="D17" i="28"/>
  <c r="F17" i="28"/>
  <c r="D18" i="28"/>
  <c r="F18" i="28"/>
  <c r="A2" i="23" l="1"/>
  <c r="C33" i="4"/>
  <c r="B33" i="4"/>
  <c r="C32" i="4"/>
  <c r="B32" i="4"/>
  <c r="C31" i="4"/>
  <c r="B31" i="4"/>
  <c r="B21" i="4"/>
  <c r="B25" i="4" s="1"/>
  <c r="B27" i="4" s="1"/>
  <c r="B28" i="4" s="1"/>
  <c r="B24" i="4"/>
  <c r="C5" i="4"/>
  <c r="C8" i="4" s="1"/>
  <c r="C11" i="4" s="1"/>
  <c r="C12" i="4" s="1"/>
  <c r="B5" i="4"/>
  <c r="N18" i="8"/>
  <c r="N17" i="8"/>
  <c r="N16" i="8"/>
  <c r="O19" i="8" s="1"/>
  <c r="N19" i="8"/>
  <c r="C17" i="4"/>
  <c r="B17" i="4"/>
  <c r="C16" i="4"/>
  <c r="B16" i="4"/>
  <c r="C15" i="4"/>
  <c r="B15" i="4"/>
  <c r="I71" i="22"/>
  <c r="J71" i="22" s="1"/>
  <c r="K70" i="22" s="1"/>
  <c r="I70" i="22"/>
  <c r="F71" i="22"/>
  <c r="F70" i="22"/>
  <c r="G71" i="22"/>
  <c r="H70" i="22" s="1"/>
  <c r="I67" i="22"/>
  <c r="I68" i="22"/>
  <c r="J68" i="22" s="1"/>
  <c r="I66" i="22"/>
  <c r="I64" i="22" s="1"/>
  <c r="F67" i="22"/>
  <c r="F66" i="22" s="1"/>
  <c r="F68" i="22"/>
  <c r="J67" i="22"/>
  <c r="K66" i="22" s="1"/>
  <c r="I62" i="22"/>
  <c r="I61" i="22"/>
  <c r="I59" i="22" s="1"/>
  <c r="F62" i="22"/>
  <c r="F61" i="22" s="1"/>
  <c r="J60" i="22"/>
  <c r="G60" i="22"/>
  <c r="J58" i="22"/>
  <c r="G58" i="22"/>
  <c r="I15" i="22"/>
  <c r="I16" i="22"/>
  <c r="I17" i="22"/>
  <c r="I18" i="22"/>
  <c r="I19" i="22"/>
  <c r="I20" i="22"/>
  <c r="I21" i="22"/>
  <c r="I14" i="22"/>
  <c r="I24" i="22"/>
  <c r="I23" i="22" s="1"/>
  <c r="I25" i="22"/>
  <c r="I26" i="22"/>
  <c r="I27" i="22"/>
  <c r="I28" i="22"/>
  <c r="I29" i="22"/>
  <c r="I30" i="22"/>
  <c r="I31" i="22"/>
  <c r="I32" i="22"/>
  <c r="I37" i="22"/>
  <c r="I38" i="22"/>
  <c r="I39" i="22"/>
  <c r="I40" i="22"/>
  <c r="I41" i="22"/>
  <c r="I36" i="22" s="1"/>
  <c r="I42" i="22"/>
  <c r="I43" i="22"/>
  <c r="I44" i="22"/>
  <c r="I45" i="22"/>
  <c r="I46" i="22"/>
  <c r="I49" i="22"/>
  <c r="I50" i="22"/>
  <c r="I48" i="22" s="1"/>
  <c r="I51" i="22"/>
  <c r="I52" i="22"/>
  <c r="I53" i="22"/>
  <c r="I54" i="22"/>
  <c r="F15" i="22"/>
  <c r="F16" i="22"/>
  <c r="F17" i="22"/>
  <c r="F18" i="22"/>
  <c r="F19" i="22"/>
  <c r="F20" i="22"/>
  <c r="F14" i="22" s="1"/>
  <c r="F21" i="22"/>
  <c r="F24" i="22"/>
  <c r="F25" i="22"/>
  <c r="F26" i="22"/>
  <c r="F27" i="22"/>
  <c r="F28" i="22"/>
  <c r="F29" i="22"/>
  <c r="F23" i="22" s="1"/>
  <c r="F30" i="22"/>
  <c r="F31" i="22"/>
  <c r="F32" i="22"/>
  <c r="F37" i="22"/>
  <c r="F38" i="22"/>
  <c r="F39" i="22"/>
  <c r="F40" i="22"/>
  <c r="F41" i="22"/>
  <c r="F42" i="22"/>
  <c r="F43" i="22"/>
  <c r="F44" i="22"/>
  <c r="F45" i="22"/>
  <c r="F46" i="22"/>
  <c r="F36" i="22"/>
  <c r="F49" i="22"/>
  <c r="F48" i="22" s="1"/>
  <c r="F50" i="22"/>
  <c r="F51" i="22"/>
  <c r="F52" i="22"/>
  <c r="F53" i="22"/>
  <c r="F54" i="22"/>
  <c r="G46" i="22"/>
  <c r="G45" i="22"/>
  <c r="G44" i="22"/>
  <c r="G43" i="22"/>
  <c r="G42" i="22"/>
  <c r="G41" i="22"/>
  <c r="G40" i="22"/>
  <c r="G39" i="22"/>
  <c r="G38" i="22"/>
  <c r="G37" i="22"/>
  <c r="H36" i="22"/>
  <c r="J21" i="22"/>
  <c r="J20" i="22"/>
  <c r="J19" i="22"/>
  <c r="J18" i="22"/>
  <c r="J17" i="22"/>
  <c r="J16" i="22"/>
  <c r="J15" i="22"/>
  <c r="K14" i="22" s="1"/>
  <c r="J13" i="22"/>
  <c r="G13" i="22"/>
  <c r="C12" i="17"/>
  <c r="C19" i="17"/>
  <c r="C11" i="17"/>
  <c r="C9" i="17" s="1"/>
  <c r="C27" i="17"/>
  <c r="C26" i="17" s="1"/>
  <c r="C32" i="17"/>
  <c r="D12" i="17"/>
  <c r="D19" i="17"/>
  <c r="D11" i="17" s="1"/>
  <c r="D9" i="17" s="1"/>
  <c r="D27" i="17"/>
  <c r="D32" i="17"/>
  <c r="D26" i="17"/>
  <c r="E12" i="17"/>
  <c r="E11" i="17" s="1"/>
  <c r="E9" i="17" s="1"/>
  <c r="E19" i="17"/>
  <c r="E27" i="17"/>
  <c r="E32" i="17"/>
  <c r="E26" i="17" s="1"/>
  <c r="F12" i="17"/>
  <c r="F11" i="17" s="1"/>
  <c r="F9" i="17" s="1"/>
  <c r="F19" i="17"/>
  <c r="F27" i="17"/>
  <c r="F32" i="17"/>
  <c r="F26" i="17"/>
  <c r="C8" i="16"/>
  <c r="C10" i="16"/>
  <c r="C12" i="16"/>
  <c r="C14" i="16"/>
  <c r="C16" i="16"/>
  <c r="F8" i="16"/>
  <c r="F18" i="16" s="1"/>
  <c r="F10" i="16"/>
  <c r="F12" i="16"/>
  <c r="F13" i="16" s="1"/>
  <c r="F14" i="16"/>
  <c r="F16" i="16"/>
  <c r="E8" i="16"/>
  <c r="E10" i="16"/>
  <c r="E12" i="16"/>
  <c r="E14" i="16"/>
  <c r="E16" i="16"/>
  <c r="D8" i="16"/>
  <c r="D18" i="16" s="1"/>
  <c r="D10" i="16"/>
  <c r="D12" i="16"/>
  <c r="D14" i="16"/>
  <c r="D16" i="16"/>
  <c r="F24" i="16"/>
  <c r="E24" i="16"/>
  <c r="D24" i="16"/>
  <c r="C24" i="16"/>
  <c r="F26" i="16"/>
  <c r="E26" i="16"/>
  <c r="D26" i="16"/>
  <c r="C26" i="16"/>
  <c r="F28" i="16"/>
  <c r="E28" i="16"/>
  <c r="D28" i="16"/>
  <c r="C28" i="16"/>
  <c r="F30" i="16"/>
  <c r="E30" i="16"/>
  <c r="D30" i="16"/>
  <c r="C30" i="16"/>
  <c r="F32" i="16"/>
  <c r="E32" i="16"/>
  <c r="D32" i="16"/>
  <c r="C32" i="16"/>
  <c r="L32" i="16"/>
  <c r="K32" i="16"/>
  <c r="J32" i="16"/>
  <c r="I32" i="16"/>
  <c r="L30" i="16"/>
  <c r="K30" i="16"/>
  <c r="J30" i="16"/>
  <c r="I30" i="16"/>
  <c r="L28" i="16"/>
  <c r="K28" i="16"/>
  <c r="J28" i="16"/>
  <c r="I28" i="16"/>
  <c r="L26" i="16"/>
  <c r="K26" i="16"/>
  <c r="J26" i="16"/>
  <c r="I26" i="16"/>
  <c r="L24" i="16"/>
  <c r="K24" i="16"/>
  <c r="J24" i="16"/>
  <c r="I24" i="16"/>
  <c r="I17" i="16"/>
  <c r="I15" i="16"/>
  <c r="I13" i="16"/>
  <c r="I11" i="16"/>
  <c r="I9" i="16"/>
  <c r="L17" i="16"/>
  <c r="K17" i="16"/>
  <c r="J17" i="16"/>
  <c r="L15" i="16"/>
  <c r="K15" i="16"/>
  <c r="J15" i="16"/>
  <c r="L13" i="16"/>
  <c r="K13" i="16"/>
  <c r="J13" i="16"/>
  <c r="L11" i="16"/>
  <c r="K11" i="16"/>
  <c r="J11" i="16"/>
  <c r="L9" i="16"/>
  <c r="K9" i="16"/>
  <c r="J9" i="16"/>
  <c r="H21" i="16"/>
  <c r="L33" i="16"/>
  <c r="L34" i="16" s="1"/>
  <c r="I33" i="16"/>
  <c r="K33" i="16"/>
  <c r="K34" i="16" s="1"/>
  <c r="J33" i="16"/>
  <c r="J34" i="16" s="1"/>
  <c r="I34" i="16"/>
  <c r="F33" i="16"/>
  <c r="F34" i="16" s="1"/>
  <c r="C33" i="16"/>
  <c r="E33" i="16"/>
  <c r="E34" i="16" s="1"/>
  <c r="D33" i="16"/>
  <c r="D34" i="16" s="1"/>
  <c r="C34" i="16"/>
  <c r="L18" i="16"/>
  <c r="L19" i="16" s="1"/>
  <c r="I18" i="16"/>
  <c r="K18" i="16"/>
  <c r="K19" i="16" s="1"/>
  <c r="J18" i="16"/>
  <c r="J19" i="16" s="1"/>
  <c r="I19" i="16"/>
  <c r="C47" i="15"/>
  <c r="F47" i="15"/>
  <c r="K47" i="15" s="1"/>
  <c r="I47" i="15"/>
  <c r="C44" i="15"/>
  <c r="I44" i="15" s="1"/>
  <c r="F44" i="15"/>
  <c r="C45" i="15"/>
  <c r="I45" i="15" s="1"/>
  <c r="F45" i="15"/>
  <c r="C46" i="15"/>
  <c r="I46" i="15" s="1"/>
  <c r="F46" i="15"/>
  <c r="K46" i="15"/>
  <c r="K45" i="15"/>
  <c r="K44" i="15"/>
  <c r="C12" i="15"/>
  <c r="F12" i="15"/>
  <c r="I12" i="15" s="1"/>
  <c r="C13" i="15"/>
  <c r="I13" i="15" s="1"/>
  <c r="F13" i="15"/>
  <c r="C14" i="15"/>
  <c r="I14" i="15" s="1"/>
  <c r="F14" i="15"/>
  <c r="F11" i="15" s="1"/>
  <c r="C15" i="15"/>
  <c r="F15" i="15"/>
  <c r="I15" i="15"/>
  <c r="C16" i="15"/>
  <c r="F16" i="15"/>
  <c r="I16" i="15" s="1"/>
  <c r="C17" i="15"/>
  <c r="I17" i="15" s="1"/>
  <c r="F17" i="15"/>
  <c r="C18" i="15"/>
  <c r="I18" i="15" s="1"/>
  <c r="F18" i="15"/>
  <c r="C19" i="15"/>
  <c r="F19" i="15"/>
  <c r="I19" i="15"/>
  <c r="C20" i="15"/>
  <c r="F20" i="15"/>
  <c r="I20" i="15" s="1"/>
  <c r="C21" i="15"/>
  <c r="I21" i="15" s="1"/>
  <c r="F21" i="15"/>
  <c r="C22" i="15"/>
  <c r="I22" i="15" s="1"/>
  <c r="F22" i="15"/>
  <c r="C23" i="15"/>
  <c r="F23" i="15"/>
  <c r="I23" i="15"/>
  <c r="C24" i="15"/>
  <c r="F24" i="15"/>
  <c r="I24" i="15" s="1"/>
  <c r="C25" i="15"/>
  <c r="I25" i="15" s="1"/>
  <c r="F25" i="15"/>
  <c r="C26" i="15"/>
  <c r="I26" i="15" s="1"/>
  <c r="F26" i="15"/>
  <c r="C27" i="15"/>
  <c r="F27" i="15"/>
  <c r="I27" i="15"/>
  <c r="C28" i="15"/>
  <c r="F28" i="15"/>
  <c r="I28" i="15" s="1"/>
  <c r="C31" i="15"/>
  <c r="F31" i="15"/>
  <c r="I31" i="15" s="1"/>
  <c r="C32" i="15"/>
  <c r="I32" i="15" s="1"/>
  <c r="F32" i="15"/>
  <c r="C33" i="15"/>
  <c r="I33" i="15" s="1"/>
  <c r="F33" i="15"/>
  <c r="F30" i="15" s="1"/>
  <c r="C34" i="15"/>
  <c r="F34" i="15"/>
  <c r="I34" i="15"/>
  <c r="C35" i="15"/>
  <c r="F35" i="15"/>
  <c r="I35" i="15" s="1"/>
  <c r="C36" i="15"/>
  <c r="F36" i="15"/>
  <c r="C37" i="15"/>
  <c r="I37" i="15" s="1"/>
  <c r="F37" i="15"/>
  <c r="K37" i="15" s="1"/>
  <c r="C38" i="15"/>
  <c r="F38" i="15"/>
  <c r="I38" i="15"/>
  <c r="C39" i="15"/>
  <c r="F39" i="15"/>
  <c r="I39" i="15"/>
  <c r="C40" i="15"/>
  <c r="I40" i="15" s="1"/>
  <c r="F40" i="15"/>
  <c r="C41" i="15"/>
  <c r="I41" i="15" s="1"/>
  <c r="F41" i="15"/>
  <c r="K41" i="15" s="1"/>
  <c r="K39" i="15"/>
  <c r="K38" i="15"/>
  <c r="K35" i="15"/>
  <c r="K34" i="15"/>
  <c r="K32" i="15"/>
  <c r="K31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C47" i="14"/>
  <c r="K47" i="14" s="1"/>
  <c r="F47" i="14"/>
  <c r="C44" i="14"/>
  <c r="I44" i="14" s="1"/>
  <c r="F44" i="14"/>
  <c r="C45" i="14"/>
  <c r="I45" i="14" s="1"/>
  <c r="F45" i="14"/>
  <c r="F43" i="14" s="1"/>
  <c r="C46" i="14"/>
  <c r="K46" i="14" s="1"/>
  <c r="F46" i="14"/>
  <c r="I46" i="14"/>
  <c r="C12" i="14"/>
  <c r="I12" i="14" s="1"/>
  <c r="F12" i="14"/>
  <c r="C13" i="14"/>
  <c r="I13" i="14" s="1"/>
  <c r="F13" i="14"/>
  <c r="F11" i="14" s="1"/>
  <c r="C14" i="14"/>
  <c r="F14" i="14"/>
  <c r="I14" i="14"/>
  <c r="C15" i="14"/>
  <c r="F15" i="14"/>
  <c r="I15" i="14" s="1"/>
  <c r="C16" i="14"/>
  <c r="I16" i="14" s="1"/>
  <c r="F16" i="14"/>
  <c r="C17" i="14"/>
  <c r="I17" i="14" s="1"/>
  <c r="F17" i="14"/>
  <c r="C18" i="14"/>
  <c r="F18" i="14"/>
  <c r="I18" i="14"/>
  <c r="C19" i="14"/>
  <c r="F19" i="14"/>
  <c r="I19" i="14"/>
  <c r="C20" i="14"/>
  <c r="I20" i="14" s="1"/>
  <c r="F20" i="14"/>
  <c r="C21" i="14"/>
  <c r="I21" i="14" s="1"/>
  <c r="F21" i="14"/>
  <c r="C22" i="14"/>
  <c r="F22" i="14"/>
  <c r="I22" i="14"/>
  <c r="C23" i="14"/>
  <c r="F23" i="14"/>
  <c r="I23" i="14" s="1"/>
  <c r="C24" i="14"/>
  <c r="I24" i="14" s="1"/>
  <c r="F24" i="14"/>
  <c r="C25" i="14"/>
  <c r="I25" i="14" s="1"/>
  <c r="F25" i="14"/>
  <c r="C26" i="14"/>
  <c r="F26" i="14"/>
  <c r="I26" i="14"/>
  <c r="C27" i="14"/>
  <c r="F27" i="14"/>
  <c r="I27" i="14"/>
  <c r="C28" i="14"/>
  <c r="I28" i="14" s="1"/>
  <c r="F28" i="14"/>
  <c r="C31" i="14"/>
  <c r="F31" i="14"/>
  <c r="C32" i="14"/>
  <c r="I32" i="14" s="1"/>
  <c r="F32" i="14"/>
  <c r="F30" i="14" s="1"/>
  <c r="C33" i="14"/>
  <c r="F33" i="14"/>
  <c r="I33" i="14"/>
  <c r="C34" i="14"/>
  <c r="F34" i="14"/>
  <c r="I34" i="14"/>
  <c r="C35" i="14"/>
  <c r="F35" i="14"/>
  <c r="C36" i="14"/>
  <c r="I36" i="14" s="1"/>
  <c r="F36" i="14"/>
  <c r="K36" i="14" s="1"/>
  <c r="C37" i="14"/>
  <c r="F37" i="14"/>
  <c r="I37" i="14"/>
  <c r="C38" i="14"/>
  <c r="F38" i="14"/>
  <c r="I38" i="14" s="1"/>
  <c r="C39" i="14"/>
  <c r="F39" i="14"/>
  <c r="C40" i="14"/>
  <c r="I40" i="14" s="1"/>
  <c r="F40" i="14"/>
  <c r="K40" i="14" s="1"/>
  <c r="C41" i="14"/>
  <c r="F41" i="14"/>
  <c r="I41" i="14"/>
  <c r="K41" i="14"/>
  <c r="K38" i="14"/>
  <c r="K37" i="14"/>
  <c r="K35" i="14"/>
  <c r="K34" i="14"/>
  <c r="K33" i="14"/>
  <c r="K32" i="14"/>
  <c r="K31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C47" i="13"/>
  <c r="I47" i="13" s="1"/>
  <c r="F47" i="13"/>
  <c r="K47" i="13"/>
  <c r="C44" i="13"/>
  <c r="F44" i="13"/>
  <c r="C45" i="13"/>
  <c r="I45" i="13" s="1"/>
  <c r="F45" i="13"/>
  <c r="C46" i="13"/>
  <c r="K46" i="13" s="1"/>
  <c r="F46" i="13"/>
  <c r="I46" i="13"/>
  <c r="C12" i="13"/>
  <c r="I12" i="13" s="1"/>
  <c r="F12" i="13"/>
  <c r="C13" i="13"/>
  <c r="I13" i="13" s="1"/>
  <c r="F13" i="13"/>
  <c r="C14" i="13"/>
  <c r="F14" i="13"/>
  <c r="I14" i="13"/>
  <c r="C15" i="13"/>
  <c r="F15" i="13"/>
  <c r="I15" i="13" s="1"/>
  <c r="C16" i="13"/>
  <c r="I16" i="13" s="1"/>
  <c r="F16" i="13"/>
  <c r="C17" i="13"/>
  <c r="F17" i="13"/>
  <c r="C18" i="13"/>
  <c r="I18" i="13" s="1"/>
  <c r="F18" i="13"/>
  <c r="C19" i="13"/>
  <c r="F19" i="13"/>
  <c r="I19" i="13" s="1"/>
  <c r="C20" i="13"/>
  <c r="F20" i="13"/>
  <c r="I20" i="13"/>
  <c r="C21" i="13"/>
  <c r="F21" i="13"/>
  <c r="C22" i="13"/>
  <c r="I22" i="13" s="1"/>
  <c r="F22" i="13"/>
  <c r="C23" i="13"/>
  <c r="F23" i="13"/>
  <c r="I23" i="13" s="1"/>
  <c r="C24" i="13"/>
  <c r="D24" i="13" s="1"/>
  <c r="F24" i="13"/>
  <c r="C25" i="13"/>
  <c r="F25" i="13"/>
  <c r="C26" i="13"/>
  <c r="I26" i="13" s="1"/>
  <c r="F26" i="13"/>
  <c r="C27" i="13"/>
  <c r="F27" i="13"/>
  <c r="I27" i="13" s="1"/>
  <c r="C28" i="13"/>
  <c r="I28" i="13" s="1"/>
  <c r="F28" i="13"/>
  <c r="C31" i="13"/>
  <c r="I31" i="13" s="1"/>
  <c r="F31" i="13"/>
  <c r="C32" i="13"/>
  <c r="I32" i="13" s="1"/>
  <c r="F32" i="13"/>
  <c r="F30" i="13" s="1"/>
  <c r="C33" i="13"/>
  <c r="F33" i="13"/>
  <c r="C34" i="13"/>
  <c r="F34" i="13"/>
  <c r="I34" i="13" s="1"/>
  <c r="C35" i="13"/>
  <c r="F35" i="13"/>
  <c r="I35" i="13"/>
  <c r="C36" i="13"/>
  <c r="F36" i="13"/>
  <c r="C37" i="13"/>
  <c r="I37" i="13" s="1"/>
  <c r="F37" i="13"/>
  <c r="C38" i="13"/>
  <c r="F38" i="13"/>
  <c r="K38" i="13" s="1"/>
  <c r="C39" i="13"/>
  <c r="F39" i="13"/>
  <c r="C40" i="13"/>
  <c r="K40" i="13" s="1"/>
  <c r="F40" i="13"/>
  <c r="C41" i="13"/>
  <c r="F41" i="13"/>
  <c r="K41" i="13" s="1"/>
  <c r="C11" i="13"/>
  <c r="D27" i="13" s="1"/>
  <c r="K36" i="13"/>
  <c r="K35" i="13"/>
  <c r="K34" i="13"/>
  <c r="K31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D15" i="13"/>
  <c r="K14" i="13"/>
  <c r="K13" i="13"/>
  <c r="D13" i="13"/>
  <c r="K12" i="13"/>
  <c r="L9" i="12"/>
  <c r="K9" i="12"/>
  <c r="J9" i="12"/>
  <c r="I9" i="12"/>
  <c r="F9" i="12"/>
  <c r="E9" i="12"/>
  <c r="D9" i="12"/>
  <c r="C9" i="12"/>
  <c r="F47" i="9"/>
  <c r="F43" i="9" s="1"/>
  <c r="F46" i="9"/>
  <c r="F45" i="9"/>
  <c r="F44" i="9"/>
  <c r="C47" i="9"/>
  <c r="I47" i="9" s="1"/>
  <c r="C46" i="9"/>
  <c r="K46" i="9" s="1"/>
  <c r="C45" i="9"/>
  <c r="K45" i="9" s="1"/>
  <c r="C44" i="9"/>
  <c r="I44" i="9" s="1"/>
  <c r="F41" i="9"/>
  <c r="K41" i="9" s="1"/>
  <c r="F40" i="9"/>
  <c r="F39" i="9"/>
  <c r="F38" i="9"/>
  <c r="F37" i="9"/>
  <c r="F36" i="9"/>
  <c r="F35" i="9"/>
  <c r="F34" i="9"/>
  <c r="F33" i="9"/>
  <c r="K33" i="9" s="1"/>
  <c r="F32" i="9"/>
  <c r="F30" i="9" s="1"/>
  <c r="F31" i="9"/>
  <c r="C41" i="9"/>
  <c r="C40" i="9"/>
  <c r="C39" i="9"/>
  <c r="I39" i="9" s="1"/>
  <c r="C38" i="9"/>
  <c r="I38" i="9" s="1"/>
  <c r="C37" i="9"/>
  <c r="K37" i="9" s="1"/>
  <c r="C36" i="9"/>
  <c r="I36" i="9" s="1"/>
  <c r="C35" i="9"/>
  <c r="K35" i="9" s="1"/>
  <c r="C34" i="9"/>
  <c r="C33" i="9"/>
  <c r="C32" i="9"/>
  <c r="C30" i="9" s="1"/>
  <c r="C31" i="9"/>
  <c r="I31" i="9" s="1"/>
  <c r="F28" i="9"/>
  <c r="F27" i="9"/>
  <c r="G27" i="9" s="1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 s="1"/>
  <c r="C28" i="9"/>
  <c r="C27" i="9"/>
  <c r="I27" i="9" s="1"/>
  <c r="C26" i="9"/>
  <c r="C25" i="9"/>
  <c r="C24" i="9"/>
  <c r="C23" i="9"/>
  <c r="I23" i="9" s="1"/>
  <c r="C22" i="9"/>
  <c r="I22" i="9" s="1"/>
  <c r="C21" i="9"/>
  <c r="I21" i="9" s="1"/>
  <c r="C20" i="9"/>
  <c r="C19" i="9"/>
  <c r="I19" i="9" s="1"/>
  <c r="C18" i="9"/>
  <c r="C17" i="9"/>
  <c r="C16" i="9"/>
  <c r="C15" i="9"/>
  <c r="I15" i="9" s="1"/>
  <c r="C14" i="9"/>
  <c r="I14" i="9" s="1"/>
  <c r="C13" i="9"/>
  <c r="I13" i="9" s="1"/>
  <c r="C12" i="9"/>
  <c r="K47" i="9"/>
  <c r="I46" i="9"/>
  <c r="I12" i="9"/>
  <c r="I16" i="9"/>
  <c r="I17" i="9"/>
  <c r="I18" i="9"/>
  <c r="I20" i="9"/>
  <c r="I24" i="9"/>
  <c r="I25" i="9"/>
  <c r="I26" i="9"/>
  <c r="I28" i="9"/>
  <c r="I33" i="9"/>
  <c r="I34" i="9"/>
  <c r="I35" i="9"/>
  <c r="I37" i="9"/>
  <c r="I41" i="9"/>
  <c r="C11" i="9"/>
  <c r="D28" i="9" s="1"/>
  <c r="K40" i="9"/>
  <c r="K38" i="9"/>
  <c r="K36" i="9"/>
  <c r="K34" i="9"/>
  <c r="K32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I71" i="11"/>
  <c r="I70" i="11" s="1"/>
  <c r="J71" i="11" s="1"/>
  <c r="F71" i="11"/>
  <c r="I68" i="11"/>
  <c r="I66" i="11" s="1"/>
  <c r="I67" i="11"/>
  <c r="F68" i="11"/>
  <c r="F67" i="11"/>
  <c r="I62" i="11"/>
  <c r="F62" i="11"/>
  <c r="I54" i="11"/>
  <c r="J54" i="11" s="1"/>
  <c r="I53" i="11"/>
  <c r="I52" i="11"/>
  <c r="J52" i="11" s="1"/>
  <c r="I51" i="11"/>
  <c r="J51" i="11" s="1"/>
  <c r="I50" i="11"/>
  <c r="J50" i="11" s="1"/>
  <c r="I49" i="11"/>
  <c r="F54" i="11"/>
  <c r="F53" i="11"/>
  <c r="F52" i="11"/>
  <c r="F51" i="11"/>
  <c r="F50" i="11"/>
  <c r="F49" i="11"/>
  <c r="F48" i="11" s="1"/>
  <c r="G51" i="11" s="1"/>
  <c r="I46" i="11"/>
  <c r="I45" i="11"/>
  <c r="I44" i="11"/>
  <c r="I43" i="11"/>
  <c r="I42" i="11"/>
  <c r="I41" i="11"/>
  <c r="I40" i="11"/>
  <c r="J40" i="11" s="1"/>
  <c r="I39" i="11"/>
  <c r="I38" i="11"/>
  <c r="I36" i="11" s="1"/>
  <c r="F46" i="11"/>
  <c r="F45" i="11"/>
  <c r="F44" i="11"/>
  <c r="F43" i="11"/>
  <c r="F42" i="11"/>
  <c r="F41" i="11"/>
  <c r="F40" i="11"/>
  <c r="F39" i="11"/>
  <c r="F38" i="11"/>
  <c r="F36" i="11" s="1"/>
  <c r="I37" i="11"/>
  <c r="F37" i="11"/>
  <c r="I32" i="11"/>
  <c r="I31" i="11"/>
  <c r="I30" i="11"/>
  <c r="I29" i="11"/>
  <c r="I28" i="11"/>
  <c r="I27" i="11"/>
  <c r="I26" i="11"/>
  <c r="I25" i="11"/>
  <c r="F32" i="11"/>
  <c r="F31" i="11"/>
  <c r="F30" i="11"/>
  <c r="F29" i="11"/>
  <c r="F28" i="11"/>
  <c r="G28" i="11" s="1"/>
  <c r="F27" i="11"/>
  <c r="F26" i="11"/>
  <c r="F25" i="11"/>
  <c r="I24" i="11"/>
  <c r="F24" i="11"/>
  <c r="I21" i="11"/>
  <c r="I20" i="11"/>
  <c r="I19" i="11"/>
  <c r="I18" i="11"/>
  <c r="I14" i="11" s="1"/>
  <c r="I17" i="11"/>
  <c r="I16" i="11"/>
  <c r="F21" i="11"/>
  <c r="F20" i="11"/>
  <c r="F19" i="11"/>
  <c r="F18" i="11"/>
  <c r="F17" i="11"/>
  <c r="F14" i="11" s="1"/>
  <c r="G21" i="11" s="1"/>
  <c r="F16" i="11"/>
  <c r="I15" i="11"/>
  <c r="F15" i="11"/>
  <c r="N22" i="8"/>
  <c r="N21" i="8"/>
  <c r="N20" i="8"/>
  <c r="F23" i="11"/>
  <c r="F61" i="11"/>
  <c r="F59" i="11" s="1"/>
  <c r="F66" i="11"/>
  <c r="F70" i="11"/>
  <c r="G71" i="11"/>
  <c r="K70" i="11"/>
  <c r="H70" i="11"/>
  <c r="J67" i="11"/>
  <c r="I61" i="11"/>
  <c r="I59" i="11"/>
  <c r="J62" i="11"/>
  <c r="K61" i="11" s="1"/>
  <c r="G62" i="11"/>
  <c r="H61" i="11" s="1"/>
  <c r="J60" i="11"/>
  <c r="G60" i="11"/>
  <c r="I48" i="11"/>
  <c r="J53" i="11" s="1"/>
  <c r="G54" i="11"/>
  <c r="G49" i="11"/>
  <c r="G38" i="11"/>
  <c r="G29" i="11"/>
  <c r="G27" i="11"/>
  <c r="G26" i="11"/>
  <c r="G25" i="11"/>
  <c r="G15" i="11"/>
  <c r="J13" i="11"/>
  <c r="G13" i="11"/>
  <c r="J17" i="11" l="1"/>
  <c r="J20" i="11"/>
  <c r="J16" i="11"/>
  <c r="J15" i="11"/>
  <c r="J18" i="11"/>
  <c r="G44" i="11"/>
  <c r="F34" i="11"/>
  <c r="G43" i="11"/>
  <c r="D34" i="9"/>
  <c r="D41" i="9"/>
  <c r="D39" i="9"/>
  <c r="D37" i="9"/>
  <c r="D35" i="9"/>
  <c r="D33" i="9"/>
  <c r="D31" i="9"/>
  <c r="D40" i="9"/>
  <c r="G39" i="13"/>
  <c r="G36" i="13"/>
  <c r="G31" i="13"/>
  <c r="H30" i="13" s="1"/>
  <c r="G33" i="13"/>
  <c r="G35" i="13"/>
  <c r="G40" i="13"/>
  <c r="G32" i="13"/>
  <c r="G37" i="13"/>
  <c r="G34" i="13"/>
  <c r="G67" i="11"/>
  <c r="F64" i="11"/>
  <c r="G41" i="11"/>
  <c r="J19" i="11"/>
  <c r="G39" i="11"/>
  <c r="I34" i="11"/>
  <c r="J45" i="11"/>
  <c r="J41" i="11"/>
  <c r="J37" i="11"/>
  <c r="J44" i="11"/>
  <c r="J43" i="11"/>
  <c r="J39" i="11"/>
  <c r="J46" i="11"/>
  <c r="G68" i="11"/>
  <c r="G42" i="11"/>
  <c r="G24" i="11"/>
  <c r="G31" i="11"/>
  <c r="G40" i="11"/>
  <c r="J28" i="9"/>
  <c r="I11" i="9"/>
  <c r="G18" i="11"/>
  <c r="I64" i="11"/>
  <c r="J68" i="11"/>
  <c r="K66" i="11" s="1"/>
  <c r="G40" i="9"/>
  <c r="G38" i="9"/>
  <c r="G36" i="9"/>
  <c r="G34" i="9"/>
  <c r="G32" i="9"/>
  <c r="G31" i="9"/>
  <c r="H30" i="9" s="1"/>
  <c r="G33" i="9"/>
  <c r="G41" i="9"/>
  <c r="G39" i="9"/>
  <c r="G37" i="9"/>
  <c r="G35" i="9"/>
  <c r="I57" i="11"/>
  <c r="G17" i="11"/>
  <c r="J21" i="11"/>
  <c r="G19" i="11"/>
  <c r="G30" i="11"/>
  <c r="G46" i="11"/>
  <c r="J19" i="9"/>
  <c r="J27" i="9"/>
  <c r="G47" i="9"/>
  <c r="G45" i="9"/>
  <c r="G46" i="9"/>
  <c r="G44" i="9"/>
  <c r="H43" i="9" s="1"/>
  <c r="G61" i="11"/>
  <c r="H59" i="11" s="1"/>
  <c r="F57" i="11"/>
  <c r="G45" i="11"/>
  <c r="G32" i="11"/>
  <c r="J24" i="9"/>
  <c r="J28" i="13"/>
  <c r="G50" i="11"/>
  <c r="J61" i="11"/>
  <c r="K59" i="11" s="1"/>
  <c r="J20" i="9"/>
  <c r="J13" i="9"/>
  <c r="J21" i="9"/>
  <c r="G25" i="9"/>
  <c r="G23" i="9"/>
  <c r="G19" i="9"/>
  <c r="G17" i="9"/>
  <c r="G15" i="9"/>
  <c r="G13" i="9"/>
  <c r="F9" i="9"/>
  <c r="G30" i="9" s="1"/>
  <c r="G26" i="9"/>
  <c r="G16" i="9"/>
  <c r="G28" i="9"/>
  <c r="G24" i="9"/>
  <c r="G22" i="9"/>
  <c r="G20" i="9"/>
  <c r="G18" i="9"/>
  <c r="G14" i="9"/>
  <c r="G12" i="9"/>
  <c r="F12" i="11"/>
  <c r="G20" i="11"/>
  <c r="G16" i="11"/>
  <c r="H14" i="11" s="1"/>
  <c r="J42" i="11"/>
  <c r="G52" i="11"/>
  <c r="G37" i="11"/>
  <c r="H36" i="11" s="1"/>
  <c r="G53" i="11"/>
  <c r="H48" i="11" s="1"/>
  <c r="J18" i="9"/>
  <c r="J14" i="9"/>
  <c r="J22" i="9"/>
  <c r="G21" i="9"/>
  <c r="I11" i="13"/>
  <c r="J12" i="13"/>
  <c r="D36" i="13"/>
  <c r="I36" i="13"/>
  <c r="I24" i="13"/>
  <c r="J24" i="14"/>
  <c r="G44" i="14"/>
  <c r="G47" i="14"/>
  <c r="G39" i="15"/>
  <c r="G35" i="15"/>
  <c r="G31" i="15"/>
  <c r="G40" i="15"/>
  <c r="G38" i="15"/>
  <c r="G36" i="15"/>
  <c r="G34" i="15"/>
  <c r="G32" i="15"/>
  <c r="J27" i="15"/>
  <c r="J20" i="15"/>
  <c r="D19" i="16"/>
  <c r="D9" i="16"/>
  <c r="D11" i="16"/>
  <c r="J32" i="22"/>
  <c r="J28" i="22"/>
  <c r="J24" i="22"/>
  <c r="K23" i="22" s="1"/>
  <c r="J31" i="22"/>
  <c r="J27" i="22"/>
  <c r="J30" i="22"/>
  <c r="J26" i="22"/>
  <c r="J29" i="22"/>
  <c r="J25" i="22"/>
  <c r="J38" i="11"/>
  <c r="J12" i="9"/>
  <c r="K39" i="13"/>
  <c r="C30" i="13"/>
  <c r="D33" i="13" s="1"/>
  <c r="I41" i="13"/>
  <c r="I38" i="13"/>
  <c r="I21" i="13"/>
  <c r="C43" i="13"/>
  <c r="K44" i="13"/>
  <c r="G40" i="14"/>
  <c r="G38" i="14"/>
  <c r="G36" i="14"/>
  <c r="G34" i="14"/>
  <c r="G32" i="14"/>
  <c r="G30" i="14"/>
  <c r="G41" i="14"/>
  <c r="G39" i="14"/>
  <c r="G37" i="14"/>
  <c r="G35" i="14"/>
  <c r="G33" i="14"/>
  <c r="G31" i="14"/>
  <c r="J17" i="14"/>
  <c r="G28" i="14"/>
  <c r="G26" i="14"/>
  <c r="G24" i="14"/>
  <c r="G22" i="14"/>
  <c r="G20" i="14"/>
  <c r="G18" i="14"/>
  <c r="G16" i="14"/>
  <c r="G14" i="14"/>
  <c r="G12" i="14"/>
  <c r="G27" i="14"/>
  <c r="G25" i="14"/>
  <c r="G23" i="14"/>
  <c r="G21" i="14"/>
  <c r="G19" i="14"/>
  <c r="G17" i="14"/>
  <c r="G15" i="14"/>
  <c r="G13" i="14"/>
  <c r="F9" i="14"/>
  <c r="G43" i="14" s="1"/>
  <c r="J16" i="15"/>
  <c r="J13" i="15"/>
  <c r="I12" i="22"/>
  <c r="G68" i="22"/>
  <c r="J13" i="14"/>
  <c r="I11" i="15"/>
  <c r="J12" i="15" s="1"/>
  <c r="F11" i="16"/>
  <c r="F9" i="16"/>
  <c r="F19" i="16"/>
  <c r="F15" i="16"/>
  <c r="G20" i="22"/>
  <c r="G16" i="22"/>
  <c r="G19" i="22"/>
  <c r="G15" i="22"/>
  <c r="F12" i="22"/>
  <c r="G18" i="22"/>
  <c r="G21" i="22"/>
  <c r="G17" i="22"/>
  <c r="G67" i="22"/>
  <c r="H66" i="22" s="1"/>
  <c r="F64" i="22"/>
  <c r="I23" i="11"/>
  <c r="I12" i="11" s="1"/>
  <c r="D13" i="9"/>
  <c r="D15" i="9"/>
  <c r="D17" i="9"/>
  <c r="D19" i="9"/>
  <c r="D21" i="9"/>
  <c r="D23" i="9"/>
  <c r="D25" i="9"/>
  <c r="D27" i="9"/>
  <c r="I40" i="9"/>
  <c r="I32" i="9"/>
  <c r="K44" i="9"/>
  <c r="I45" i="9"/>
  <c r="D12" i="13"/>
  <c r="D14" i="13"/>
  <c r="D16" i="13"/>
  <c r="D18" i="13"/>
  <c r="D20" i="13"/>
  <c r="D22" i="13"/>
  <c r="D26" i="13"/>
  <c r="D28" i="13"/>
  <c r="K37" i="13"/>
  <c r="D41" i="13"/>
  <c r="D35" i="13"/>
  <c r="I17" i="13"/>
  <c r="I43" i="14"/>
  <c r="J45" i="14" s="1"/>
  <c r="G32" i="22"/>
  <c r="G28" i="22"/>
  <c r="G24" i="22"/>
  <c r="H23" i="22" s="1"/>
  <c r="G31" i="22"/>
  <c r="G27" i="22"/>
  <c r="G30" i="22"/>
  <c r="G26" i="22"/>
  <c r="G29" i="22"/>
  <c r="G25" i="22"/>
  <c r="J44" i="22"/>
  <c r="J40" i="22"/>
  <c r="J43" i="22"/>
  <c r="J39" i="22"/>
  <c r="J46" i="22"/>
  <c r="J42" i="22"/>
  <c r="J38" i="22"/>
  <c r="I34" i="22"/>
  <c r="J45" i="22"/>
  <c r="J41" i="22"/>
  <c r="J37" i="22"/>
  <c r="J66" i="22"/>
  <c r="K64" i="22" s="1"/>
  <c r="J70" i="22"/>
  <c r="K31" i="9"/>
  <c r="K39" i="9"/>
  <c r="K32" i="13"/>
  <c r="G38" i="13"/>
  <c r="F11" i="13"/>
  <c r="I11" i="14"/>
  <c r="I43" i="15"/>
  <c r="D17" i="16"/>
  <c r="F34" i="22"/>
  <c r="G52" i="22"/>
  <c r="G51" i="22"/>
  <c r="G54" i="22"/>
  <c r="G50" i="22"/>
  <c r="G53" i="22"/>
  <c r="G49" i="22"/>
  <c r="J52" i="22"/>
  <c r="J51" i="22"/>
  <c r="J54" i="22"/>
  <c r="J50" i="22"/>
  <c r="J53" i="22"/>
  <c r="J49" i="22"/>
  <c r="D32" i="9"/>
  <c r="D36" i="9"/>
  <c r="D38" i="9"/>
  <c r="C43" i="9"/>
  <c r="D45" i="9" s="1"/>
  <c r="G41" i="13"/>
  <c r="I40" i="13"/>
  <c r="D40" i="13"/>
  <c r="F43" i="13"/>
  <c r="K45" i="13"/>
  <c r="D41" i="14"/>
  <c r="J18" i="14"/>
  <c r="J22" i="15"/>
  <c r="D15" i="16"/>
  <c r="G62" i="22"/>
  <c r="H61" i="22" s="1"/>
  <c r="F59" i="22"/>
  <c r="I39" i="13"/>
  <c r="D37" i="13"/>
  <c r="I33" i="13"/>
  <c r="I30" i="13" s="1"/>
  <c r="J14" i="14"/>
  <c r="G46" i="14"/>
  <c r="J28" i="15"/>
  <c r="J25" i="15"/>
  <c r="J18" i="15"/>
  <c r="G27" i="15"/>
  <c r="G25" i="15"/>
  <c r="G23" i="15"/>
  <c r="G21" i="15"/>
  <c r="G19" i="15"/>
  <c r="G17" i="15"/>
  <c r="G15" i="15"/>
  <c r="G13" i="15"/>
  <c r="F9" i="15"/>
  <c r="G30" i="15" s="1"/>
  <c r="G28" i="15"/>
  <c r="G26" i="15"/>
  <c r="G24" i="15"/>
  <c r="G22" i="15"/>
  <c r="G20" i="15"/>
  <c r="G18" i="15"/>
  <c r="G16" i="15"/>
  <c r="G14" i="15"/>
  <c r="G12" i="15"/>
  <c r="D13" i="16"/>
  <c r="F17" i="16"/>
  <c r="I57" i="22"/>
  <c r="J61" i="22"/>
  <c r="J49" i="11"/>
  <c r="K48" i="11" s="1"/>
  <c r="D12" i="9"/>
  <c r="D14" i="9"/>
  <c r="D16" i="9"/>
  <c r="D18" i="9"/>
  <c r="D20" i="9"/>
  <c r="D22" i="9"/>
  <c r="D24" i="9"/>
  <c r="D26" i="9"/>
  <c r="D17" i="13"/>
  <c r="D19" i="13"/>
  <c r="D21" i="13"/>
  <c r="D23" i="13"/>
  <c r="D25" i="13"/>
  <c r="K33" i="13"/>
  <c r="I25" i="13"/>
  <c r="I44" i="13"/>
  <c r="J21" i="14"/>
  <c r="J24" i="15"/>
  <c r="J21" i="15"/>
  <c r="J14" i="15"/>
  <c r="G47" i="15"/>
  <c r="E18" i="16"/>
  <c r="C18" i="16"/>
  <c r="K44" i="14"/>
  <c r="I47" i="14"/>
  <c r="C30" i="15"/>
  <c r="F43" i="15"/>
  <c r="K39" i="14"/>
  <c r="I35" i="14"/>
  <c r="K36" i="15"/>
  <c r="K40" i="15"/>
  <c r="C11" i="15"/>
  <c r="D40" i="14"/>
  <c r="G45" i="14"/>
  <c r="C43" i="14"/>
  <c r="D47" i="14" s="1"/>
  <c r="I36" i="15"/>
  <c r="G33" i="15"/>
  <c r="G37" i="15"/>
  <c r="G41" i="15"/>
  <c r="C30" i="14"/>
  <c r="D31" i="14" s="1"/>
  <c r="K45" i="14"/>
  <c r="J62" i="22"/>
  <c r="K61" i="22" s="1"/>
  <c r="C11" i="14"/>
  <c r="I39" i="14"/>
  <c r="I31" i="14"/>
  <c r="K33" i="15"/>
  <c r="D32" i="15"/>
  <c r="D40" i="15"/>
  <c r="C43" i="15"/>
  <c r="J34" i="13" l="1"/>
  <c r="J35" i="13"/>
  <c r="J32" i="13"/>
  <c r="J37" i="13"/>
  <c r="J31" i="13"/>
  <c r="J23" i="11"/>
  <c r="J14" i="11"/>
  <c r="I10" i="11"/>
  <c r="H11" i="15"/>
  <c r="F57" i="22"/>
  <c r="G61" i="22"/>
  <c r="H59" i="22" s="1"/>
  <c r="I9" i="14"/>
  <c r="J9" i="14" s="1"/>
  <c r="J19" i="14"/>
  <c r="D47" i="9"/>
  <c r="J16" i="14"/>
  <c r="J26" i="14"/>
  <c r="J20" i="14"/>
  <c r="D43" i="13"/>
  <c r="D47" i="13"/>
  <c r="D46" i="13"/>
  <c r="D45" i="13"/>
  <c r="D44" i="13"/>
  <c r="C9" i="13"/>
  <c r="D33" i="14"/>
  <c r="J14" i="13"/>
  <c r="J27" i="13"/>
  <c r="J23" i="13"/>
  <c r="J19" i="13"/>
  <c r="J15" i="13"/>
  <c r="J13" i="13"/>
  <c r="I9" i="13"/>
  <c r="J9" i="13" s="1"/>
  <c r="I43" i="9"/>
  <c r="J70" i="11"/>
  <c r="J66" i="11"/>
  <c r="H23" i="11"/>
  <c r="J48" i="11"/>
  <c r="J36" i="11"/>
  <c r="E19" i="16"/>
  <c r="E15" i="16"/>
  <c r="E11" i="16"/>
  <c r="J27" i="14"/>
  <c r="G11" i="15"/>
  <c r="J25" i="14"/>
  <c r="J12" i="14"/>
  <c r="J48" i="22"/>
  <c r="J36" i="22"/>
  <c r="J22" i="14"/>
  <c r="J23" i="15"/>
  <c r="J23" i="14"/>
  <c r="J21" i="13"/>
  <c r="F10" i="11"/>
  <c r="G14" i="11"/>
  <c r="H12" i="11" s="1"/>
  <c r="G23" i="11"/>
  <c r="J20" i="13"/>
  <c r="J30" i="11"/>
  <c r="E11" i="13"/>
  <c r="C19" i="16"/>
  <c r="C15" i="16"/>
  <c r="C11" i="16"/>
  <c r="H48" i="22"/>
  <c r="C17" i="16"/>
  <c r="F10" i="22"/>
  <c r="G23" i="22"/>
  <c r="G14" i="22"/>
  <c r="D35" i="14"/>
  <c r="H30" i="14"/>
  <c r="J38" i="13"/>
  <c r="J24" i="13"/>
  <c r="I30" i="9"/>
  <c r="J16" i="13"/>
  <c r="J22" i="13"/>
  <c r="J28" i="11"/>
  <c r="J39" i="13"/>
  <c r="G36" i="11"/>
  <c r="H34" i="11" s="1"/>
  <c r="G48" i="11"/>
  <c r="D46" i="14"/>
  <c r="D45" i="14"/>
  <c r="C9" i="9"/>
  <c r="D43" i="9"/>
  <c r="D46" i="9"/>
  <c r="D44" i="9"/>
  <c r="E43" i="9" s="1"/>
  <c r="J28" i="14"/>
  <c r="G44" i="13"/>
  <c r="G43" i="13"/>
  <c r="G47" i="13"/>
  <c r="I43" i="13"/>
  <c r="J44" i="13"/>
  <c r="E9" i="16"/>
  <c r="G45" i="13"/>
  <c r="J44" i="15"/>
  <c r="E13" i="16"/>
  <c r="G46" i="13"/>
  <c r="H14" i="22"/>
  <c r="J45" i="15"/>
  <c r="J41" i="13"/>
  <c r="J18" i="13"/>
  <c r="J26" i="13"/>
  <c r="K14" i="11"/>
  <c r="D47" i="15"/>
  <c r="D44" i="15"/>
  <c r="E11" i="9"/>
  <c r="C13" i="16"/>
  <c r="J15" i="14"/>
  <c r="D45" i="15"/>
  <c r="D38" i="14"/>
  <c r="D34" i="14"/>
  <c r="D36" i="14"/>
  <c r="C9" i="16"/>
  <c r="D32" i="14"/>
  <c r="E30" i="14" s="1"/>
  <c r="G45" i="15"/>
  <c r="G43" i="15"/>
  <c r="G44" i="15"/>
  <c r="H43" i="15" s="1"/>
  <c r="G46" i="15"/>
  <c r="J25" i="13"/>
  <c r="K59" i="22"/>
  <c r="D37" i="14"/>
  <c r="K48" i="22"/>
  <c r="J26" i="15"/>
  <c r="J17" i="13"/>
  <c r="K11" i="13" s="1"/>
  <c r="J29" i="11"/>
  <c r="J25" i="11"/>
  <c r="J27" i="11"/>
  <c r="J31" i="11"/>
  <c r="J26" i="11"/>
  <c r="G11" i="14"/>
  <c r="D38" i="13"/>
  <c r="D34" i="13"/>
  <c r="D30" i="13"/>
  <c r="D31" i="13"/>
  <c r="D32" i="13"/>
  <c r="J36" i="13"/>
  <c r="G43" i="9"/>
  <c r="J25" i="9"/>
  <c r="J17" i="9"/>
  <c r="I9" i="9"/>
  <c r="J9" i="9" s="1"/>
  <c r="E30" i="9"/>
  <c r="J23" i="9"/>
  <c r="J46" i="14"/>
  <c r="D28" i="14"/>
  <c r="D26" i="14"/>
  <c r="D24" i="14"/>
  <c r="D22" i="14"/>
  <c r="D20" i="14"/>
  <c r="D18" i="14"/>
  <c r="D16" i="14"/>
  <c r="D14" i="14"/>
  <c r="D12" i="14"/>
  <c r="C9" i="14"/>
  <c r="D27" i="14"/>
  <c r="D25" i="14"/>
  <c r="D23" i="14"/>
  <c r="D21" i="14"/>
  <c r="D19" i="14"/>
  <c r="D17" i="14"/>
  <c r="D15" i="14"/>
  <c r="D13" i="14"/>
  <c r="G48" i="22"/>
  <c r="G36" i="22"/>
  <c r="D44" i="14"/>
  <c r="D46" i="15"/>
  <c r="D38" i="15"/>
  <c r="D34" i="15"/>
  <c r="D30" i="15"/>
  <c r="D41" i="15"/>
  <c r="D39" i="15"/>
  <c r="D37" i="15"/>
  <c r="D35" i="15"/>
  <c r="D33" i="15"/>
  <c r="D31" i="15"/>
  <c r="J64" i="22"/>
  <c r="J59" i="22"/>
  <c r="K57" i="22" s="1"/>
  <c r="J33" i="13"/>
  <c r="J47" i="15"/>
  <c r="J40" i="13"/>
  <c r="I30" i="15"/>
  <c r="J36" i="15" s="1"/>
  <c r="F9" i="13"/>
  <c r="G28" i="13"/>
  <c r="G26" i="13"/>
  <c r="G24" i="13"/>
  <c r="G22" i="13"/>
  <c r="G20" i="13"/>
  <c r="G18" i="13"/>
  <c r="G16" i="13"/>
  <c r="G14" i="13"/>
  <c r="G12" i="13"/>
  <c r="G27" i="13"/>
  <c r="G25" i="13"/>
  <c r="G23" i="13"/>
  <c r="G21" i="13"/>
  <c r="G19" i="13"/>
  <c r="G17" i="13"/>
  <c r="G15" i="13"/>
  <c r="G13" i="13"/>
  <c r="G70" i="22"/>
  <c r="G66" i="22"/>
  <c r="J19" i="15"/>
  <c r="J15" i="15"/>
  <c r="K11" i="15" s="1"/>
  <c r="J23" i="22"/>
  <c r="J14" i="22"/>
  <c r="K12" i="22" s="1"/>
  <c r="I10" i="22"/>
  <c r="J46" i="15"/>
  <c r="J24" i="11"/>
  <c r="H11" i="9"/>
  <c r="J32" i="11"/>
  <c r="G64" i="11"/>
  <c r="G59" i="11"/>
  <c r="K36" i="11"/>
  <c r="G70" i="11"/>
  <c r="G66" i="11"/>
  <c r="J15" i="9"/>
  <c r="K11" i="9" s="1"/>
  <c r="J64" i="11"/>
  <c r="J59" i="11"/>
  <c r="I30" i="14"/>
  <c r="J39" i="14" s="1"/>
  <c r="J31" i="14"/>
  <c r="D27" i="15"/>
  <c r="D25" i="15"/>
  <c r="D23" i="15"/>
  <c r="D21" i="15"/>
  <c r="D19" i="15"/>
  <c r="D17" i="15"/>
  <c r="D15" i="15"/>
  <c r="D13" i="15"/>
  <c r="D28" i="15"/>
  <c r="D26" i="15"/>
  <c r="D24" i="15"/>
  <c r="D22" i="15"/>
  <c r="D20" i="15"/>
  <c r="D18" i="15"/>
  <c r="D16" i="15"/>
  <c r="D14" i="15"/>
  <c r="D12" i="15"/>
  <c r="C9" i="15"/>
  <c r="J47" i="14"/>
  <c r="K36" i="22"/>
  <c r="J44" i="14"/>
  <c r="K43" i="14" s="1"/>
  <c r="D36" i="15"/>
  <c r="E17" i="16"/>
  <c r="H11" i="14"/>
  <c r="D39" i="14"/>
  <c r="J17" i="15"/>
  <c r="H30" i="15"/>
  <c r="H43" i="14"/>
  <c r="D39" i="13"/>
  <c r="G11" i="9"/>
  <c r="J26" i="9"/>
  <c r="J16" i="9"/>
  <c r="H66" i="11"/>
  <c r="H11" i="13" l="1"/>
  <c r="D9" i="14"/>
  <c r="J11" i="9"/>
  <c r="K43" i="15"/>
  <c r="H43" i="13"/>
  <c r="D43" i="14"/>
  <c r="G10" i="22"/>
  <c r="F8" i="22"/>
  <c r="G12" i="22"/>
  <c r="G34" i="22"/>
  <c r="J43" i="9"/>
  <c r="J46" i="9"/>
  <c r="J47" i="9"/>
  <c r="J44" i="9"/>
  <c r="E11" i="14"/>
  <c r="J34" i="9"/>
  <c r="J30" i="9"/>
  <c r="J41" i="9"/>
  <c r="J38" i="9"/>
  <c r="J31" i="9"/>
  <c r="J37" i="9"/>
  <c r="J39" i="9"/>
  <c r="J33" i="9"/>
  <c r="J36" i="9"/>
  <c r="J35" i="9"/>
  <c r="J32" i="9"/>
  <c r="K34" i="22"/>
  <c r="G64" i="22"/>
  <c r="G57" i="22"/>
  <c r="G59" i="22"/>
  <c r="H57" i="22" s="1"/>
  <c r="K30" i="13"/>
  <c r="G9" i="13"/>
  <c r="G30" i="13"/>
  <c r="D9" i="15"/>
  <c r="I9" i="15"/>
  <c r="G11" i="13"/>
  <c r="E30" i="15"/>
  <c r="D11" i="14"/>
  <c r="H9" i="14"/>
  <c r="J35" i="14"/>
  <c r="J11" i="13"/>
  <c r="D9" i="13"/>
  <c r="D11" i="13"/>
  <c r="J45" i="9"/>
  <c r="I8" i="22"/>
  <c r="J12" i="22"/>
  <c r="J34" i="22"/>
  <c r="K11" i="14"/>
  <c r="K34" i="11"/>
  <c r="E43" i="13"/>
  <c r="K57" i="11"/>
  <c r="K23" i="11"/>
  <c r="K12" i="11" s="1"/>
  <c r="E43" i="14"/>
  <c r="J43" i="14"/>
  <c r="E43" i="15"/>
  <c r="J43" i="13"/>
  <c r="J47" i="13"/>
  <c r="J46" i="13"/>
  <c r="J45" i="13"/>
  <c r="K43" i="13" s="1"/>
  <c r="G9" i="9"/>
  <c r="G10" i="11"/>
  <c r="F8" i="11"/>
  <c r="G34" i="11"/>
  <c r="G12" i="11"/>
  <c r="H10" i="11" s="1"/>
  <c r="D11" i="15"/>
  <c r="D30" i="14"/>
  <c r="J40" i="9"/>
  <c r="H9" i="15"/>
  <c r="J11" i="14"/>
  <c r="E11" i="15"/>
  <c r="J39" i="15"/>
  <c r="J34" i="15"/>
  <c r="J30" i="15"/>
  <c r="J31" i="15"/>
  <c r="K30" i="15" s="1"/>
  <c r="J41" i="15"/>
  <c r="J35" i="15"/>
  <c r="J32" i="15"/>
  <c r="J38" i="15"/>
  <c r="J40" i="15"/>
  <c r="J37" i="15"/>
  <c r="J33" i="15"/>
  <c r="H64" i="11"/>
  <c r="H57" i="11" s="1"/>
  <c r="H9" i="9"/>
  <c r="J34" i="14"/>
  <c r="J30" i="14"/>
  <c r="J37" i="14"/>
  <c r="J38" i="14"/>
  <c r="J33" i="14"/>
  <c r="J41" i="14"/>
  <c r="J40" i="14"/>
  <c r="J36" i="14"/>
  <c r="K30" i="14" s="1"/>
  <c r="J32" i="14"/>
  <c r="G9" i="14"/>
  <c r="H64" i="22"/>
  <c r="H34" i="22"/>
  <c r="E30" i="13"/>
  <c r="D43" i="15"/>
  <c r="D9" i="9"/>
  <c r="D30" i="9"/>
  <c r="D11" i="9"/>
  <c r="H12" i="22"/>
  <c r="K64" i="11"/>
  <c r="I8" i="11"/>
  <c r="J34" i="11"/>
  <c r="J12" i="11"/>
  <c r="J10" i="11"/>
  <c r="J30" i="13"/>
  <c r="K43" i="9" l="1"/>
  <c r="K9" i="9" s="1"/>
  <c r="J8" i="22"/>
  <c r="J57" i="22"/>
  <c r="K8" i="11"/>
  <c r="K10" i="22"/>
  <c r="E9" i="14"/>
  <c r="H9" i="13"/>
  <c r="K30" i="9"/>
  <c r="J8" i="11"/>
  <c r="J57" i="11"/>
  <c r="E9" i="13"/>
  <c r="J9" i="15"/>
  <c r="J11" i="15"/>
  <c r="J43" i="15"/>
  <c r="G9" i="15"/>
  <c r="K10" i="11"/>
  <c r="E9" i="15"/>
  <c r="K9" i="14"/>
  <c r="K9" i="13"/>
  <c r="H10" i="22"/>
  <c r="H8" i="22" s="1"/>
  <c r="E9" i="9"/>
  <c r="G8" i="11"/>
  <c r="G57" i="11"/>
  <c r="H8" i="11" s="1"/>
  <c r="J10" i="22"/>
  <c r="G8" i="22"/>
  <c r="K9" i="15" l="1"/>
  <c r="K8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Taran Chawla</author>
  </authors>
  <commentList>
    <comment ref="H2" authorId="0" shapeId="0" xr:uid="{00000000-0006-0000-0000-000001000000}">
      <text>
        <r>
          <rPr>
            <sz val="9"/>
            <color indexed="81"/>
            <rFont val="Calibri"/>
            <family val="2"/>
          </rPr>
          <t>Enter the current risk premium for a mature equity market</t>
        </r>
      </text>
    </comment>
    <comment ref="J2" authorId="0" shapeId="0" xr:uid="{00000000-0006-0000-0000-000002000000}">
      <text>
        <r>
          <rPr>
            <sz val="9"/>
            <color indexed="81"/>
            <rFont val="Calibri"/>
            <family val="2"/>
          </rPr>
          <t>Do you want to adjust the country default spread for the additional volatility of the equity market to get to a country premium?</t>
        </r>
      </text>
    </comment>
    <comment ref="L2" authorId="0" shapeId="0" xr:uid="{00000000-0006-0000-0000-000003000000}">
      <text>
        <r>
          <rPr>
            <sz val="9"/>
            <color indexed="81"/>
            <rFont val="Calibri"/>
            <family val="2"/>
          </rPr>
          <t>If yes, enter the multiplier to use on the default spread (See worksheet for volatility numbers for selected emerging markets)</t>
        </r>
      </text>
    </comment>
    <comment ref="N2" authorId="0" shapeId="0" xr:uid="{00000000-0006-0000-0000-000004000000}">
      <text>
        <r>
          <rPr>
            <sz val="9"/>
            <color indexed="81"/>
            <rFont val="Calibri"/>
            <family val="2"/>
          </rPr>
          <t>Enter the current 10-year CDS spread for a mature market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Nicolas Fermin Cota</author>
  </authors>
  <commentList>
    <comment ref="B2" authorId="0" shapeId="0" xr:uid="{00000000-0006-0000-0000-000001000000}">
      <text>
        <r>
          <rPr>
            <sz val="9"/>
            <color indexed="81"/>
            <rFont val="Calibri"/>
            <family val="2"/>
          </rPr>
          <t>B1: Estados de Situación Financiera (Balance sheet)
B2: Indicadores Mensuales
B3: Estados de Resultados (P&amp;L)
B4:   Cartera de Créditos por Sectores Económicos
B4A: Cartera de Créditos por Tipo de Préstamo y Facilidad
B4B: Cartera de Créditos por Clasificación de Riesgo
B4C: Cartera de Créditos al Sector Público
B5: Ranking por Criterios de Agrupación
B6: Captaciones del Público por Sector y Tipo de Depositante
B9: Cartera de Inversiones
B10: Solvencia y Sus Componentes por Entidad
11: Mayores Accionistas
11A: Miembros del Consejo Directivo
11B: Principales Funcionarios y Ejecutivos
11C: Captaciones del Público: Reporte de Captaciones por Localidad</t>
        </r>
      </text>
    </comment>
  </commentList>
</comments>
</file>

<file path=xl/sharedStrings.xml><?xml version="1.0" encoding="utf-8"?>
<sst xmlns="http://schemas.openxmlformats.org/spreadsheetml/2006/main" count="2148" uniqueCount="1017">
  <si>
    <t/>
  </si>
  <si>
    <t>VOLUMEN</t>
  </si>
  <si>
    <t>RENTABILIDAD</t>
  </si>
  <si>
    <t>ROA (Rentabilidad de los Activos)</t>
  </si>
  <si>
    <t>ROE (Rentabilidad del Patrimonio)</t>
  </si>
  <si>
    <t>Ingresos Financieros / Activos Productivos</t>
  </si>
  <si>
    <t>Margen Financiero Bruto / Margen Operacional Bruto</t>
  </si>
  <si>
    <t>Activos Productivos / Activos Totales Brutos</t>
  </si>
  <si>
    <t>Margen Financiero Bruto (MIN) / Activos Productivos</t>
  </si>
  <si>
    <t>LIQUIDEZ</t>
  </si>
  <si>
    <t>Disponibilidades/Total Captaciones + Oblig. Con Costo</t>
  </si>
  <si>
    <t>Disponibilidades/Total de Captaciones</t>
  </si>
  <si>
    <t>Disponibilidades / Total de Depósitos</t>
  </si>
  <si>
    <t>Disponib.+ Inversiones en Depósitos y Valores/Total Activos</t>
  </si>
  <si>
    <t>Activos Productivos/Total Captaciones + Oblig. Con Costo</t>
  </si>
  <si>
    <t>ESTRUCTURA DE LA CARTERA DE CRÉDITOS</t>
  </si>
  <si>
    <t>Cartera de Créditos Vencida (Capital)/ Total de Cartera de Crédito Bruta</t>
  </si>
  <si>
    <t>Cartera de Créditos Vencida (Capital y Rendimientos) / Total de Cartera de Crédito Bruta</t>
  </si>
  <si>
    <t>Cartera de Crédito Vigente (Capital) / Total Cartera de Crédito Bruta</t>
  </si>
  <si>
    <t>Cartera de Crédito Vigente (Capital y Rendimientos) / Total Cartera de Crédito Bruta</t>
  </si>
  <si>
    <t>Cartera de Crédito Vigente M/N (Capital y Rendimientos) / Total Cartera de Crédito Bruta</t>
  </si>
  <si>
    <t>Cartera de Crédito Vigente M/E (Capital y Rendimientos) / Total Cartera de Crédito Bruta</t>
  </si>
  <si>
    <t>Provisión para Cartera / Total de Cartera Vencida (Capital y Rendimientos)</t>
  </si>
  <si>
    <t>Provisión para Cartera / Total de Cartera de Crédito Bruta</t>
  </si>
  <si>
    <t>ESTRUCTURA DE ACTIVOS</t>
  </si>
  <si>
    <t>Disponibilidades netas / Activos Netos</t>
  </si>
  <si>
    <t>Disponibilidades en el Exterior / Disponibilidades</t>
  </si>
  <si>
    <t>Total Cartera de Créditos neta / Activos Netos</t>
  </si>
  <si>
    <t>Total Inversiones netas / Total Activos Netos</t>
  </si>
  <si>
    <t>Activos Fijos netos / Patrimonio Técnico</t>
  </si>
  <si>
    <t>Activos Fijos netos / Activos Netos</t>
  </si>
  <si>
    <t>Activos Fijos Bruto/ Activos Brutos</t>
  </si>
  <si>
    <t>Bienes Recibidos en Recuperación de Créditos netos/Activos Netos</t>
  </si>
  <si>
    <t>Otros Activos netos / Activos Netos</t>
  </si>
  <si>
    <t>ESTRUCTURA DE PASIVOS</t>
  </si>
  <si>
    <t>Total Pasivos / Total Activos Netos</t>
  </si>
  <si>
    <t>Cartera de Créditos Bruta / Total Captaciones</t>
  </si>
  <si>
    <t>Activos Productivos/Total Pasivos</t>
  </si>
  <si>
    <t>Inversiones Banco Central / Total Captaciones</t>
  </si>
  <si>
    <t>Total Captaciones / Total Pasivos</t>
  </si>
  <si>
    <t>Valores en Circulación del Público / Total Captaciones</t>
  </si>
  <si>
    <t>Total Depósitos / Total Captaciones</t>
  </si>
  <si>
    <t>Depósitos a la Vista / Total Depósitos</t>
  </si>
  <si>
    <t>Depósitos de Ahorro / Total Depósitos</t>
  </si>
  <si>
    <t>Depósitos a Plazo / Total Depósitos</t>
  </si>
  <si>
    <t>CAPITAL</t>
  </si>
  <si>
    <t>Indice de Solvencia</t>
  </si>
  <si>
    <t>Endeudamiento (Pasivos/Patrimonio Neto) Veces</t>
  </si>
  <si>
    <t>Activos netos/Patrimonio Neto (Veces)</t>
  </si>
  <si>
    <t>Cartera de Crédito Vencida (Capital)/ Patrimonio Neto</t>
  </si>
  <si>
    <t>Total Cartera de Crédito Bruta / Patrimonio Neto (Veces)</t>
  </si>
  <si>
    <t>Activos Improductivos / Patrimonio Neto (Veces)</t>
  </si>
  <si>
    <t>Otros Activos / Patrimonio Neto (Veces)</t>
  </si>
  <si>
    <t>Patrimonio Neto / Activos Netos</t>
  </si>
  <si>
    <t>Patrimonio Neto / Total Pasivos</t>
  </si>
  <si>
    <t>Patrimonio Neto / Total Captaciones</t>
  </si>
  <si>
    <t>Patrimonio Neto/ Activos Netos (Excluyendo Disponibilidades)</t>
  </si>
  <si>
    <t>GESTION</t>
  </si>
  <si>
    <t>Total Gastos Generales y Administrativos/Total Captaciones</t>
  </si>
  <si>
    <t>Gastos de Explotación / Margen Operacional Bruto (Cost / Income)</t>
  </si>
  <si>
    <t>Gastos Financieros de Captaciones / Captaciones con Costo</t>
  </si>
  <si>
    <t>Gastos Financieros/Total Captaciones + Oblig. Con Costo</t>
  </si>
  <si>
    <t>Gastos Financieros / Captaciones con Costos + Obligaciones con Costo</t>
  </si>
  <si>
    <t>Total Gastos Generales y Administ. /Total Captaciones + Oblig. Con Costo</t>
  </si>
  <si>
    <t>Gastos Financieros / Activos Productivos (CE)</t>
  </si>
  <si>
    <t>Gastos Financieros / Activos Financieros (CF)</t>
  </si>
  <si>
    <t>Gastos Financieros / Ingresos Financieros</t>
  </si>
  <si>
    <t>Gastos Operacionales / Ingresos Operacionales Brutos</t>
  </si>
  <si>
    <t>Total Gastos Generales y Administrativos / Activos Totales</t>
  </si>
  <si>
    <t>Gastos de Explotación / Activos Productivos</t>
  </si>
  <si>
    <t>Gasto de Personal / Gastos de Explotación</t>
  </si>
  <si>
    <t>Activos Productivos / No. Empleados (millones de RD$)</t>
  </si>
  <si>
    <t>No. de Empleados / Total de Oficinas (número de personas)</t>
  </si>
  <si>
    <t>Activos Totales bruto / No. oficinas (millones de RD$)</t>
  </si>
  <si>
    <t>Activos Totales bruto / No. empleados (millones de RD$)</t>
  </si>
  <si>
    <t>Gastos Generales y Administrativos / No. empleados ( millones de RD$)</t>
  </si>
  <si>
    <t>Gastos de Personal / No. Empleados (millones en RD$)</t>
  </si>
  <si>
    <t>ESTRUCTURA DE GASTOS GENERALES Y ADMINISTRATIVOS</t>
  </si>
  <si>
    <t>Sueldos y Compensaciones al Personal/Total Gastos Grales. y Administ.</t>
  </si>
  <si>
    <t>Otros Gastos Generales/Total Gastos Generales y Administrativos</t>
  </si>
  <si>
    <t>Total Gastos Generales y Administrativos/Total Gastos</t>
  </si>
  <si>
    <t>INDICADORES FINANCIEROS DE LOS BANCOS MÚLTIPLES - SEPT 2014</t>
  </si>
  <si>
    <t>BANCO POPULAR - INDICADORES FINANCIEROS</t>
  </si>
  <si>
    <t>Normalized ROE</t>
  </si>
  <si>
    <t>Divd. Payout Ratio</t>
  </si>
  <si>
    <t>Cost of Equity</t>
  </si>
  <si>
    <t>ACTIVOS</t>
  </si>
  <si>
    <t>Disponibilidades en Caja</t>
  </si>
  <si>
    <t>Disponibilidades en Banco Central</t>
  </si>
  <si>
    <t>Disponibilidades en Bancos del pais</t>
  </si>
  <si>
    <t>Disponibilidades en Bancos del extranjero</t>
  </si>
  <si>
    <t>Otras disponibilidades</t>
  </si>
  <si>
    <t>Rendimientos por cobrar Disponibilidades</t>
  </si>
  <si>
    <t>Fondos Disponibles</t>
  </si>
  <si>
    <t>Fondos interbancarios Otorgados</t>
  </si>
  <si>
    <t>Rendimientos por cobrar Interbancarios Otorgados</t>
  </si>
  <si>
    <t>Fondos Interbancarios Otorgados</t>
  </si>
  <si>
    <t>Inversiones Negociables</t>
  </si>
  <si>
    <t>Inversiones Disponibles para la venta</t>
  </si>
  <si>
    <t>Inversiones Mantenidas hasta el vencimiento</t>
  </si>
  <si>
    <t>Otras inversiones en instrumentos de deuda</t>
  </si>
  <si>
    <t>Inversiones en depósitos y valores (hasta mayo 2006)</t>
  </si>
  <si>
    <t>Rendimientos por cobrar de Inversiones</t>
  </si>
  <si>
    <t>Provision para inversiones</t>
  </si>
  <si>
    <t>Inversiones Negociables y a Vencimientos Netas</t>
  </si>
  <si>
    <t>Cartera de Crédito Vigente</t>
  </si>
  <si>
    <t>Cartera de Crédito Reestructurada</t>
  </si>
  <si>
    <t>Cartera de Crédito Vencida</t>
  </si>
  <si>
    <t>Cartera de Crédito Cobranza judicial</t>
  </si>
  <si>
    <t>Rendimientos por cobrar de Cartera de Crédito</t>
  </si>
  <si>
    <t>Provisiones para Cartera de Crédito</t>
  </si>
  <si>
    <t>Total Cartera de Créditos Neta</t>
  </si>
  <si>
    <t>Deudores por Aceptaciones</t>
  </si>
  <si>
    <t>Cuentas por cobrar</t>
  </si>
  <si>
    <t>Rendimientos por cobrar</t>
  </si>
  <si>
    <t>Cuentas por Cobrar</t>
  </si>
  <si>
    <t>Bienes recibidos en recuperaciòn de crédito</t>
  </si>
  <si>
    <t>Provisiòn por bienes recibidos en recuperaciòn de créditos</t>
  </si>
  <si>
    <t>Bienes Recibidos en Recuperación de Créditos Netos</t>
  </si>
  <si>
    <t>Inversiones en acciones</t>
  </si>
  <si>
    <t>Provisiòn por inversiones en acciones</t>
  </si>
  <si>
    <t>Inversiones en Acciones Netas</t>
  </si>
  <si>
    <t>Propiedad, muebles y equipos</t>
  </si>
  <si>
    <t>Depreciaciòn acumulada</t>
  </si>
  <si>
    <t>Propiedad, Muebles y Equipos Netos</t>
  </si>
  <si>
    <t>Cargos diferidos</t>
  </si>
  <si>
    <t>Activos Intangibles</t>
  </si>
  <si>
    <t>Activos diversos</t>
  </si>
  <si>
    <t>Amortizaciòn acumulada</t>
  </si>
  <si>
    <t>Otros Activos</t>
  </si>
  <si>
    <t>TOTAL DE ACTIVOS</t>
  </si>
  <si>
    <t>PASIVOS Y PATRIMONIO</t>
  </si>
  <si>
    <t>Depósitos A la vista</t>
  </si>
  <si>
    <t>Depósitos De ahorro</t>
  </si>
  <si>
    <t>Depósitos a Plazo</t>
  </si>
  <si>
    <t>Intereses por pagar por Obligaciones con el Público</t>
  </si>
  <si>
    <t>Total Obligaciones con el Público</t>
  </si>
  <si>
    <t>Fondos interbancarios Tomados</t>
  </si>
  <si>
    <t>Intereses por pagar por Fondos Interbancarios</t>
  </si>
  <si>
    <t>Fondos Interbancarios Tomados</t>
  </si>
  <si>
    <t>Depósitos De instituciones financieras del paìs</t>
  </si>
  <si>
    <t>Depósitos De instituciones financieras del exterior</t>
  </si>
  <si>
    <t>Intereses por pagar por Depósitos de Instituciones Financieras</t>
  </si>
  <si>
    <t>Depósitos Instituciones Financieras del País y del Exterior</t>
  </si>
  <si>
    <t>Obligaciones por Pactos de Recompra de Títulos</t>
  </si>
  <si>
    <t>Préstamos Tomados al Del Banco Central</t>
  </si>
  <si>
    <t>Préstamos Tomados a instituciones financieras del paìs</t>
  </si>
  <si>
    <t>Préstamos Tomados a instituciones financieras del exterior</t>
  </si>
  <si>
    <t>Otros Fondos Tomados a Préstamos</t>
  </si>
  <si>
    <t>Intereses por pagar por Préstamos</t>
  </si>
  <si>
    <t>Fondos Tomados a Préstamo</t>
  </si>
  <si>
    <t>Aceptaciones en Circulaciòn</t>
  </si>
  <si>
    <t>Titulos y valores en Circulación</t>
  </si>
  <si>
    <t>Intereses por pagar Valores en Circulación</t>
  </si>
  <si>
    <t>Valores en Circulación</t>
  </si>
  <si>
    <t>Otros pasivos</t>
  </si>
  <si>
    <t>Intereses y comisiones devengados no cobrados (hasta mayo 2006)</t>
  </si>
  <si>
    <t>Otros Pasivos</t>
  </si>
  <si>
    <t>Deudas subordinadas</t>
  </si>
  <si>
    <t>Intereses por pagar</t>
  </si>
  <si>
    <t>Obligaciones Subordinadas</t>
  </si>
  <si>
    <t>TOTAL PASIVOS</t>
  </si>
  <si>
    <t>Patrimonio Neto</t>
  </si>
  <si>
    <t>Capital pagado</t>
  </si>
  <si>
    <t>Reserva legal bancaria</t>
  </si>
  <si>
    <t>Capital adicional pagado</t>
  </si>
  <si>
    <t>Otras reservas patrimoniales</t>
  </si>
  <si>
    <t>Superavit por revaluaciòn</t>
  </si>
  <si>
    <t>Ganancias (pérdidas) no realizadas en inversiones</t>
  </si>
  <si>
    <t>Resultados acumulados de ejercicios anteriores</t>
  </si>
  <si>
    <t>Resultados del ejercicio</t>
  </si>
  <si>
    <t>TOTAL PATRIMONIO NETO</t>
  </si>
  <si>
    <t>TOTAL PASIVOS Y PATRIMONIO</t>
  </si>
  <si>
    <t>POPULAR</t>
  </si>
  <si>
    <t>BHD LEÓN</t>
  </si>
  <si>
    <t>Total Ingresos Financieros</t>
  </si>
  <si>
    <t>Total Gastos Financieros</t>
  </si>
  <si>
    <t>MARGEN FINANCIERO BRUTO</t>
  </si>
  <si>
    <t>Provisiones para cartera de creditos</t>
  </si>
  <si>
    <t>Provisiones por Activos Productivos</t>
  </si>
  <si>
    <t>MARGEN FINANCIERO NETO</t>
  </si>
  <si>
    <t>Ingresos (Gastos) por diferencia de cambio</t>
  </si>
  <si>
    <t>Comisiones por servicios</t>
  </si>
  <si>
    <t>Comisiones por cambio</t>
  </si>
  <si>
    <t>Ingresos diversos</t>
  </si>
  <si>
    <t>Otros Ingresos Operacionales</t>
  </si>
  <si>
    <t>Gastos diversos</t>
  </si>
  <si>
    <t>Otros Gastos Operacionales</t>
  </si>
  <si>
    <t>Gastos operativos</t>
  </si>
  <si>
    <t>Sueldos y compensaciones al personal</t>
  </si>
  <si>
    <t>Servicios a terceros</t>
  </si>
  <si>
    <t>Depreciacion y Amortizaciones</t>
  </si>
  <si>
    <t>Otras provisiones</t>
  </si>
  <si>
    <t>Otros gastos</t>
  </si>
  <si>
    <t>Total Gastos Operativos</t>
  </si>
  <si>
    <t>RESULTADO OPERACIONAL</t>
  </si>
  <si>
    <t>Otros ingresos</t>
  </si>
  <si>
    <t>Otros Ingresos y Gastos</t>
  </si>
  <si>
    <t>RESULTADO ANTES DE IMPUESTOS</t>
  </si>
  <si>
    <t>Impuesto sobre la renta</t>
  </si>
  <si>
    <t>RESULTADO DEL EJERCICIO</t>
  </si>
  <si>
    <t>Intereses y comisiones por credito</t>
  </si>
  <si>
    <t>Intereses por inversiones</t>
  </si>
  <si>
    <t>Ganancia por inversiones</t>
  </si>
  <si>
    <t>Intereses por captaciones</t>
  </si>
  <si>
    <t>Perdidas por inversiones</t>
  </si>
  <si>
    <t>Intereses y comisiones por financiamientos</t>
  </si>
  <si>
    <r>
      <t xml:space="preserve">BANCO POPULAR - ESTADOS FINANCIEROS </t>
    </r>
    <r>
      <rPr>
        <b/>
        <sz val="8"/>
        <color theme="1"/>
        <rFont val="Calibri"/>
        <family val="2"/>
        <scheme val="minor"/>
      </rPr>
      <t>(CIFRAS EN DOLARES AMERICANOS)</t>
    </r>
  </si>
  <si>
    <r>
      <t xml:space="preserve">BANCO POPULAR - ESTADO DE SITUACION </t>
    </r>
    <r>
      <rPr>
        <b/>
        <sz val="8"/>
        <color theme="1"/>
        <rFont val="Calibri"/>
        <family val="2"/>
        <scheme val="minor"/>
      </rPr>
      <t>(CIFRAS EN DOLARES AMERICANOS)</t>
    </r>
  </si>
  <si>
    <t>SEPT 2014</t>
  </si>
  <si>
    <t>Año</t>
  </si>
  <si>
    <t>Trimestre</t>
  </si>
  <si>
    <t>Compra</t>
  </si>
  <si>
    <t>Venta</t>
  </si>
  <si>
    <t>Enero-Marzo</t>
  </si>
  <si>
    <t>Abril-Junio</t>
  </si>
  <si>
    <t>Julio-Septiembre</t>
  </si>
  <si>
    <t>Octubre-Diciembre</t>
  </si>
  <si>
    <t>Total de Activos Netos (USD Millones)</t>
  </si>
  <si>
    <t>Total de Pasivos (USD Millones)</t>
  </si>
  <si>
    <t>Total Patrimonio Neto (USD Millones)</t>
  </si>
  <si>
    <t>Stable growth in earnings</t>
  </si>
  <si>
    <t>POR LOCALIDAD Y MONEDA</t>
  </si>
  <si>
    <t>Tasa Promedio Ponderada en Porcentajes</t>
  </si>
  <si>
    <t>Cantidad de Instrumentos de Captación</t>
  </si>
  <si>
    <t>Peso Dominicano</t>
  </si>
  <si>
    <t>Dólar Estadounidense</t>
  </si>
  <si>
    <t>Euro</t>
  </si>
  <si>
    <t>Región Metropolitana</t>
  </si>
  <si>
    <t>Región Norte</t>
  </si>
  <si>
    <t>Región Este</t>
  </si>
  <si>
    <t>Región Sur</t>
  </si>
  <si>
    <t>Balances Consolidados en Millones de USD</t>
  </si>
  <si>
    <t>Total</t>
  </si>
  <si>
    <t>PARTICIPACIÓN TOTAL ACTIVOS POR BANCO MÚLTIPLE</t>
  </si>
  <si>
    <t>PARTICIPACIÓN</t>
  </si>
  <si>
    <t>TOTAL</t>
  </si>
  <si>
    <t>EN EL SECTOR</t>
  </si>
  <si>
    <t xml:space="preserve">EN EL SISTEMA </t>
  </si>
  <si>
    <t>BANCOS MÚLTIPLES</t>
  </si>
  <si>
    <t>BANRESERVAS</t>
  </si>
  <si>
    <t xml:space="preserve">POPULAR </t>
  </si>
  <si>
    <t>SCOTIABANK</t>
  </si>
  <si>
    <t>PROGRESO</t>
  </si>
  <si>
    <t>SANTA CRUZ</t>
  </si>
  <si>
    <t>CITIBANK</t>
  </si>
  <si>
    <t>ADEMI</t>
  </si>
  <si>
    <t>BANESCO</t>
  </si>
  <si>
    <t xml:space="preserve">CARIBE </t>
  </si>
  <si>
    <t>BDI</t>
  </si>
  <si>
    <t>PROMERICA</t>
  </si>
  <si>
    <t>BLH</t>
  </si>
  <si>
    <t>BANCAMERICA</t>
  </si>
  <si>
    <t>VIMENCA</t>
  </si>
  <si>
    <t>LAFISE</t>
  </si>
  <si>
    <t>BELLBANK</t>
  </si>
  <si>
    <t>Total Sistema Finan.</t>
  </si>
  <si>
    <t>REPÚBLICA DOMINICANA</t>
  </si>
  <si>
    <t>CAPTACIONES DEL PÚBLICO</t>
  </si>
  <si>
    <t>RESIDENTE</t>
  </si>
  <si>
    <t>Total Público</t>
  </si>
  <si>
    <t>a) Financiero</t>
  </si>
  <si>
    <t>Banco Agrícola de la R. D.</t>
  </si>
  <si>
    <t>Banco Central R. D.</t>
  </si>
  <si>
    <t>Banco Nacional de Fomento de la Vivienda y la Producción</t>
  </si>
  <si>
    <t>Caja de Ahorros para Obreros y Monte de Piedad</t>
  </si>
  <si>
    <t>Corporación de Fomento Industrial</t>
  </si>
  <si>
    <t>Entidades Financieras</t>
  </si>
  <si>
    <t>Instituto de Desarrollo y Crédito Cooperativo</t>
  </si>
  <si>
    <t>b) No Financiero</t>
  </si>
  <si>
    <t>CDEEE y Empresas Distribuidoras</t>
  </si>
  <si>
    <t>Consejo Estatal del Azúcar</t>
  </si>
  <si>
    <t>Corporación de Empresas Estatales</t>
  </si>
  <si>
    <t>Gobierno Central R. D.</t>
  </si>
  <si>
    <t>Inst. Públicas Descentralizadas R. D.</t>
  </si>
  <si>
    <t>Instituciones de Seguridad Social</t>
  </si>
  <si>
    <t>Instituto Nacional de Estabilización de Precios</t>
  </si>
  <si>
    <t>Municipios</t>
  </si>
  <si>
    <t>Tesorería de la Seguridad Social</t>
  </si>
  <si>
    <t>Total Privado</t>
  </si>
  <si>
    <t>Administradoras de Fondos de Pensiones</t>
  </si>
  <si>
    <t>Administradoras de Fondos Mutuos</t>
  </si>
  <si>
    <t>Agentes de Cambio y Remesas</t>
  </si>
  <si>
    <t>Asociaciones de Ahorros y Préstamos</t>
  </si>
  <si>
    <t>Bancos de Ahorros y Creditos</t>
  </si>
  <si>
    <t>Bancos Múltiples</t>
  </si>
  <si>
    <t>Compañías de Seguros</t>
  </si>
  <si>
    <t>Cooperativas de Ahorro y Crédito</t>
  </si>
  <si>
    <t>Corporaciones de Crédito</t>
  </si>
  <si>
    <t>Puestos de Bolsas de Valores</t>
  </si>
  <si>
    <t>Empresas Sector Real</t>
  </si>
  <si>
    <t>Hogares</t>
  </si>
  <si>
    <t>Int. Sin Fines de Lucro</t>
  </si>
  <si>
    <t>Microempresas</t>
  </si>
  <si>
    <t>Refidomsa</t>
  </si>
  <si>
    <t>Rosario Dominicana</t>
  </si>
  <si>
    <t>NO RESIDENTE</t>
  </si>
  <si>
    <t>Embajadas y Consulados</t>
  </si>
  <si>
    <t>Casa Matriz y Sucursales</t>
  </si>
  <si>
    <t>TASAS DE CAMBIO DEL DÓLAR</t>
  </si>
  <si>
    <t>PROMEDIO TRIMESTRAL</t>
  </si>
  <si>
    <t>INFORMACIONES AL 30-SEP-14</t>
  </si>
  <si>
    <t>CIFRAS EN DÓLAR ESTADOUNIDENSE</t>
  </si>
  <si>
    <t>BALANCES AL CIERRE EN MILLONES DE DÓLARES ESTADOUNIDENSE</t>
  </si>
  <si>
    <t>DOP - TASA PROMEDIO PONDERADA EN PORCENTAJE</t>
  </si>
  <si>
    <t>BALANCES AL CIERRE</t>
  </si>
  <si>
    <t>a) Moneda Nacional</t>
  </si>
  <si>
    <t>b) Moneda Extranjera</t>
  </si>
  <si>
    <t>a) Créditos Comerciales</t>
  </si>
  <si>
    <t>Préstamos Comerciales Pool de Bancos</t>
  </si>
  <si>
    <t>Préstamos Comerciales a Través de Líneas de Crédito</t>
  </si>
  <si>
    <t>Préstamos Comerciales Individuales</t>
  </si>
  <si>
    <t>Microcrédito a Través de Líneas de Crédito</t>
  </si>
  <si>
    <t>Microcrédito Grupal</t>
  </si>
  <si>
    <t>Microcrédito Individual</t>
  </si>
  <si>
    <t>Adelantos en Cuenta Corriente</t>
  </si>
  <si>
    <t>Arrendamientos Financieros (Leasing)</t>
  </si>
  <si>
    <t>Compras de Títulos con Pacto de Reventa</t>
  </si>
  <si>
    <t>Descuentos de Facturas</t>
  </si>
  <si>
    <t>Documentos Descontados</t>
  </si>
  <si>
    <t>Venta de Bienes Adjudicados</t>
  </si>
  <si>
    <t>Tarjeta de crédito Empresarial Flotilla</t>
  </si>
  <si>
    <t>Tarjeta de crédito Empresarial</t>
  </si>
  <si>
    <t>Tarjeta de crédito Corporativa</t>
  </si>
  <si>
    <t>Tarjeta de crédito Distribución/Suplidor</t>
  </si>
  <si>
    <t>Anticipos sobre Documentos de Exportación</t>
  </si>
  <si>
    <t>b) Créditos de Consumo</t>
  </si>
  <si>
    <t>Préstamos a Través de Líneas de Crédito Personales (Créditos Diferidos)</t>
  </si>
  <si>
    <t>Préstamos Personales con Descuento por Nómina</t>
  </si>
  <si>
    <t>Préstamos Personales con Garantía de Certificados Financieros</t>
  </si>
  <si>
    <t xml:space="preserve">Préstamos Personales para Gastos </t>
  </si>
  <si>
    <t xml:space="preserve">Préstamos Personales para Solares </t>
  </si>
  <si>
    <t>Préstamos Personales para Vehículos Nuevos</t>
  </si>
  <si>
    <t>Préstamos Personales para Vehículos Usados</t>
  </si>
  <si>
    <t>Tarjeta de crédito personal Clásica/Standard</t>
  </si>
  <si>
    <t>Tarjeta de crédito personal Oro/Gold</t>
  </si>
  <si>
    <t>Tarjeta de crédito personal Flotilla</t>
  </si>
  <si>
    <t>Tarjeta de crédito personal Platino/Platinum (o superior)</t>
  </si>
  <si>
    <t>c) Créditos Hipotecarios</t>
  </si>
  <si>
    <t>Préstamo para adquisición de la Vivienda del Deudor</t>
  </si>
  <si>
    <t>Préstamo para la Construcción o Remodelación de la Vivienda del Deudor</t>
  </si>
  <si>
    <t>Préstamo para adquisición de Segunda Vivienda o Veraneo</t>
  </si>
  <si>
    <t>Préstamo para la Construcción o Remodelación de 2da Vivienda o Veraneo</t>
  </si>
  <si>
    <t>Saldo Adeudado</t>
  </si>
  <si>
    <t>TASA DE INTERÉS PROMEDIO PONDERADA POR FACILIDAD CREDITICIA</t>
  </si>
  <si>
    <t>BALANCES AL CIERRE EN DÓLARES ESTADOUNIDENSE</t>
  </si>
  <si>
    <t>SALDO ADEUDADO EN DÓLARES ESTADOUNIDENSE</t>
  </si>
  <si>
    <t>Total Cantidad de Préstamos</t>
  </si>
  <si>
    <t>A - Agricultura, Ganadería, Caza y Silvicultura</t>
  </si>
  <si>
    <t>B - Pesca</t>
  </si>
  <si>
    <t>C - Explotación de Minas y Canteras</t>
  </si>
  <si>
    <t>D - Industrias Manufactureras</t>
  </si>
  <si>
    <t>E - Suministro de Electricidad, Gas y Agua</t>
  </si>
  <si>
    <t>F - Construcción</t>
  </si>
  <si>
    <t>G - Comercio al por mayor y al por menor</t>
  </si>
  <si>
    <t>H - Hoteles y Restaurantes</t>
  </si>
  <si>
    <t>I - Transporte, Almacenamiento y Comunicaciones</t>
  </si>
  <si>
    <t>J - Intermediación Financiera</t>
  </si>
  <si>
    <t>K - Actividades Inmobiliarias, Empresariales y de Alquiler</t>
  </si>
  <si>
    <t>L - Administración Pública y Defensa</t>
  </si>
  <si>
    <t>M - Enseñanza</t>
  </si>
  <si>
    <t>N - Servicios Sociales y de Salud</t>
  </si>
  <si>
    <t>O - Otras Actividades de Servicios Comunitarios, Sociales y Personales</t>
  </si>
  <si>
    <t>P - Hogares Privados con Servicios Domésticos</t>
  </si>
  <si>
    <t>Q - Organizaciones y Órganos Extraterritoriales</t>
  </si>
  <si>
    <t>Y - CONSUMO DE BIENES Y SERVICIOS</t>
  </si>
  <si>
    <t>Z - COMPRA Y REMODELACIÓN DE VIVIENDAS</t>
  </si>
  <si>
    <t>Tasa de Interés Promedio - Moneda Nacional</t>
  </si>
  <si>
    <t>Tasa de Interés Promedio - Moneda Extranjera</t>
  </si>
  <si>
    <t>TASA DE INTERÉS PROMEDIO PONDERADA</t>
  </si>
  <si>
    <t>BANCO POPULAR</t>
  </si>
  <si>
    <t>C</t>
  </si>
  <si>
    <t>A</t>
  </si>
  <si>
    <t>B</t>
  </si>
  <si>
    <t>D</t>
  </si>
  <si>
    <t>E</t>
  </si>
  <si>
    <t>SISTEMA FINANCIERO DOMINICANO - CAPTACIONES DEL PÚBLICO</t>
  </si>
  <si>
    <t>SISTEMA FINANCIERO DOMINICANO</t>
  </si>
  <si>
    <t xml:space="preserve">SISTEMA FINANCIERO DOMINICANO - CARTERA DE CRÉDITO </t>
  </si>
  <si>
    <t xml:space="preserve">BANCO POPULAR - CARTERA DE CRÉDITO </t>
  </si>
  <si>
    <t xml:space="preserve">BANRESERVAS - CARTERA DE CRÉDITO </t>
  </si>
  <si>
    <t xml:space="preserve">BHD LEÓN - CARTERA DE CRÉDITO </t>
  </si>
  <si>
    <t>SISTEMA FINANCIERO DOMINICANO - CARTERA DE CRÉDITO POR SECTOR ECONÓMICO</t>
  </si>
  <si>
    <t>SISTEMA FINANCIERO DOMINICANO - CARTERA DE CRÉDITO POR CLASIFICACIÓN DE RIESGO</t>
  </si>
  <si>
    <t>CRÉDITOS DE CONSUMO</t>
  </si>
  <si>
    <t>CRÉDITOS COMERCIALES</t>
  </si>
  <si>
    <t>SALDO ADEUDADO</t>
  </si>
  <si>
    <t>Sin Clasificar</t>
  </si>
  <si>
    <t>b) Privado</t>
  </si>
  <si>
    <t>Banco Central de Paises OECD</t>
  </si>
  <si>
    <t>a) Público</t>
  </si>
  <si>
    <t xml:space="preserve">Bancos de Ahorros y Creditos                                                                        </t>
  </si>
  <si>
    <t xml:space="preserve">Banco Nacional de Fomento de la Vivienda y la Producción                                            </t>
  </si>
  <si>
    <t>POR MONEDA, SECTOR Y TIPO DE EMISOR</t>
  </si>
  <si>
    <t>TOTAL CARTERA DE INVERSIONES</t>
  </si>
  <si>
    <t>SISTEMA FINANCIERO DOMINICANO - CARTERA DE INVERSIONES EN DÓLARES ESTADOUNIDENSE</t>
  </si>
  <si>
    <t>Implied Return on Equity</t>
  </si>
  <si>
    <t>Implied Return on Equity Sensitivity: Payout Ratio &amp; Earnings Growth</t>
  </si>
  <si>
    <t>Exchange Rate</t>
  </si>
  <si>
    <t>Dividends - DOP</t>
  </si>
  <si>
    <t>Earnings - DOP</t>
  </si>
  <si>
    <t>Price to Book</t>
  </si>
  <si>
    <t>Book value - DOP</t>
  </si>
  <si>
    <t>Value of Equity - USD</t>
  </si>
  <si>
    <t>Book value - DOP 2013</t>
  </si>
  <si>
    <t>Earnings grow at a stable rate</t>
  </si>
  <si>
    <t>Dividend Payout ratio</t>
  </si>
  <si>
    <t>Value of equity - DOP</t>
  </si>
  <si>
    <t>Value of equity - USD</t>
  </si>
  <si>
    <t>Normalized net income - DOP</t>
  </si>
  <si>
    <t>Value of Equity USD Sensitivity:  Cost of Equity &amp; ROE</t>
  </si>
  <si>
    <t>Reporte</t>
  </si>
  <si>
    <t>Mes</t>
  </si>
  <si>
    <t>Periodo</t>
  </si>
  <si>
    <t>Formato</t>
  </si>
  <si>
    <t>B9</t>
  </si>
  <si>
    <t>02</t>
  </si>
  <si>
    <t>.xlsx</t>
  </si>
  <si>
    <t>Caa1</t>
  </si>
  <si>
    <t>B-</t>
  </si>
  <si>
    <t>Central and South America</t>
  </si>
  <si>
    <t>Venezuela</t>
  </si>
  <si>
    <t>NA</t>
  </si>
  <si>
    <t>Baa3</t>
  </si>
  <si>
    <t>BBB-</t>
  </si>
  <si>
    <t>Uruguay</t>
  </si>
  <si>
    <t>Ba3</t>
  </si>
  <si>
    <t>BB-</t>
  </si>
  <si>
    <t>Suriname</t>
  </si>
  <si>
    <t>Baa2</t>
  </si>
  <si>
    <t>A-</t>
  </si>
  <si>
    <t>Peru</t>
  </si>
  <si>
    <t>8</t>
  </si>
  <si>
    <t>NR</t>
  </si>
  <si>
    <t>Unknown rating or unrated bond</t>
  </si>
  <si>
    <t>Paraguay</t>
  </si>
  <si>
    <t>BBB</t>
  </si>
  <si>
    <t>Panama</t>
  </si>
  <si>
    <t>C-</t>
  </si>
  <si>
    <t>C3</t>
  </si>
  <si>
    <t>B3</t>
  </si>
  <si>
    <t>Nicaragua</t>
  </si>
  <si>
    <t>7</t>
  </si>
  <si>
    <t>C2</t>
  </si>
  <si>
    <t>May be in Default</t>
  </si>
  <si>
    <t>Baa1</t>
  </si>
  <si>
    <t>Mexico</t>
  </si>
  <si>
    <t>C+</t>
  </si>
  <si>
    <t>C1</t>
  </si>
  <si>
    <t>B2</t>
  </si>
  <si>
    <t>Honduras</t>
  </si>
  <si>
    <t>CC-</t>
  </si>
  <si>
    <t>Ca3</t>
  </si>
  <si>
    <t>Ba1</t>
  </si>
  <si>
    <t>BB+</t>
  </si>
  <si>
    <t>Guatemala</t>
  </si>
  <si>
    <t>CC</t>
  </si>
  <si>
    <t>Ca2</t>
  </si>
  <si>
    <t>Extremely Speculative</t>
  </si>
  <si>
    <t>El Salvador</t>
  </si>
  <si>
    <t>CC+</t>
  </si>
  <si>
    <t>Ca1</t>
  </si>
  <si>
    <t>Ecuador</t>
  </si>
  <si>
    <t>CCC-</t>
  </si>
  <si>
    <t>Caa3</t>
  </si>
  <si>
    <t>BB</t>
  </si>
  <si>
    <t>Costa Rica</t>
  </si>
  <si>
    <t>CCC</t>
  </si>
  <si>
    <t>Caa2</t>
  </si>
  <si>
    <t>In Poor Standing</t>
  </si>
  <si>
    <t>BBB+</t>
  </si>
  <si>
    <t>Colombia</t>
  </si>
  <si>
    <t>CCC+</t>
  </si>
  <si>
    <t>Substantial Risk</t>
  </si>
  <si>
    <t>Aa3</t>
  </si>
  <si>
    <t>AA+</t>
  </si>
  <si>
    <t>Chile</t>
  </si>
  <si>
    <t>6</t>
  </si>
  <si>
    <t>Brazil</t>
  </si>
  <si>
    <t>Bolivia</t>
  </si>
  <si>
    <t>B+</t>
  </si>
  <si>
    <t>B1</t>
  </si>
  <si>
    <t>Highly Speculative</t>
  </si>
  <si>
    <t>Belize</t>
  </si>
  <si>
    <t>5</t>
  </si>
  <si>
    <t>Argentina</t>
  </si>
  <si>
    <t>Ba2</t>
  </si>
  <si>
    <t>Speculative</t>
  </si>
  <si>
    <t>Caribbean</t>
  </si>
  <si>
    <t>Trinidad and Tobago</t>
  </si>
  <si>
    <t>Non Investment Grade</t>
  </si>
  <si>
    <t>St. Vincent &amp; the Grenadines</t>
  </si>
  <si>
    <t>4</t>
  </si>
  <si>
    <t>St. Maarten</t>
  </si>
  <si>
    <t>Montserrat</t>
  </si>
  <si>
    <t>Lower Medium Grade</t>
  </si>
  <si>
    <t>Jamaica</t>
  </si>
  <si>
    <t>3</t>
  </si>
  <si>
    <t>A3</t>
  </si>
  <si>
    <t>Dominican Republic</t>
  </si>
  <si>
    <t>A2</t>
  </si>
  <si>
    <t>Curacao</t>
  </si>
  <si>
    <t>A+</t>
  </si>
  <si>
    <t>A1</t>
  </si>
  <si>
    <t>Upper Medium Grade</t>
  </si>
  <si>
    <t>Cuba</t>
  </si>
  <si>
    <t>2</t>
  </si>
  <si>
    <t>AA-</t>
  </si>
  <si>
    <t>Cayman Islands</t>
  </si>
  <si>
    <t>AA</t>
  </si>
  <si>
    <t>Aa2</t>
  </si>
  <si>
    <t>Bermuda</t>
  </si>
  <si>
    <t>Aa1</t>
  </si>
  <si>
    <t>High Grade. High Quality</t>
  </si>
  <si>
    <t>Barbados</t>
  </si>
  <si>
    <t>1</t>
  </si>
  <si>
    <t>AAA</t>
  </si>
  <si>
    <t>Aaa</t>
  </si>
  <si>
    <t>Prime. Maximum Safety</t>
  </si>
  <si>
    <t>Bahamas</t>
  </si>
  <si>
    <t>ALL</t>
  </si>
  <si>
    <t>Aruba</t>
  </si>
  <si>
    <t>Avg. of 10-year CDS</t>
  </si>
  <si>
    <t>Count of 10-year CDS</t>
  </si>
  <si>
    <t>Tier</t>
  </si>
  <si>
    <t>Govt. Bond Default spread</t>
  </si>
  <si>
    <t>S&amp;P</t>
  </si>
  <si>
    <t>Moody's</t>
  </si>
  <si>
    <t>Excess CDS spread</t>
  </si>
  <si>
    <t>10-year CDS Spreads</t>
  </si>
  <si>
    <t>Total Equity Risk Premium</t>
  </si>
  <si>
    <t>Country Risk Premium</t>
  </si>
  <si>
    <r>
      <t>Weight</t>
    </r>
    <r>
      <rPr>
        <vertAlign val="subscript"/>
        <sz val="8"/>
        <color theme="0"/>
        <rFont val="Times New Roman"/>
        <family val="1"/>
      </rPr>
      <t>region</t>
    </r>
  </si>
  <si>
    <r>
      <t>Weight</t>
    </r>
    <r>
      <rPr>
        <vertAlign val="subscript"/>
        <sz val="8"/>
        <color theme="0"/>
        <rFont val="Times New Roman"/>
        <family val="1"/>
      </rPr>
      <t>gdp</t>
    </r>
  </si>
  <si>
    <t>Rating-based Default Spread</t>
  </si>
  <si>
    <t>Relative Std Dev</t>
  </si>
  <si>
    <t>Std Dev in Bonds</t>
  </si>
  <si>
    <t>Std Dev in Equities</t>
  </si>
  <si>
    <t>Moody's rating</t>
  </si>
  <si>
    <t>S&amp;P Rating</t>
  </si>
  <si>
    <t>GDP (in billions)</t>
  </si>
  <si>
    <t>Region</t>
  </si>
  <si>
    <t>Country</t>
  </si>
  <si>
    <t>24.76 ( C2 )</t>
  </si>
  <si>
    <t>23.92 ( C1 )</t>
  </si>
  <si>
    <t>23.08 ( C1 )</t>
  </si>
  <si>
    <t>22.24 ( Ca3 )</t>
  </si>
  <si>
    <t>21.39 ( Ca2 )</t>
  </si>
  <si>
    <t>20.55 ( Ca1 )</t>
  </si>
  <si>
    <t>19.71 ( Caa3 )</t>
  </si>
  <si>
    <t>18.87 ( Caa2 )</t>
  </si>
  <si>
    <t>18.03 ( Caa2 )</t>
  </si>
  <si>
    <t>17.19 ( Caa1 )</t>
  </si>
  <si>
    <t>16.35 ( B3 )</t>
  </si>
  <si>
    <t>15.51 ( B2 )</t>
  </si>
  <si>
    <t>14.67 ( B1 )</t>
  </si>
  <si>
    <t>13.83 ( Ba3 )</t>
  </si>
  <si>
    <t>12.99 ( Ba2 )</t>
  </si>
  <si>
    <t>12.15 ( Ba2 )</t>
  </si>
  <si>
    <t>11.31 ( Ba1 )</t>
  </si>
  <si>
    <t>10.46 ( Baa3 )</t>
  </si>
  <si>
    <t>9.62 ( Baa2 )</t>
  </si>
  <si>
    <t>8.78 ( Baa1 )</t>
  </si>
  <si>
    <t>7.94 ( A3 )</t>
  </si>
  <si>
    <t>7.1 ( A3 )</t>
  </si>
  <si>
    <t>6.26 ( A2 )</t>
  </si>
  <si>
    <t>5.42 ( A1 )</t>
  </si>
  <si>
    <t>4.58 ( Aa3 )</t>
  </si>
  <si>
    <t>24.62 ( C2 )</t>
  </si>
  <si>
    <t>23.78 ( C1 )</t>
  </si>
  <si>
    <t>22.93 ( Ca3 )</t>
  </si>
  <si>
    <t>22.09 ( Ca3 )</t>
  </si>
  <si>
    <t>21.25 ( Ca2 )</t>
  </si>
  <si>
    <t>20.41 ( Ca1 )</t>
  </si>
  <si>
    <t>19.57 ( Caa3 )</t>
  </si>
  <si>
    <t>18.73 ( Caa2 )</t>
  </si>
  <si>
    <t>17.89 ( Caa1 )</t>
  </si>
  <si>
    <t>17.05 ( Caa1 )</t>
  </si>
  <si>
    <t>16.21 ( B3 )</t>
  </si>
  <si>
    <t>15.37 ( B2 )</t>
  </si>
  <si>
    <t>14.53 ( B1 )</t>
  </si>
  <si>
    <t>13.69 ( Ba3 )</t>
  </si>
  <si>
    <t>12.85 ( Ba2 )</t>
  </si>
  <si>
    <t>12 ( Ba2 )</t>
  </si>
  <si>
    <t>11.16 ( Ba1 )</t>
  </si>
  <si>
    <t>10.32 ( Baa3 )</t>
  </si>
  <si>
    <t>9.48 ( Baa2 )</t>
  </si>
  <si>
    <t>8.64 ( Baa1 )</t>
  </si>
  <si>
    <t>7.8 ( A3 )</t>
  </si>
  <si>
    <t>6.96 ( A2 )</t>
  </si>
  <si>
    <t>6.12 ( A2 )</t>
  </si>
  <si>
    <t>5.28 ( A1 )</t>
  </si>
  <si>
    <t>4.44 ( Aa3 )</t>
  </si>
  <si>
    <t>24.48 ( C2 )</t>
  </si>
  <si>
    <t>23.63 ( C1 )</t>
  </si>
  <si>
    <t>22.79 ( Ca3 )</t>
  </si>
  <si>
    <t>21.95 ( Ca2 )</t>
  </si>
  <si>
    <t>21.11 ( Ca2 )</t>
  </si>
  <si>
    <t>20.27 ( Ca1 )</t>
  </si>
  <si>
    <t>19.43 ( Caa3 )</t>
  </si>
  <si>
    <t>18.59 ( Caa2 )</t>
  </si>
  <si>
    <t>17.75 ( Caa1 )</t>
  </si>
  <si>
    <t>16.91 ( B3 )</t>
  </si>
  <si>
    <t>16.07 ( B3 )</t>
  </si>
  <si>
    <t>15.23 ( B2 )</t>
  </si>
  <si>
    <t>14.39 ( B1 )</t>
  </si>
  <si>
    <t>13.55 ( Ba3 )</t>
  </si>
  <si>
    <t>12.7 ( Ba2 )</t>
  </si>
  <si>
    <t>11.86 ( Ba1 )</t>
  </si>
  <si>
    <t>11.02 ( Ba1 )</t>
  </si>
  <si>
    <t>10.18 ( Baa3 )</t>
  </si>
  <si>
    <t>9.34 ( Baa2 )</t>
  </si>
  <si>
    <t>8.5 ( Baa1 )</t>
  </si>
  <si>
    <t>7.66 ( A3 )</t>
  </si>
  <si>
    <t>6.82 ( A2 )</t>
  </si>
  <si>
    <t>5.98 ( A1 )</t>
  </si>
  <si>
    <t>5.14 ( A1 )</t>
  </si>
  <si>
    <t>4.3 ( Aa3 )</t>
  </si>
  <si>
    <t>24.33 ( C2 )</t>
  </si>
  <si>
    <t>23.49 ( C1 )</t>
  </si>
  <si>
    <t>22.65 ( Ca3 )</t>
  </si>
  <si>
    <t>21.81 ( Ca2 )</t>
  </si>
  <si>
    <t>20.97 ( Ca1 )</t>
  </si>
  <si>
    <t>20.13 ( Ca1 )</t>
  </si>
  <si>
    <t>19.29 ( Caa3 )</t>
  </si>
  <si>
    <t>18.45 ( Caa2 )</t>
  </si>
  <si>
    <t>17.61 ( Caa1 )</t>
  </si>
  <si>
    <t>16.77 ( B3 )</t>
  </si>
  <si>
    <t>15.93 ( B2 )</t>
  </si>
  <si>
    <t>15.09 ( B2 )</t>
  </si>
  <si>
    <t>14.24 ( B1 )</t>
  </si>
  <si>
    <t>13.4 ( Ba3 )</t>
  </si>
  <si>
    <t>12.56 ( Ba2 )</t>
  </si>
  <si>
    <t>11.72 ( Ba1 )</t>
  </si>
  <si>
    <t>10.88 ( Baa3 )</t>
  </si>
  <si>
    <t>10.04 ( Baa3 )</t>
  </si>
  <si>
    <t>9.2 ( Baa2 )</t>
  </si>
  <si>
    <t>8.36 ( Baa1 )</t>
  </si>
  <si>
    <t>7.52 ( A3 )</t>
  </si>
  <si>
    <t>6.68 ( A2 )</t>
  </si>
  <si>
    <t>5.84 ( A1 )</t>
  </si>
  <si>
    <t>5 ( A1 )</t>
  </si>
  <si>
    <t>4.16 ( Aa3 )</t>
  </si>
  <si>
    <t>24.19 ( C2 )</t>
  </si>
  <si>
    <t>23.35 ( C1 )</t>
  </si>
  <si>
    <t>22.51 ( Ca3 )</t>
  </si>
  <si>
    <t>21.67 ( Ca2 )</t>
  </si>
  <si>
    <t>20.83 ( Ca1 )</t>
  </si>
  <si>
    <t>19.99 ( Caa3 )</t>
  </si>
  <si>
    <t>19.15 ( Caa3 )</t>
  </si>
  <si>
    <t>18.31 ( Caa2 )</t>
  </si>
  <si>
    <t>17.47 ( Caa1 )</t>
  </si>
  <si>
    <t>16.63 ( B3 )</t>
  </si>
  <si>
    <t>15.79 ( B2 )</t>
  </si>
  <si>
    <t>14.94 ( B1 )</t>
  </si>
  <si>
    <t>14.1 ( B1 )</t>
  </si>
  <si>
    <t>13.26 ( Ba3 )</t>
  </si>
  <si>
    <t>12.42 ( Ba2 )</t>
  </si>
  <si>
    <t>11.58 ( Ba1 )</t>
  </si>
  <si>
    <t>10.74 ( Baa3 )</t>
  </si>
  <si>
    <t>9.9 ( Baa2 )</t>
  </si>
  <si>
    <t>9.06 ( Baa2 )</t>
  </si>
  <si>
    <t>8.22 ( Baa1 )</t>
  </si>
  <si>
    <t>7.38 ( A3 )</t>
  </si>
  <si>
    <t>6.54 ( A2 )</t>
  </si>
  <si>
    <t>5.7 ( A1 )</t>
  </si>
  <si>
    <t>4.86 ( Aa3 )</t>
  </si>
  <si>
    <t>4.01 ( Aa3 )</t>
  </si>
  <si>
    <t>24.05 ( C2 )</t>
  </si>
  <si>
    <t>23.21 ( C1 )</t>
  </si>
  <si>
    <t>22.37 ( Ca3 )</t>
  </si>
  <si>
    <t>21.53 ( Ca2 )</t>
  </si>
  <si>
    <t>20.69 ( Ca1 )</t>
  </si>
  <si>
    <t>19.85 ( Caa3 )</t>
  </si>
  <si>
    <t>19.01 ( Caa3 )</t>
  </si>
  <si>
    <t>18.17 ( Caa2 )</t>
  </si>
  <si>
    <t>17.33 ( Caa1 )</t>
  </si>
  <si>
    <t>16.48 ( B3 )</t>
  </si>
  <si>
    <t>15.64 ( B2 )</t>
  </si>
  <si>
    <t>14.8 ( B1 )</t>
  </si>
  <si>
    <t>13.96 ( Ba3 )</t>
  </si>
  <si>
    <t>13.12 ( Ba3 )</t>
  </si>
  <si>
    <t>12.28 ( Ba2 )</t>
  </si>
  <si>
    <t>11.44 ( Ba1 )</t>
  </si>
  <si>
    <t>10.6 ( Baa3 )</t>
  </si>
  <si>
    <t>9.76 ( Baa2 )</t>
  </si>
  <si>
    <t>8.92 ( Baa1 )</t>
  </si>
  <si>
    <t>8.08 ( Baa1 )</t>
  </si>
  <si>
    <t>7.24 ( A3 )</t>
  </si>
  <si>
    <t>6.4 ( A2 )</t>
  </si>
  <si>
    <t>5.55 ( A1 )</t>
  </si>
  <si>
    <t>4.71 ( Aa3 )</t>
  </si>
  <si>
    <t>3.87 ( Aa2 )</t>
  </si>
  <si>
    <t>23.91 ( C1 )</t>
  </si>
  <si>
    <t>23.07 ( C1 )</t>
  </si>
  <si>
    <t>22.23 ( Ca3 )</t>
  </si>
  <si>
    <t>17.18 ( Caa1 )</t>
  </si>
  <si>
    <t>16.34 ( B3 )</t>
  </si>
  <si>
    <t>15.5 ( B2 )</t>
  </si>
  <si>
    <t>14.66 ( B1 )</t>
  </si>
  <si>
    <t>13.82 ( Ba3 )</t>
  </si>
  <si>
    <t>12.98 ( Ba2 )</t>
  </si>
  <si>
    <t>12.14 ( Ba2 )</t>
  </si>
  <si>
    <t>11.3 ( Ba1 )</t>
  </si>
  <si>
    <t>6.25 ( A2 )</t>
  </si>
  <si>
    <t>5.41 ( A1 )</t>
  </si>
  <si>
    <t>4.57 ( Aa3 )</t>
  </si>
  <si>
    <t>3.73 ( Aa2 )</t>
  </si>
  <si>
    <t>23.77 ( C1 )</t>
  </si>
  <si>
    <t>17.88 ( Caa1 )</t>
  </si>
  <si>
    <t>17.04 ( Caa1 )</t>
  </si>
  <si>
    <t>16.2 ( B3 )</t>
  </si>
  <si>
    <t>15.36 ( B2 )</t>
  </si>
  <si>
    <t>14.52 ( B1 )</t>
  </si>
  <si>
    <t>13.68 ( Ba3 )</t>
  </si>
  <si>
    <t>12.84 ( Ba2 )</t>
  </si>
  <si>
    <t>6.95 ( A2 )</t>
  </si>
  <si>
    <t>6.11 ( A2 )</t>
  </si>
  <si>
    <t>5.27 ( A1 )</t>
  </si>
  <si>
    <t>4.43 ( Aa3 )</t>
  </si>
  <si>
    <t>3.59 ( Aa2 )</t>
  </si>
  <si>
    <t>19.42 ( Caa3 )</t>
  </si>
  <si>
    <t>18.58 ( Caa2 )</t>
  </si>
  <si>
    <t>17.74 ( Caa1 )</t>
  </si>
  <si>
    <t>16.9 ( B3 )</t>
  </si>
  <si>
    <t>16.06 ( B3 )</t>
  </si>
  <si>
    <t>15.22 ( B2 )</t>
  </si>
  <si>
    <t>14.38 ( B1 )</t>
  </si>
  <si>
    <t>13.54 ( Ba3 )</t>
  </si>
  <si>
    <t>8.49 ( Baa1 )</t>
  </si>
  <si>
    <t>7.65 ( A3 )</t>
  </si>
  <si>
    <t>6.81 ( A2 )</t>
  </si>
  <si>
    <t>5.97 ( A1 )</t>
  </si>
  <si>
    <t>5.13 ( A1 )</t>
  </si>
  <si>
    <t>4.29 ( Aa3 )</t>
  </si>
  <si>
    <t>3.45 ( Aa2 )</t>
  </si>
  <si>
    <t>20.12 ( Ca1 )</t>
  </si>
  <si>
    <t>19.28 ( Caa3 )</t>
  </si>
  <si>
    <t>18.44 ( Caa2 )</t>
  </si>
  <si>
    <t>17.6 ( Caa1 )</t>
  </si>
  <si>
    <t>16.76 ( B3 )</t>
  </si>
  <si>
    <t>15.92 ( B2 )</t>
  </si>
  <si>
    <t>15.08 ( B2 )</t>
  </si>
  <si>
    <t>9.19 ( Baa2 )</t>
  </si>
  <si>
    <t>8.35 ( Baa1 )</t>
  </si>
  <si>
    <t>7.51 ( A3 )</t>
  </si>
  <si>
    <t>6.67 ( A2 )</t>
  </si>
  <si>
    <t>5.83 ( A1 )</t>
  </si>
  <si>
    <t>4.99 ( Aa3 )</t>
  </si>
  <si>
    <t>4.15 ( Aa3 )</t>
  </si>
  <si>
    <t>3.31 ( Aa2 )</t>
  </si>
  <si>
    <t>21.66 ( Ca2 )</t>
  </si>
  <si>
    <t>20.82 ( Ca1 )</t>
  </si>
  <si>
    <t>19.98 ( Caa3 )</t>
  </si>
  <si>
    <t>19.14 ( Caa3 )</t>
  </si>
  <si>
    <t>18.3 ( Caa2 )</t>
  </si>
  <si>
    <t>17.46 ( Caa1 )</t>
  </si>
  <si>
    <t>16.62 ( B3 )</t>
  </si>
  <si>
    <t>15.78 ( B2 )</t>
  </si>
  <si>
    <t>10.73 ( Baa3 )</t>
  </si>
  <si>
    <t>9.89 ( Baa2 )</t>
  </si>
  <si>
    <t>9.05 ( Baa2 )</t>
  </si>
  <si>
    <t>8.21 ( Baa1 )</t>
  </si>
  <si>
    <t>7.37 ( A3 )</t>
  </si>
  <si>
    <t>6.53 ( A2 )</t>
  </si>
  <si>
    <t>5.69 ( A1 )</t>
  </si>
  <si>
    <t>4.85 ( Aa3 )</t>
  </si>
  <si>
    <t>3.17 ( Aa2 )</t>
  </si>
  <si>
    <t>22.36 ( Ca3 )</t>
  </si>
  <si>
    <t>21.52 ( Ca2 )</t>
  </si>
  <si>
    <t>20.68 ( Ca1 )</t>
  </si>
  <si>
    <t>19.84 ( Caa3 )</t>
  </si>
  <si>
    <t>19 ( Caa3 )</t>
  </si>
  <si>
    <t>18.16 ( Caa2 )</t>
  </si>
  <si>
    <t>17.32 ( Caa1 )</t>
  </si>
  <si>
    <t>11.43 ( Ba1 )</t>
  </si>
  <si>
    <t>10.59 ( Baa3 )</t>
  </si>
  <si>
    <t>9.75 ( Baa2 )</t>
  </si>
  <si>
    <t>8.91 ( Baa1 )</t>
  </si>
  <si>
    <t>8.07 ( Baa1 )</t>
  </si>
  <si>
    <t>7.23 ( A3 )</t>
  </si>
  <si>
    <t>6.39 ( A2 )</t>
  </si>
  <si>
    <t>3.03 ( Aa2 )</t>
  </si>
  <si>
    <t>23.06 ( C1 )</t>
  </si>
  <si>
    <t>22.22 ( Ca3 )</t>
  </si>
  <si>
    <t>21.38 ( Ca2 )</t>
  </si>
  <si>
    <t>20.54 ( Ca1 )</t>
  </si>
  <si>
    <t>19.7 ( Caa3 )</t>
  </si>
  <si>
    <t>18.86 ( Caa2 )</t>
  </si>
  <si>
    <t>18.02 ( Caa2 )</t>
  </si>
  <si>
    <t>12.97 ( Ba2 )</t>
  </si>
  <si>
    <t>12.13 ( Ba2 )</t>
  </si>
  <si>
    <t>11.29 ( Ba1 )</t>
  </si>
  <si>
    <t>10.45 ( Baa3 )</t>
  </si>
  <si>
    <t>9.61 ( Baa2 )</t>
  </si>
  <si>
    <t>8.77 ( Baa1 )</t>
  </si>
  <si>
    <t>7.93 ( A3 )</t>
  </si>
  <si>
    <t>7.09 ( A3 )</t>
  </si>
  <si>
    <t>2.89 ( Aa1 )</t>
  </si>
  <si>
    <t>22.92 ( Ca3 )</t>
  </si>
  <si>
    <t>22.08 ( Ca3 )</t>
  </si>
  <si>
    <t>21.24 ( Ca2 )</t>
  </si>
  <si>
    <t>20.4 ( Ca1 )</t>
  </si>
  <si>
    <t>19.56 ( Caa3 )</t>
  </si>
  <si>
    <t>18.72 ( Caa2 )</t>
  </si>
  <si>
    <t>13.67 ( Ba3 )</t>
  </si>
  <si>
    <t>12.83 ( Ba2 )</t>
  </si>
  <si>
    <t>11.99 ( Ba1 )</t>
  </si>
  <si>
    <t>11.15 ( Ba1 )</t>
  </si>
  <si>
    <t>10.31 ( Baa3 )</t>
  </si>
  <si>
    <t>9.47 ( Baa2 )</t>
  </si>
  <si>
    <t>8.63 ( Baa1 )</t>
  </si>
  <si>
    <t>7.79 ( A3 )</t>
  </si>
  <si>
    <t>2.74 ( Aa1 )</t>
  </si>
  <si>
    <t>22.78 ( Ca3 )</t>
  </si>
  <si>
    <t>21.94 ( Ca2 )</t>
  </si>
  <si>
    <t>21.1 ( Ca2 )</t>
  </si>
  <si>
    <t>20.26 ( Ca1 )</t>
  </si>
  <si>
    <t>14.37 ( B1 )</t>
  </si>
  <si>
    <t>13.53 ( Ba3 )</t>
  </si>
  <si>
    <t>12.69 ( Ba2 )</t>
  </si>
  <si>
    <t>11.85 ( Ba1 )</t>
  </si>
  <si>
    <t>11.01 ( Ba1 )</t>
  </si>
  <si>
    <t>10.17 ( Baa3 )</t>
  </si>
  <si>
    <t>9.33 ( Baa2 )</t>
  </si>
  <si>
    <t>3.44 ( Aa2 )</t>
  </si>
  <si>
    <t>2.6 ( Aa1 )</t>
  </si>
  <si>
    <t>22.64 ( Ca3 )</t>
  </si>
  <si>
    <t>21.8 ( Ca2 )</t>
  </si>
  <si>
    <t>20.96 ( Ca1 )</t>
  </si>
  <si>
    <t>15.91 ( B2 )</t>
  </si>
  <si>
    <t>15.07 ( B2 )</t>
  </si>
  <si>
    <t>14.23 ( B1 )</t>
  </si>
  <si>
    <t>13.39 ( Ba3 )</t>
  </si>
  <si>
    <t>12.55 ( Ba2 )</t>
  </si>
  <si>
    <t>11.71 ( Ba1 )</t>
  </si>
  <si>
    <t>10.87 ( Baa3 )</t>
  </si>
  <si>
    <t>10.03 ( Baa3 )</t>
  </si>
  <si>
    <t>4.98 ( Aa3 )</t>
  </si>
  <si>
    <t>4.14 ( Aa3 )</t>
  </si>
  <si>
    <t>3.3 ( Aa2 )</t>
  </si>
  <si>
    <t>2.46 ( Aa1 )</t>
  </si>
  <si>
    <t>22.5 ( Ca3 )</t>
  </si>
  <si>
    <t>16.61 ( B3 )</t>
  </si>
  <si>
    <t>15.77 ( B2 )</t>
  </si>
  <si>
    <t>14.93 ( B1 )</t>
  </si>
  <si>
    <t>14.09 ( B1 )</t>
  </si>
  <si>
    <t>13.25 ( Ba3 )</t>
  </si>
  <si>
    <t>12.41 ( Ba2 )</t>
  </si>
  <si>
    <t>11.57 ( Ba1 )</t>
  </si>
  <si>
    <t>5.68 ( A1 )</t>
  </si>
  <si>
    <t>4.84 ( Aa3 )</t>
  </si>
  <si>
    <t>4 ( Aa3 )</t>
  </si>
  <si>
    <t>3.16 ( Aa2 )</t>
  </si>
  <si>
    <t>2.32 ( Aa1 )</t>
  </si>
  <si>
    <t>18.15 ( Caa2 )</t>
  </si>
  <si>
    <t>17.31 ( Caa1 )</t>
  </si>
  <si>
    <t>16.47 ( B3 )</t>
  </si>
  <si>
    <t>15.63 ( B2 )</t>
  </si>
  <si>
    <t>14.79 ( B1 )</t>
  </si>
  <si>
    <t>13.95 ( Ba3 )</t>
  </si>
  <si>
    <t>13.11 ( Ba3 )</t>
  </si>
  <si>
    <t>12.27 ( Ba2 )</t>
  </si>
  <si>
    <t>7.22 ( A3 )</t>
  </si>
  <si>
    <t>6.38 ( A2 )</t>
  </si>
  <si>
    <t>5.54 ( A1 )</t>
  </si>
  <si>
    <t>4.7 ( Aa3 )</t>
  </si>
  <si>
    <t>3.86 ( Aa2 )</t>
  </si>
  <si>
    <t>3.02 ( Aa2 )</t>
  </si>
  <si>
    <t>2.18 ( Aa1 )</t>
  </si>
  <si>
    <t>18.85 ( Caa2 )</t>
  </si>
  <si>
    <t>18.01 ( Caa2 )</t>
  </si>
  <si>
    <t>17.17 ( Caa1 )</t>
  </si>
  <si>
    <t>16.33 ( B3 )</t>
  </si>
  <si>
    <t>15.49 ( B2 )</t>
  </si>
  <si>
    <t>14.65 ( B1 )</t>
  </si>
  <si>
    <t>13.81 ( Ba3 )</t>
  </si>
  <si>
    <t>7.92 ( A3 )</t>
  </si>
  <si>
    <t>7.08 ( A3 )</t>
  </si>
  <si>
    <t>6.24 ( A2 )</t>
  </si>
  <si>
    <t>5.4 ( A1 )</t>
  </si>
  <si>
    <t>4.56 ( Aa3 )</t>
  </si>
  <si>
    <t>3.72 ( Aa2 )</t>
  </si>
  <si>
    <t>2.88 ( Aa1 )</t>
  </si>
  <si>
    <t>2.04 ( Aa1 )</t>
  </si>
  <si>
    <t>20.39 ( Ca1 )</t>
  </si>
  <si>
    <t>19.55 ( Caa3 )</t>
  </si>
  <si>
    <t>18.71 ( Caa2 )</t>
  </si>
  <si>
    <t>17.87 ( Caa1 )</t>
  </si>
  <si>
    <t>17.03 ( Caa1 )</t>
  </si>
  <si>
    <t>16.19 ( B3 )</t>
  </si>
  <si>
    <t>15.35 ( B2 )</t>
  </si>
  <si>
    <t>14.51 ( B1 )</t>
  </si>
  <si>
    <t>9.46 ( Baa2 )</t>
  </si>
  <si>
    <t>8.62 ( Baa1 )</t>
  </si>
  <si>
    <t>7.78 ( A3 )</t>
  </si>
  <si>
    <t>6.94 ( A2 )</t>
  </si>
  <si>
    <t>6.1 ( A2 )</t>
  </si>
  <si>
    <t>5.26 ( A1 )</t>
  </si>
  <si>
    <t>4.42 ( Aa3 )</t>
  </si>
  <si>
    <t>3.58 ( Aa2 )</t>
  </si>
  <si>
    <t>1.9 ( Aaa )</t>
  </si>
  <si>
    <t>21.09 ( Ca2 )</t>
  </si>
  <si>
    <t>20.25 ( Ca1 )</t>
  </si>
  <si>
    <t>19.41 ( Caa3 )</t>
  </si>
  <si>
    <t>18.57 ( Caa2 )</t>
  </si>
  <si>
    <t>17.73 ( Caa1 )</t>
  </si>
  <si>
    <t>16.89 ( B3 )</t>
  </si>
  <si>
    <t>16.05 ( B3 )</t>
  </si>
  <si>
    <t>15.21 ( B2 )</t>
  </si>
  <si>
    <t>10.16 ( Baa3 )</t>
  </si>
  <si>
    <t>9.32 ( Baa2 )</t>
  </si>
  <si>
    <t>8.48 ( Baa1 )</t>
  </si>
  <si>
    <t>7.64 ( A3 )</t>
  </si>
  <si>
    <t>6.8 ( A2 )</t>
  </si>
  <si>
    <t>5.96 ( A1 )</t>
  </si>
  <si>
    <t>5.12 ( A1 )</t>
  </si>
  <si>
    <t>4.28 ( Aa3 )</t>
  </si>
  <si>
    <t>1.76 ( Aaa )</t>
  </si>
  <si>
    <t>21.79 ( Ca2 )</t>
  </si>
  <si>
    <t>20.95 ( Ca1 )</t>
  </si>
  <si>
    <t>20.11 ( Ca1 )</t>
  </si>
  <si>
    <t>19.27 ( Caa3 )</t>
  </si>
  <si>
    <t>18.43 ( Caa2 )</t>
  </si>
  <si>
    <t>17.59 ( Caa1 )</t>
  </si>
  <si>
    <t>16.75 ( B3 )</t>
  </si>
  <si>
    <t>11.7 ( Ba1 )</t>
  </si>
  <si>
    <t>10.86 ( Baa3 )</t>
  </si>
  <si>
    <t>10.02 ( Baa3 )</t>
  </si>
  <si>
    <t>9.18 ( Baa2 )</t>
  </si>
  <si>
    <t>8.34 ( Baa1 )</t>
  </si>
  <si>
    <t>7.5 ( A3 )</t>
  </si>
  <si>
    <t>6.66 ( A2 )</t>
  </si>
  <si>
    <t>5.82 ( A1 )</t>
  </si>
  <si>
    <t>1.62 ( Aaa )</t>
  </si>
  <si>
    <t>21.65 ( Ca2 )</t>
  </si>
  <si>
    <t>20.81 ( Ca1 )</t>
  </si>
  <si>
    <t>19.97 ( Caa3 )</t>
  </si>
  <si>
    <t>19.13 ( Caa3 )</t>
  </si>
  <si>
    <t>18.29 ( Caa2 )</t>
  </si>
  <si>
    <t>17.45 ( Caa1 )</t>
  </si>
  <si>
    <t>12.4 ( Ba2 )</t>
  </si>
  <si>
    <t>11.56 ( Ba1 )</t>
  </si>
  <si>
    <t>10.72 ( Baa3 )</t>
  </si>
  <si>
    <t>9.88 ( Baa2 )</t>
  </si>
  <si>
    <t>9.04 ( Baa2 )</t>
  </si>
  <si>
    <t>8.2 ( Baa1 )</t>
  </si>
  <si>
    <t>7.36 ( A3 )</t>
  </si>
  <si>
    <t>6.52 ( A2 )</t>
  </si>
  <si>
    <t>1.47 ( Aaa )</t>
  </si>
  <si>
    <t>21.51 ( Ca2 )</t>
  </si>
  <si>
    <t>20.67 ( Ca1 )</t>
  </si>
  <si>
    <t>19.83 ( Caa3 )</t>
  </si>
  <si>
    <t>18.99 ( Caa2 )</t>
  </si>
  <si>
    <t>13.1 ( Ba3 )</t>
  </si>
  <si>
    <t>12.26 ( Ba2 )</t>
  </si>
  <si>
    <t>11.42 ( Ba1 )</t>
  </si>
  <si>
    <t>10.58 ( Baa3 )</t>
  </si>
  <si>
    <t>9.74 ( Baa2 )</t>
  </si>
  <si>
    <t>8.9 ( Baa1 )</t>
  </si>
  <si>
    <t>8.06 ( Baa1 )</t>
  </si>
  <si>
    <t>2.17 ( Aa1 )</t>
  </si>
  <si>
    <t>1.33 ( Aaa )</t>
  </si>
  <si>
    <t>21.37 ( Ca2 )</t>
  </si>
  <si>
    <t>20.53 ( Ca1 )</t>
  </si>
  <si>
    <t>19.69 ( Caa3 )</t>
  </si>
  <si>
    <t>14.64 ( B1 )</t>
  </si>
  <si>
    <t>13.8 ( Ba3 )</t>
  </si>
  <si>
    <t>12.96 ( Ba2 )</t>
  </si>
  <si>
    <t>12.12 ( Ba2 )</t>
  </si>
  <si>
    <t>11.28 ( Ba1 )</t>
  </si>
  <si>
    <t>10.44 ( Baa3 )</t>
  </si>
  <si>
    <t>9.6 ( Baa2 )</t>
  </si>
  <si>
    <t>8.76 ( Baa1 )</t>
  </si>
  <si>
    <t>3.71 ( Aa2 )</t>
  </si>
  <si>
    <t>2.87 ( Aa1 )</t>
  </si>
  <si>
    <t>2.03 ( Aa1 )</t>
  </si>
  <si>
    <t>1.19 ( Aaa )</t>
  </si>
  <si>
    <t>DR/Colombia</t>
  </si>
  <si>
    <t>D.R.</t>
  </si>
  <si>
    <t>Western Europe</t>
  </si>
  <si>
    <t>North America</t>
  </si>
  <si>
    <t>Middle East</t>
  </si>
  <si>
    <t>Eastern Europe &amp; Russia</t>
  </si>
  <si>
    <t>Australia &amp; New Zealand</t>
  </si>
  <si>
    <t>Asia</t>
  </si>
  <si>
    <t>Africa</t>
  </si>
  <si>
    <t>Global</t>
  </si>
  <si>
    <t>With Popular</t>
  </si>
  <si>
    <t>Without Popular</t>
  </si>
  <si>
    <t>Default Spreads</t>
  </si>
  <si>
    <t>Country Risk Premium (CRP)</t>
  </si>
  <si>
    <t>Total Equity Risk Premium (TRP)</t>
  </si>
  <si>
    <t>ΣGDP</t>
  </si>
  <si>
    <t>No. Countries</t>
  </si>
  <si>
    <t>Equity Risk Premium (CDS)</t>
  </si>
  <si>
    <t>Country Risk Premium (CDS)</t>
  </si>
  <si>
    <t>Equity Risk Premium (Rating)</t>
  </si>
  <si>
    <t>Country Risk Premium (Rating)</t>
  </si>
  <si>
    <t>CDS spread</t>
  </si>
  <si>
    <t>Sp Value</t>
  </si>
  <si>
    <t>Moody Value</t>
  </si>
  <si>
    <t>S&amp;P Score</t>
  </si>
  <si>
    <t>Moody Score</t>
  </si>
  <si>
    <t>Mdy</t>
  </si>
  <si>
    <t>Book Value USD$</t>
  </si>
  <si>
    <t>Grupo Colombiano</t>
  </si>
  <si>
    <t>Grupo Colombia - BV Equity Estimates per country (USD)</t>
  </si>
  <si>
    <t>* Banco de Bogotá's ownership: 100%</t>
  </si>
  <si>
    <t>U.S. CDS Spreads</t>
  </si>
  <si>
    <t>Multiplier</t>
  </si>
  <si>
    <t>YES</t>
  </si>
  <si>
    <t>Volat Adjust</t>
  </si>
  <si>
    <t>Risk Premium</t>
  </si>
  <si>
    <t>Banco Popular*</t>
  </si>
  <si>
    <t>Bnco Credito*</t>
  </si>
  <si>
    <t>Banco en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</si>
</sst>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#,##0.0000"/>
    <numFmt numFmtId="167" formatCode="&quot;$&quot;#,##0.00"/>
    <numFmt numFmtId="168" formatCode="0.00&quot;x&quot;"/>
    <numFmt numFmtId="169" formatCode="0.0000"/>
    <numFmt numFmtId="170" formatCode="0.0%"/>
    <numFmt numFmtId="171" formatCode="0.000%"/>
    <numFmt numFmtId="172" formatCode="&quot;$&quot;#,##0.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0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Trebuchet MS"/>
      <family val="2"/>
    </font>
    <font>
      <sz val="9"/>
      <color indexed="8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FF"/>
      <name val="Times New Roman"/>
      <family val="1"/>
    </font>
    <font>
      <sz val="8"/>
      <name val="Times New Roman"/>
      <family val="1"/>
    </font>
    <font>
      <sz val="8"/>
      <color rgb="FFFF0000"/>
      <name val="Times New Roman"/>
      <family val="1"/>
    </font>
    <font>
      <b/>
      <i/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0"/>
      <name val="Times New Roman"/>
      <family val="1"/>
    </font>
    <font>
      <vertAlign val="subscript"/>
      <sz val="8"/>
      <color theme="0"/>
      <name val="Times New Roman"/>
      <family val="1"/>
    </font>
    <font>
      <b/>
      <sz val="8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386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6" fontId="0" fillId="0" borderId="0" xfId="0" applyNumberFormat="1"/>
    <xf numFmtId="0" fontId="0" fillId="0" borderId="3" xfId="0" applyBorder="1"/>
    <xf numFmtId="6" fontId="0" fillId="0" borderId="3" xfId="0" applyNumberFormat="1" applyBorder="1"/>
    <xf numFmtId="0" fontId="0" fillId="0" borderId="4" xfId="0" applyBorder="1"/>
    <xf numFmtId="6" fontId="0" fillId="0" borderId="4" xfId="0" applyNumberFormat="1" applyBorder="1"/>
    <xf numFmtId="0" fontId="0" fillId="0" borderId="5" xfId="0" applyBorder="1"/>
    <xf numFmtId="6" fontId="0" fillId="0" borderId="5" xfId="0" applyNumberFormat="1" applyBorder="1"/>
    <xf numFmtId="0" fontId="0" fillId="4" borderId="3" xfId="0" applyFill="1" applyBorder="1"/>
    <xf numFmtId="6" fontId="0" fillId="4" borderId="3" xfId="0" applyNumberFormat="1" applyFill="1" applyBorder="1"/>
    <xf numFmtId="0" fontId="0" fillId="4" borderId="4" xfId="0" applyFill="1" applyBorder="1"/>
    <xf numFmtId="6" fontId="0" fillId="4" borderId="4" xfId="0" applyNumberFormat="1" applyFill="1" applyBorder="1"/>
    <xf numFmtId="0" fontId="0" fillId="4" borderId="6" xfId="0" applyFill="1" applyBorder="1"/>
    <xf numFmtId="6" fontId="0" fillId="4" borderId="6" xfId="0" applyNumberFormat="1" applyFill="1" applyBorder="1"/>
    <xf numFmtId="0" fontId="0" fillId="0" borderId="0" xfId="0" applyBorder="1" applyAlignment="1">
      <alignment horizontal="centerContinuous" vertical="center"/>
    </xf>
    <xf numFmtId="0" fontId="0" fillId="0" borderId="16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10" fontId="0" fillId="0" borderId="10" xfId="134" applyNumberFormat="1" applyFont="1" applyBorder="1" applyAlignment="1">
      <alignment vertical="center"/>
    </xf>
    <xf numFmtId="164" fontId="0" fillId="4" borderId="10" xfId="0" applyNumberFormat="1" applyFill="1" applyBorder="1" applyAlignment="1">
      <alignment vertical="center"/>
    </xf>
    <xf numFmtId="10" fontId="0" fillId="4" borderId="10" xfId="134" applyNumberFormat="1" applyFont="1" applyFill="1" applyBorder="1" applyAlignment="1">
      <alignment vertical="center"/>
    </xf>
    <xf numFmtId="0" fontId="0" fillId="0" borderId="10" xfId="0" applyBorder="1" applyAlignment="1">
      <alignment horizontal="left" vertical="center" indent="1"/>
    </xf>
    <xf numFmtId="0" fontId="0" fillId="4" borderId="10" xfId="0" applyFill="1" applyBorder="1" applyAlignment="1">
      <alignment horizontal="center" vertical="center"/>
    </xf>
    <xf numFmtId="0" fontId="0" fillId="2" borderId="10" xfId="0" applyFill="1" applyBorder="1"/>
    <xf numFmtId="164" fontId="0" fillId="5" borderId="10" xfId="0" applyNumberFormat="1" applyFill="1" applyBorder="1" applyAlignment="1">
      <alignment vertical="center"/>
    </xf>
    <xf numFmtId="0" fontId="0" fillId="5" borderId="10" xfId="0" applyFill="1" applyBorder="1" applyAlignment="1">
      <alignment horizontal="left" vertical="center" indent="1"/>
    </xf>
    <xf numFmtId="10" fontId="0" fillId="5" borderId="10" xfId="134" applyNumberFormat="1" applyFont="1" applyFill="1" applyBorder="1" applyAlignment="1">
      <alignment vertical="center"/>
    </xf>
    <xf numFmtId="0" fontId="5" fillId="3" borderId="30" xfId="0" applyFont="1" applyFill="1" applyBorder="1" applyAlignment="1">
      <alignment horizontal="center" vertical="center" wrapText="1"/>
    </xf>
    <xf numFmtId="0" fontId="0" fillId="0" borderId="22" xfId="0" applyBorder="1"/>
    <xf numFmtId="164" fontId="0" fillId="0" borderId="22" xfId="0" applyNumberFormat="1" applyBorder="1"/>
    <xf numFmtId="4" fontId="0" fillId="0" borderId="22" xfId="0" applyNumberFormat="1" applyBorder="1"/>
    <xf numFmtId="0" fontId="2" fillId="3" borderId="31" xfId="0" applyFont="1" applyFill="1" applyBorder="1" applyAlignment="1">
      <alignment horizontal="center" vertical="center"/>
    </xf>
    <xf numFmtId="0" fontId="0" fillId="0" borderId="14" xfId="0" applyBorder="1"/>
    <xf numFmtId="0" fontId="2" fillId="2" borderId="1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 vertical="center"/>
    </xf>
    <xf numFmtId="0" fontId="2" fillId="0" borderId="16" xfId="0" applyFont="1" applyBorder="1" applyAlignment="1">
      <alignment horizontal="centerContinuous" vertical="center"/>
    </xf>
    <xf numFmtId="167" fontId="2" fillId="0" borderId="16" xfId="0" applyNumberFormat="1" applyFont="1" applyBorder="1" applyAlignment="1">
      <alignment horizontal="centerContinuous" vertical="center"/>
    </xf>
    <xf numFmtId="167" fontId="2" fillId="0" borderId="0" xfId="0" applyNumberFormat="1" applyFont="1" applyBorder="1" applyAlignment="1">
      <alignment horizontal="centerContinuous" vertical="center"/>
    </xf>
    <xf numFmtId="0" fontId="10" fillId="0" borderId="0" xfId="0" applyFont="1" applyBorder="1" applyAlignment="1">
      <alignment horizontal="centerContinuous" vertical="center"/>
    </xf>
    <xf numFmtId="0" fontId="0" fillId="0" borderId="0" xfId="0" applyFont="1"/>
    <xf numFmtId="0" fontId="0" fillId="0" borderId="9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167" fontId="0" fillId="0" borderId="13" xfId="0" applyNumberFormat="1" applyFont="1" applyBorder="1" applyAlignment="1">
      <alignment vertical="center"/>
    </xf>
    <xf numFmtId="167" fontId="0" fillId="0" borderId="14" xfId="0" applyNumberFormat="1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167" fontId="0" fillId="0" borderId="18" xfId="0" applyNumberFormat="1" applyFont="1" applyBorder="1" applyAlignment="1">
      <alignment vertical="center"/>
    </xf>
    <xf numFmtId="167" fontId="0" fillId="0" borderId="19" xfId="0" applyNumberFormat="1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167" fontId="0" fillId="0" borderId="20" xfId="0" applyNumberFormat="1" applyFont="1" applyBorder="1" applyAlignment="1">
      <alignment vertical="center"/>
    </xf>
    <xf numFmtId="167" fontId="0" fillId="0" borderId="21" xfId="0" applyNumberFormat="1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/>
    <xf numFmtId="0" fontId="11" fillId="0" borderId="14" xfId="0" applyFont="1" applyBorder="1" applyAlignment="1">
      <alignment horizontal="centerContinuous" vertical="center"/>
    </xf>
    <xf numFmtId="0" fontId="11" fillId="3" borderId="11" xfId="0" applyFont="1" applyFill="1" applyBorder="1" applyAlignment="1">
      <alignment horizontal="centerContinuous" vertical="center" wrapText="1"/>
    </xf>
    <xf numFmtId="0" fontId="11" fillId="3" borderId="1" xfId="0" applyFont="1" applyFill="1" applyBorder="1" applyAlignment="1">
      <alignment horizontal="centerContinuous" vertical="center" wrapText="1"/>
    </xf>
    <xf numFmtId="0" fontId="11" fillId="3" borderId="12" xfId="0" applyFont="1" applyFill="1" applyBorder="1" applyAlignment="1">
      <alignment horizontal="centerContinuous" vertical="center" wrapText="1"/>
    </xf>
    <xf numFmtId="0" fontId="11" fillId="0" borderId="17" xfId="0" applyFont="1" applyFill="1" applyBorder="1" applyAlignment="1">
      <alignment vertical="center"/>
    </xf>
    <xf numFmtId="0" fontId="11" fillId="4" borderId="10" xfId="0" applyFont="1" applyFill="1" applyBorder="1" applyAlignment="1">
      <alignment vertical="center"/>
    </xf>
    <xf numFmtId="164" fontId="11" fillId="4" borderId="11" xfId="0" applyNumberFormat="1" applyFont="1" applyFill="1" applyBorder="1" applyAlignment="1">
      <alignment vertical="center"/>
    </xf>
    <xf numFmtId="3" fontId="11" fillId="4" borderId="11" xfId="0" applyNumberFormat="1" applyFont="1" applyFill="1" applyBorder="1" applyAlignment="1">
      <alignment vertical="center"/>
    </xf>
    <xf numFmtId="166" fontId="11" fillId="4" borderId="11" xfId="0" applyNumberFormat="1" applyFont="1" applyFill="1" applyBorder="1" applyAlignment="1">
      <alignment vertical="center"/>
    </xf>
    <xf numFmtId="164" fontId="11" fillId="4" borderId="1" xfId="0" applyNumberFormat="1" applyFont="1" applyFill="1" applyBorder="1" applyAlignment="1">
      <alignment vertical="center"/>
    </xf>
    <xf numFmtId="3" fontId="11" fillId="4" borderId="1" xfId="0" applyNumberFormat="1" applyFont="1" applyFill="1" applyBorder="1" applyAlignment="1">
      <alignment vertical="center"/>
    </xf>
    <xf numFmtId="166" fontId="11" fillId="4" borderId="12" xfId="0" applyNumberFormat="1" applyFont="1" applyFill="1" applyBorder="1" applyAlignment="1">
      <alignment vertical="center"/>
    </xf>
    <xf numFmtId="0" fontId="11" fillId="0" borderId="13" xfId="0" applyFont="1" applyBorder="1" applyAlignment="1">
      <alignment vertical="center"/>
    </xf>
    <xf numFmtId="164" fontId="11" fillId="0" borderId="13" xfId="0" applyNumberFormat="1" applyFont="1" applyBorder="1" applyAlignment="1">
      <alignment vertical="center"/>
    </xf>
    <xf numFmtId="3" fontId="11" fillId="0" borderId="13" xfId="0" applyNumberFormat="1" applyFont="1" applyBorder="1" applyAlignment="1">
      <alignment vertical="center"/>
    </xf>
    <xf numFmtId="166" fontId="11" fillId="0" borderId="13" xfId="0" applyNumberFormat="1" applyFont="1" applyBorder="1" applyAlignment="1">
      <alignment vertical="center"/>
    </xf>
    <xf numFmtId="164" fontId="11" fillId="0" borderId="0" xfId="0" applyNumberFormat="1" applyFont="1" applyBorder="1" applyAlignment="1">
      <alignment vertical="center"/>
    </xf>
    <xf numFmtId="3" fontId="11" fillId="0" borderId="0" xfId="0" applyNumberFormat="1" applyFont="1" applyBorder="1" applyAlignment="1">
      <alignment vertical="center"/>
    </xf>
    <xf numFmtId="166" fontId="11" fillId="0" borderId="14" xfId="0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164" fontId="11" fillId="0" borderId="15" xfId="0" applyNumberFormat="1" applyFont="1" applyBorder="1" applyAlignment="1">
      <alignment vertical="center"/>
    </xf>
    <xf numFmtId="3" fontId="11" fillId="0" borderId="15" xfId="0" applyNumberFormat="1" applyFont="1" applyBorder="1" applyAlignment="1">
      <alignment vertical="center"/>
    </xf>
    <xf numFmtId="166" fontId="11" fillId="0" borderId="15" xfId="0" applyNumberFormat="1" applyFont="1" applyBorder="1" applyAlignment="1">
      <alignment vertical="center"/>
    </xf>
    <xf numFmtId="164" fontId="11" fillId="0" borderId="16" xfId="0" applyNumberFormat="1" applyFont="1" applyBorder="1" applyAlignment="1">
      <alignment vertical="center"/>
    </xf>
    <xf numFmtId="3" fontId="11" fillId="0" borderId="16" xfId="0" applyNumberFormat="1" applyFont="1" applyBorder="1" applyAlignment="1">
      <alignment vertical="center"/>
    </xf>
    <xf numFmtId="166" fontId="11" fillId="0" borderId="17" xfId="0" applyNumberFormat="1" applyFont="1" applyBorder="1" applyAlignment="1">
      <alignment vertical="center"/>
    </xf>
    <xf numFmtId="0" fontId="11" fillId="0" borderId="27" xfId="0" applyFont="1" applyBorder="1" applyAlignment="1">
      <alignment horizontal="centerContinuous" vertical="center"/>
    </xf>
    <xf numFmtId="164" fontId="11" fillId="4" borderId="12" xfId="0" applyNumberFormat="1" applyFont="1" applyFill="1" applyBorder="1" applyAlignment="1">
      <alignment vertical="center"/>
    </xf>
    <xf numFmtId="3" fontId="11" fillId="4" borderId="12" xfId="0" applyNumberFormat="1" applyFont="1" applyFill="1" applyBorder="1" applyAlignment="1">
      <alignment vertical="center"/>
    </xf>
    <xf numFmtId="169" fontId="11" fillId="4" borderId="12" xfId="0" applyNumberFormat="1" applyFont="1" applyFill="1" applyBorder="1" applyAlignment="1">
      <alignment vertical="center"/>
    </xf>
    <xf numFmtId="0" fontId="11" fillId="0" borderId="22" xfId="0" applyFont="1" applyBorder="1" applyAlignment="1">
      <alignment vertical="center"/>
    </xf>
    <xf numFmtId="164" fontId="11" fillId="0" borderId="14" xfId="0" applyNumberFormat="1" applyFont="1" applyBorder="1" applyAlignment="1">
      <alignment vertical="center"/>
    </xf>
    <xf numFmtId="3" fontId="11" fillId="0" borderId="14" xfId="0" applyNumberFormat="1" applyFont="1" applyBorder="1" applyAlignment="1">
      <alignment vertical="center"/>
    </xf>
    <xf numFmtId="169" fontId="11" fillId="0" borderId="1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164" fontId="11" fillId="0" borderId="17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vertical="center"/>
    </xf>
    <xf numFmtId="169" fontId="11" fillId="0" borderId="17" xfId="0" applyNumberFormat="1" applyFont="1" applyBorder="1" applyAlignment="1">
      <alignment vertical="center"/>
    </xf>
    <xf numFmtId="170" fontId="0" fillId="0" borderId="3" xfId="134" applyNumberFormat="1" applyFont="1" applyBorder="1" applyAlignment="1">
      <alignment vertical="center"/>
    </xf>
    <xf numFmtId="170" fontId="0" fillId="3" borderId="4" xfId="134" applyNumberFormat="1" applyFont="1" applyFill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70" fontId="0" fillId="0" borderId="0" xfId="134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0" fontId="0" fillId="5" borderId="4" xfId="0" applyFill="1" applyBorder="1" applyAlignment="1">
      <alignment vertical="center"/>
    </xf>
    <xf numFmtId="164" fontId="0" fillId="5" borderId="36" xfId="0" applyNumberFormat="1" applyFill="1" applyBorder="1" applyAlignment="1">
      <alignment vertical="center"/>
    </xf>
    <xf numFmtId="170" fontId="0" fillId="5" borderId="4" xfId="134" applyNumberFormat="1" applyFont="1" applyFill="1" applyBorder="1" applyAlignment="1">
      <alignment vertical="center"/>
    </xf>
    <xf numFmtId="4" fontId="0" fillId="5" borderId="37" xfId="0" applyNumberForma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10" fillId="0" borderId="0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0" xfId="0" applyFont="1" applyFill="1" applyBorder="1"/>
    <xf numFmtId="0" fontId="5" fillId="2" borderId="25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170" fontId="0" fillId="2" borderId="4" xfId="134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centerContinuous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27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" vertical="center"/>
    </xf>
    <xf numFmtId="164" fontId="0" fillId="0" borderId="41" xfId="0" applyNumberFormat="1" applyFont="1" applyBorder="1" applyAlignment="1">
      <alignment vertical="center"/>
    </xf>
    <xf numFmtId="4" fontId="0" fillId="0" borderId="42" xfId="0" applyNumberFormat="1" applyFont="1" applyBorder="1" applyAlignment="1">
      <alignment vertical="center"/>
    </xf>
    <xf numFmtId="4" fontId="0" fillId="0" borderId="3" xfId="0" applyNumberFormat="1" applyFont="1" applyBorder="1" applyAlignment="1">
      <alignment vertical="center"/>
    </xf>
    <xf numFmtId="0" fontId="0" fillId="0" borderId="13" xfId="0" applyFont="1" applyBorder="1" applyAlignment="1">
      <alignment horizontal="centerContinuous" vertical="center"/>
    </xf>
    <xf numFmtId="0" fontId="0" fillId="0" borderId="14" xfId="0" applyFont="1" applyBorder="1" applyAlignment="1">
      <alignment horizontal="centerContinuous" vertical="center"/>
    </xf>
    <xf numFmtId="0" fontId="2" fillId="3" borderId="4" xfId="0" applyFont="1" applyFill="1" applyBorder="1" applyAlignment="1">
      <alignment horizontal="center" vertical="center"/>
    </xf>
    <xf numFmtId="164" fontId="0" fillId="3" borderId="36" xfId="0" applyNumberFormat="1" applyFont="1" applyFill="1" applyBorder="1" applyAlignment="1">
      <alignment vertical="center"/>
    </xf>
    <xf numFmtId="4" fontId="0" fillId="3" borderId="37" xfId="0" applyNumberFormat="1" applyFont="1" applyFill="1" applyBorder="1" applyAlignment="1">
      <alignment vertical="center"/>
    </xf>
    <xf numFmtId="4" fontId="0" fillId="3" borderId="4" xfId="0" applyNumberFormat="1" applyFont="1" applyFill="1" applyBorder="1" applyAlignment="1">
      <alignment vertical="center"/>
    </xf>
    <xf numFmtId="164" fontId="0" fillId="2" borderId="36" xfId="0" applyNumberFormat="1" applyFont="1" applyFill="1" applyBorder="1" applyAlignment="1">
      <alignment vertical="center"/>
    </xf>
    <xf numFmtId="4" fontId="0" fillId="2" borderId="37" xfId="0" applyNumberFormat="1" applyFont="1" applyFill="1" applyBorder="1" applyAlignment="1">
      <alignment vertical="center"/>
    </xf>
    <xf numFmtId="164" fontId="0" fillId="2" borderId="4" xfId="0" applyNumberFormat="1" applyFont="1" applyFill="1" applyBorder="1" applyAlignment="1">
      <alignment vertical="center"/>
    </xf>
    <xf numFmtId="4" fontId="0" fillId="2" borderId="4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13" xfId="0" applyNumberFormat="1" applyFont="1" applyBorder="1" applyAlignment="1">
      <alignment vertical="center"/>
    </xf>
    <xf numFmtId="4" fontId="0" fillId="0" borderId="14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4" fontId="0" fillId="0" borderId="0" xfId="0" applyNumberFormat="1" applyFont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164" fontId="0" fillId="5" borderId="36" xfId="0" applyNumberFormat="1" applyFont="1" applyFill="1" applyBorder="1" applyAlignment="1">
      <alignment vertical="center"/>
    </xf>
    <xf numFmtId="4" fontId="0" fillId="5" borderId="37" xfId="0" applyNumberFormat="1" applyFont="1" applyFill="1" applyBorder="1" applyAlignment="1">
      <alignment vertical="center"/>
    </xf>
    <xf numFmtId="164" fontId="0" fillId="5" borderId="4" xfId="0" applyNumberFormat="1" applyFont="1" applyFill="1" applyBorder="1" applyAlignment="1">
      <alignment vertical="center"/>
    </xf>
    <xf numFmtId="4" fontId="0" fillId="5" borderId="4" xfId="0" applyNumberFormat="1" applyFont="1" applyFill="1" applyBorder="1" applyAlignment="1">
      <alignment vertical="center"/>
    </xf>
    <xf numFmtId="0" fontId="0" fillId="0" borderId="0" xfId="0" applyFont="1" applyAlignment="1">
      <alignment horizontal="left" vertical="center" indent="1"/>
    </xf>
    <xf numFmtId="164" fontId="6" fillId="0" borderId="13" xfId="0" applyNumberFormat="1" applyFont="1" applyBorder="1"/>
    <xf numFmtId="4" fontId="6" fillId="0" borderId="14" xfId="0" applyNumberFormat="1" applyFont="1" applyBorder="1"/>
    <xf numFmtId="164" fontId="6" fillId="0" borderId="0" xfId="0" applyNumberFormat="1" applyFont="1"/>
    <xf numFmtId="4" fontId="6" fillId="0" borderId="0" xfId="0" applyNumberFormat="1" applyFont="1" applyBorder="1"/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167" fontId="0" fillId="0" borderId="0" xfId="0" applyNumberFormat="1" applyFont="1"/>
    <xf numFmtId="164" fontId="13" fillId="0" borderId="13" xfId="0" applyNumberFormat="1" applyFont="1" applyBorder="1" applyAlignment="1">
      <alignment vertical="center"/>
    </xf>
    <xf numFmtId="4" fontId="13" fillId="0" borderId="14" xfId="0" applyNumberFormat="1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12" fillId="3" borderId="42" xfId="0" applyFont="1" applyFill="1" applyBorder="1" applyAlignment="1">
      <alignment horizontal="center" vertical="center"/>
    </xf>
    <xf numFmtId="164" fontId="0" fillId="3" borderId="41" xfId="0" applyNumberFormat="1" applyFill="1" applyBorder="1" applyAlignment="1">
      <alignment vertical="center"/>
    </xf>
    <xf numFmtId="170" fontId="0" fillId="3" borderId="3" xfId="134" applyNumberFormat="1" applyFont="1" applyFill="1" applyBorder="1" applyAlignment="1">
      <alignment vertical="center"/>
    </xf>
    <xf numFmtId="4" fontId="0" fillId="3" borderId="42" xfId="0" applyNumberForma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0" fillId="0" borderId="0" xfId="0" applyAlignment="1">
      <alignment horizontal="centerContinuous" vertical="center"/>
    </xf>
    <xf numFmtId="164" fontId="13" fillId="0" borderId="0" xfId="0" applyNumberFormat="1" applyFont="1" applyAlignment="1">
      <alignment vertical="center"/>
    </xf>
    <xf numFmtId="3" fontId="13" fillId="0" borderId="0" xfId="0" applyNumberFormat="1" applyFont="1" applyAlignment="1">
      <alignment vertical="center"/>
    </xf>
    <xf numFmtId="170" fontId="13" fillId="0" borderId="0" xfId="134" applyNumberFormat="1" applyFont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0" fillId="3" borderId="43" xfId="0" applyFill="1" applyBorder="1" applyAlignment="1">
      <alignment vertical="center"/>
    </xf>
    <xf numFmtId="164" fontId="0" fillId="3" borderId="43" xfId="0" applyNumberFormat="1" applyFont="1" applyFill="1" applyBorder="1" applyAlignment="1">
      <alignment vertical="center"/>
    </xf>
    <xf numFmtId="3" fontId="0" fillId="3" borderId="43" xfId="0" applyNumberFormat="1" applyFont="1" applyFill="1" applyBorder="1" applyAlignment="1">
      <alignment vertical="center"/>
    </xf>
    <xf numFmtId="170" fontId="0" fillId="3" borderId="43" xfId="134" applyNumberFormat="1" applyFont="1" applyFill="1" applyBorder="1" applyAlignment="1">
      <alignment vertical="center"/>
    </xf>
    <xf numFmtId="9" fontId="0" fillId="0" borderId="0" xfId="134" applyNumberFormat="1" applyFont="1"/>
    <xf numFmtId="0" fontId="0" fillId="0" borderId="0" xfId="0" applyFill="1"/>
    <xf numFmtId="9" fontId="0" fillId="0" borderId="0" xfId="134" applyNumberFormat="1" applyFont="1" applyBorder="1"/>
    <xf numFmtId="164" fontId="0" fillId="0" borderId="27" xfId="0" applyNumberFormat="1" applyFont="1" applyBorder="1"/>
    <xf numFmtId="9" fontId="0" fillId="0" borderId="16" xfId="134" applyNumberFormat="1" applyFont="1" applyBorder="1"/>
    <xf numFmtId="164" fontId="6" fillId="0" borderId="27" xfId="0" applyNumberFormat="1" applyFont="1" applyBorder="1"/>
    <xf numFmtId="164" fontId="6" fillId="0" borderId="22" xfId="0" applyNumberFormat="1" applyFont="1" applyBorder="1"/>
    <xf numFmtId="9" fontId="0" fillId="0" borderId="22" xfId="134" applyNumberFormat="1" applyFont="1" applyBorder="1"/>
    <xf numFmtId="164" fontId="6" fillId="0" borderId="29" xfId="0" applyNumberFormat="1" applyFont="1" applyBorder="1"/>
    <xf numFmtId="9" fontId="0" fillId="0" borderId="25" xfId="134" applyNumberFormat="1" applyFont="1" applyBorder="1"/>
    <xf numFmtId="164" fontId="0" fillId="0" borderId="29" xfId="0" applyNumberFormat="1" applyFont="1" applyBorder="1"/>
    <xf numFmtId="164" fontId="0" fillId="0" borderId="22" xfId="0" applyNumberFormat="1" applyFont="1" applyBorder="1"/>
    <xf numFmtId="0" fontId="2" fillId="0" borderId="13" xfId="0" applyFont="1" applyBorder="1" applyAlignment="1">
      <alignment horizontal="center"/>
    </xf>
    <xf numFmtId="164" fontId="6" fillId="0" borderId="0" xfId="0" applyNumberFormat="1" applyFont="1" applyBorder="1"/>
    <xf numFmtId="164" fontId="6" fillId="0" borderId="14" xfId="0" applyNumberFormat="1" applyFont="1" applyBorder="1"/>
    <xf numFmtId="9" fontId="0" fillId="0" borderId="14" xfId="134" applyNumberFormat="1" applyFont="1" applyBorder="1"/>
    <xf numFmtId="0" fontId="2" fillId="0" borderId="26" xfId="0" applyFont="1" applyBorder="1" applyAlignment="1">
      <alignment horizontal="center"/>
    </xf>
    <xf numFmtId="164" fontId="6" fillId="0" borderId="28" xfId="0" applyNumberFormat="1" applyFont="1" applyBorder="1"/>
    <xf numFmtId="0" fontId="2" fillId="0" borderId="15" xfId="0" applyFont="1" applyBorder="1" applyAlignment="1">
      <alignment horizontal="center"/>
    </xf>
    <xf numFmtId="9" fontId="0" fillId="0" borderId="17" xfId="134" applyNumberFormat="1" applyFont="1" applyBorder="1"/>
    <xf numFmtId="0" fontId="0" fillId="0" borderId="13" xfId="0" applyBorder="1"/>
    <xf numFmtId="0" fontId="14" fillId="0" borderId="26" xfId="0" applyFont="1" applyBorder="1" applyAlignment="1">
      <alignment horizontal="center"/>
    </xf>
    <xf numFmtId="164" fontId="0" fillId="0" borderId="28" xfId="0" applyNumberFormat="1" applyFont="1" applyBorder="1"/>
    <xf numFmtId="0" fontId="0" fillId="0" borderId="15" xfId="0" applyBorder="1"/>
    <xf numFmtId="9" fontId="0" fillId="0" borderId="13" xfId="134" applyNumberFormat="1" applyFont="1" applyBorder="1"/>
    <xf numFmtId="164" fontId="6" fillId="0" borderId="26" xfId="0" applyNumberFormat="1" applyFont="1" applyBorder="1"/>
    <xf numFmtId="9" fontId="0" fillId="0" borderId="15" xfId="134" applyNumberFormat="1" applyFont="1" applyBorder="1"/>
    <xf numFmtId="164" fontId="0" fillId="0" borderId="26" xfId="0" applyNumberFormat="1" applyFont="1" applyBorder="1"/>
    <xf numFmtId="0" fontId="0" fillId="0" borderId="0" xfId="0" applyAlignment="1">
      <alignment horizontal="left" vertical="center" indent="2"/>
    </xf>
    <xf numFmtId="8" fontId="0" fillId="0" borderId="0" xfId="0" applyNumberFormat="1"/>
    <xf numFmtId="16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left" vertical="center" indent="1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Continuous" vertical="center"/>
    </xf>
    <xf numFmtId="0" fontId="0" fillId="0" borderId="0" xfId="0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64" fontId="0" fillId="5" borderId="3" xfId="0" applyNumberFormat="1" applyFill="1" applyBorder="1" applyAlignment="1">
      <alignment vertical="center"/>
    </xf>
    <xf numFmtId="0" fontId="15" fillId="3" borderId="2" xfId="0" applyFont="1" applyFill="1" applyBorder="1" applyAlignment="1">
      <alignment horizontal="right" vertical="center"/>
    </xf>
    <xf numFmtId="0" fontId="15" fillId="3" borderId="2" xfId="0" quotePrefix="1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164" fontId="17" fillId="0" borderId="0" xfId="0" applyNumberFormat="1" applyFont="1" applyAlignment="1">
      <alignment vertical="center"/>
    </xf>
    <xf numFmtId="10" fontId="16" fillId="0" borderId="0" xfId="134" applyNumberFormat="1" applyFont="1" applyAlignment="1">
      <alignment vertical="center"/>
    </xf>
    <xf numFmtId="10" fontId="17" fillId="0" borderId="0" xfId="134" applyNumberFormat="1" applyFont="1" applyAlignment="1">
      <alignment vertical="center"/>
    </xf>
    <xf numFmtId="167" fontId="17" fillId="0" borderId="0" xfId="134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68" fontId="16" fillId="0" borderId="0" xfId="0" applyNumberFormat="1" applyFont="1"/>
    <xf numFmtId="170" fontId="16" fillId="0" borderId="0" xfId="0" applyNumberFormat="1" applyFont="1"/>
    <xf numFmtId="0" fontId="16" fillId="0" borderId="4" xfId="0" applyFont="1" applyBorder="1" applyAlignment="1">
      <alignment horizontal="right" vertical="center"/>
    </xf>
    <xf numFmtId="170" fontId="17" fillId="0" borderId="4" xfId="134" applyNumberFormat="1" applyFont="1" applyBorder="1" applyAlignment="1">
      <alignment horizontal="center" vertical="center"/>
    </xf>
    <xf numFmtId="10" fontId="17" fillId="0" borderId="0" xfId="134" applyNumberFormat="1" applyFont="1" applyAlignment="1">
      <alignment horizontal="right" vertical="center"/>
    </xf>
    <xf numFmtId="170" fontId="16" fillId="0" borderId="0" xfId="134" applyNumberFormat="1" applyFont="1"/>
    <xf numFmtId="170" fontId="16" fillId="0" borderId="44" xfId="134" applyNumberFormat="1" applyFont="1" applyBorder="1"/>
    <xf numFmtId="0" fontId="16" fillId="0" borderId="0" xfId="0" applyFont="1" applyAlignment="1">
      <alignment horizontal="right"/>
    </xf>
    <xf numFmtId="170" fontId="17" fillId="0" borderId="0" xfId="0" applyNumberFormat="1" applyFont="1"/>
    <xf numFmtId="164" fontId="16" fillId="0" borderId="0" xfId="0" applyNumberFormat="1" applyFont="1"/>
    <xf numFmtId="10" fontId="16" fillId="0" borderId="0" xfId="0" applyNumberFormat="1" applyFont="1"/>
    <xf numFmtId="167" fontId="17" fillId="0" borderId="0" xfId="0" applyNumberFormat="1" applyFont="1"/>
    <xf numFmtId="9" fontId="17" fillId="0" borderId="4" xfId="134" applyFont="1" applyBorder="1" applyAlignment="1">
      <alignment horizontal="center" vertical="center"/>
    </xf>
    <xf numFmtId="165" fontId="16" fillId="0" borderId="0" xfId="133" applyNumberFormat="1" applyFont="1" applyAlignment="1">
      <alignment vertical="center"/>
    </xf>
    <xf numFmtId="171" fontId="16" fillId="0" borderId="0" xfId="0" applyNumberFormat="1" applyFont="1"/>
    <xf numFmtId="0" fontId="20" fillId="6" borderId="10" xfId="0" applyFont="1" applyFill="1" applyBorder="1" applyAlignment="1">
      <alignment horizontal="right" vertical="center"/>
    </xf>
    <xf numFmtId="0" fontId="19" fillId="6" borderId="10" xfId="0" applyFont="1" applyFill="1" applyBorder="1" applyAlignment="1">
      <alignment horizontal="center" vertical="center"/>
    </xf>
    <xf numFmtId="0" fontId="3" fillId="0" borderId="0" xfId="1313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23" fillId="0" borderId="0" xfId="1314" applyFont="1" applyAlignment="1">
      <alignment vertical="center"/>
    </xf>
    <xf numFmtId="10" fontId="23" fillId="0" borderId="10" xfId="1315" applyNumberFormat="1" applyFont="1" applyFill="1" applyBorder="1" applyAlignment="1">
      <alignment horizontal="right" vertical="center"/>
    </xf>
    <xf numFmtId="10" fontId="24" fillId="0" borderId="10" xfId="1315" applyNumberFormat="1" applyFont="1" applyFill="1" applyBorder="1" applyAlignment="1">
      <alignment horizontal="right" vertical="center"/>
    </xf>
    <xf numFmtId="4" fontId="25" fillId="0" borderId="10" xfId="1315" applyNumberFormat="1" applyFont="1" applyFill="1" applyBorder="1" applyAlignment="1">
      <alignment horizontal="right" vertical="center"/>
    </xf>
    <xf numFmtId="0" fontId="24" fillId="0" borderId="10" xfId="1314" applyFont="1" applyBorder="1" applyAlignment="1">
      <alignment horizontal="center" vertical="center"/>
    </xf>
    <xf numFmtId="172" fontId="24" fillId="0" borderId="10" xfId="1314" applyNumberFormat="1" applyFont="1" applyBorder="1" applyAlignment="1">
      <alignment vertical="center"/>
    </xf>
    <xf numFmtId="0" fontId="23" fillId="0" borderId="10" xfId="1314" applyFont="1" applyBorder="1" applyAlignment="1">
      <alignment vertical="center"/>
    </xf>
    <xf numFmtId="10" fontId="23" fillId="0" borderId="10" xfId="1315" applyNumberFormat="1" applyFont="1" applyBorder="1" applyAlignment="1">
      <alignment horizontal="right" vertical="center"/>
    </xf>
    <xf numFmtId="3" fontId="23" fillId="0" borderId="10" xfId="1314" applyNumberFormat="1" applyFont="1" applyBorder="1" applyAlignment="1">
      <alignment horizontal="center" vertical="center"/>
    </xf>
    <xf numFmtId="0" fontId="23" fillId="0" borderId="10" xfId="1314" applyFont="1" applyBorder="1" applyAlignment="1">
      <alignment horizontal="center" vertical="center"/>
    </xf>
    <xf numFmtId="3" fontId="24" fillId="0" borderId="10" xfId="1314" applyNumberFormat="1" applyFont="1" applyBorder="1" applyAlignment="1">
      <alignment horizontal="center" vertical="center"/>
    </xf>
    <xf numFmtId="0" fontId="23" fillId="0" borderId="0" xfId="1314" applyFont="1" applyAlignment="1">
      <alignment horizontal="right" vertical="center"/>
    </xf>
    <xf numFmtId="0" fontId="26" fillId="0" borderId="10" xfId="1314" applyFont="1" applyBorder="1" applyAlignment="1">
      <alignment horizontal="center" vertical="center"/>
    </xf>
    <xf numFmtId="10" fontId="23" fillId="2" borderId="10" xfId="1315" applyNumberFormat="1" applyFont="1" applyFill="1" applyBorder="1" applyAlignment="1">
      <alignment horizontal="right" vertical="center"/>
    </xf>
    <xf numFmtId="3" fontId="23" fillId="2" borderId="10" xfId="1314" applyNumberFormat="1" applyFont="1" applyFill="1" applyBorder="1" applyAlignment="1">
      <alignment horizontal="center" vertical="center"/>
    </xf>
    <xf numFmtId="0" fontId="27" fillId="2" borderId="10" xfId="1314" applyFont="1" applyFill="1" applyBorder="1" applyAlignment="1">
      <alignment horizontal="center" vertical="center"/>
    </xf>
    <xf numFmtId="3" fontId="23" fillId="2" borderId="1" xfId="1314" applyNumberFormat="1" applyFont="1" applyFill="1" applyBorder="1" applyAlignment="1">
      <alignment horizontal="left" vertical="center"/>
    </xf>
    <xf numFmtId="0" fontId="28" fillId="2" borderId="1" xfId="1314" applyFont="1" applyFill="1" applyBorder="1" applyAlignment="1">
      <alignment horizontal="left" vertical="center"/>
    </xf>
    <xf numFmtId="0" fontId="23" fillId="2" borderId="11" xfId="1314" applyFont="1" applyFill="1" applyBorder="1" applyAlignment="1">
      <alignment horizontal="left" vertical="center"/>
    </xf>
    <xf numFmtId="0" fontId="29" fillId="6" borderId="10" xfId="1314" applyFont="1" applyFill="1" applyBorder="1" applyAlignment="1">
      <alignment horizontal="center" vertical="center" wrapText="1"/>
    </xf>
    <xf numFmtId="0" fontId="29" fillId="6" borderId="29" xfId="1314" applyFont="1" applyFill="1" applyBorder="1" applyAlignment="1">
      <alignment horizontal="center" vertical="center" wrapText="1"/>
    </xf>
    <xf numFmtId="0" fontId="23" fillId="0" borderId="10" xfId="1314" applyFont="1" applyBorder="1" applyAlignment="1">
      <alignment horizontal="right" vertical="center"/>
    </xf>
    <xf numFmtId="0" fontId="23" fillId="3" borderId="10" xfId="1314" applyFont="1" applyFill="1" applyBorder="1" applyAlignment="1">
      <alignment horizontal="right" vertical="center"/>
    </xf>
    <xf numFmtId="0" fontId="29" fillId="6" borderId="10" xfId="1314" applyFont="1" applyFill="1" applyBorder="1" applyAlignment="1">
      <alignment horizontal="center" vertical="center"/>
    </xf>
    <xf numFmtId="0" fontId="23" fillId="5" borderId="10" xfId="1314" applyFont="1" applyFill="1" applyBorder="1" applyAlignment="1">
      <alignment horizontal="right" vertical="center"/>
    </xf>
    <xf numFmtId="0" fontId="28" fillId="5" borderId="10" xfId="1314" applyFont="1" applyFill="1" applyBorder="1" applyAlignment="1">
      <alignment horizontal="right" vertical="center"/>
    </xf>
    <xf numFmtId="0" fontId="31" fillId="6" borderId="10" xfId="1314" applyFont="1" applyFill="1" applyBorder="1" applyAlignment="1">
      <alignment horizontal="center" vertical="center"/>
    </xf>
    <xf numFmtId="0" fontId="31" fillId="6" borderId="12" xfId="1314" applyFont="1" applyFill="1" applyBorder="1" applyAlignment="1">
      <alignment horizontal="center" vertical="center"/>
    </xf>
    <xf numFmtId="167" fontId="31" fillId="6" borderId="10" xfId="1314" applyNumberFormat="1" applyFont="1" applyFill="1" applyBorder="1" applyAlignment="1">
      <alignment horizontal="center" vertical="center"/>
    </xf>
    <xf numFmtId="10" fontId="23" fillId="5" borderId="12" xfId="1315" applyNumberFormat="1" applyFont="1" applyFill="1" applyBorder="1" applyAlignment="1">
      <alignment horizontal="center" vertical="center"/>
    </xf>
    <xf numFmtId="10" fontId="23" fillId="5" borderId="1" xfId="1315" applyNumberFormat="1" applyFont="1" applyFill="1" applyBorder="1" applyAlignment="1">
      <alignment horizontal="center" vertical="center"/>
    </xf>
    <xf numFmtId="5" fontId="23" fillId="5" borderId="12" xfId="1316" applyNumberFormat="1" applyFont="1" applyFill="1" applyBorder="1" applyAlignment="1">
      <alignment horizontal="right" vertical="center"/>
    </xf>
    <xf numFmtId="5" fontId="23" fillId="5" borderId="11" xfId="1316" applyNumberFormat="1" applyFont="1" applyFill="1" applyBorder="1" applyAlignment="1">
      <alignment horizontal="right" vertical="center"/>
    </xf>
    <xf numFmtId="4" fontId="23" fillId="5" borderId="1" xfId="1314" applyNumberFormat="1" applyFont="1" applyFill="1" applyBorder="1" applyAlignment="1">
      <alignment vertical="center"/>
    </xf>
    <xf numFmtId="4" fontId="23" fillId="5" borderId="11" xfId="1314" applyNumberFormat="1" applyFont="1" applyFill="1" applyBorder="1" applyAlignment="1">
      <alignment vertical="center"/>
    </xf>
    <xf numFmtId="0" fontId="26" fillId="5" borderId="1" xfId="1314" applyFont="1" applyFill="1" applyBorder="1" applyAlignment="1">
      <alignment horizontal="center" vertical="center"/>
    </xf>
    <xf numFmtId="164" fontId="23" fillId="5" borderId="1" xfId="1316" applyNumberFormat="1" applyFont="1" applyFill="1" applyBorder="1" applyAlignment="1">
      <alignment vertical="center"/>
    </xf>
    <xf numFmtId="164" fontId="23" fillId="5" borderId="10" xfId="1316" applyNumberFormat="1" applyFont="1" applyFill="1" applyBorder="1" applyAlignment="1">
      <alignment horizontal="right" vertical="center"/>
    </xf>
    <xf numFmtId="10" fontId="23" fillId="0" borderId="10" xfId="1315" applyNumberFormat="1" applyFont="1" applyBorder="1" applyAlignment="1">
      <alignment vertical="center"/>
    </xf>
    <xf numFmtId="164" fontId="23" fillId="0" borderId="10" xfId="1316" applyNumberFormat="1" applyFont="1" applyBorder="1" applyAlignment="1">
      <alignment vertical="center"/>
    </xf>
    <xf numFmtId="0" fontId="23" fillId="2" borderId="10" xfId="1314" applyFont="1" applyFill="1" applyBorder="1" applyAlignment="1">
      <alignment horizontal="right" vertical="center"/>
    </xf>
    <xf numFmtId="164" fontId="23" fillId="0" borderId="10" xfId="1314" applyNumberFormat="1" applyFont="1" applyBorder="1" applyAlignment="1">
      <alignment vertical="center"/>
    </xf>
    <xf numFmtId="0" fontId="23" fillId="0" borderId="10" xfId="1314" applyFont="1" applyBorder="1" applyAlignment="1">
      <alignment horizontal="left" vertical="center"/>
    </xf>
    <xf numFmtId="10" fontId="23" fillId="0" borderId="14" xfId="1315" applyNumberFormat="1" applyFont="1" applyBorder="1" applyAlignment="1">
      <alignment horizontal="center" vertical="center"/>
    </xf>
    <xf numFmtId="10" fontId="23" fillId="0" borderId="0" xfId="1315" applyNumberFormat="1" applyFont="1" applyBorder="1" applyAlignment="1">
      <alignment horizontal="center" vertical="center"/>
    </xf>
    <xf numFmtId="5" fontId="23" fillId="0" borderId="14" xfId="1316" applyNumberFormat="1" applyFont="1" applyBorder="1" applyAlignment="1">
      <alignment horizontal="right" vertical="center"/>
    </xf>
    <xf numFmtId="5" fontId="23" fillId="0" borderId="13" xfId="1316" applyNumberFormat="1" applyFont="1" applyBorder="1" applyAlignment="1">
      <alignment horizontal="right" vertical="center"/>
    </xf>
    <xf numFmtId="4" fontId="23" fillId="0" borderId="0" xfId="1314" applyNumberFormat="1" applyFont="1" applyAlignment="1">
      <alignment vertical="center"/>
    </xf>
    <xf numFmtId="4" fontId="23" fillId="0" borderId="13" xfId="1314" applyNumberFormat="1" applyFont="1" applyBorder="1" applyAlignment="1">
      <alignment vertical="center"/>
    </xf>
    <xf numFmtId="0" fontId="26" fillId="0" borderId="0" xfId="1314" applyFont="1" applyAlignment="1">
      <alignment horizontal="center" vertical="center"/>
    </xf>
    <xf numFmtId="164" fontId="23" fillId="0" borderId="0" xfId="1316" applyNumberFormat="1" applyFont="1" applyBorder="1" applyAlignment="1">
      <alignment vertical="center"/>
    </xf>
    <xf numFmtId="164" fontId="23" fillId="0" borderId="22" xfId="1316" applyNumberFormat="1" applyFont="1" applyBorder="1" applyAlignment="1">
      <alignment horizontal="right" vertical="center"/>
    </xf>
    <xf numFmtId="10" fontId="23" fillId="2" borderId="10" xfId="1315" applyNumberFormat="1" applyFont="1" applyFill="1" applyBorder="1" applyAlignment="1">
      <alignment vertical="center"/>
    </xf>
    <xf numFmtId="164" fontId="23" fillId="2" borderId="10" xfId="1314" applyNumberFormat="1" applyFont="1" applyFill="1" applyBorder="1" applyAlignment="1">
      <alignment vertical="center"/>
    </xf>
    <xf numFmtId="0" fontId="23" fillId="2" borderId="10" xfId="1314" applyFont="1" applyFill="1" applyBorder="1" applyAlignment="1">
      <alignment horizontal="left" vertical="center"/>
    </xf>
    <xf numFmtId="167" fontId="23" fillId="0" borderId="0" xfId="1316" applyNumberFormat="1" applyFont="1" applyBorder="1" applyAlignment="1">
      <alignment vertical="center"/>
    </xf>
    <xf numFmtId="10" fontId="23" fillId="3" borderId="12" xfId="1315" applyNumberFormat="1" applyFont="1" applyFill="1" applyBorder="1" applyAlignment="1">
      <alignment horizontal="center" vertical="center"/>
    </xf>
    <xf numFmtId="10" fontId="23" fillId="3" borderId="1" xfId="1315" applyNumberFormat="1" applyFont="1" applyFill="1" applyBorder="1" applyAlignment="1">
      <alignment horizontal="center" vertical="center"/>
    </xf>
    <xf numFmtId="5" fontId="23" fillId="3" borderId="12" xfId="1316" applyNumberFormat="1" applyFont="1" applyFill="1" applyBorder="1" applyAlignment="1">
      <alignment horizontal="right" vertical="center"/>
    </xf>
    <xf numFmtId="5" fontId="23" fillId="3" borderId="11" xfId="1316" applyNumberFormat="1" applyFont="1" applyFill="1" applyBorder="1" applyAlignment="1">
      <alignment horizontal="right" vertical="center"/>
    </xf>
    <xf numFmtId="4" fontId="23" fillId="3" borderId="1" xfId="1314" applyNumberFormat="1" applyFont="1" applyFill="1" applyBorder="1" applyAlignment="1">
      <alignment vertical="center"/>
    </xf>
    <xf numFmtId="4" fontId="23" fillId="3" borderId="11" xfId="1314" applyNumberFormat="1" applyFont="1" applyFill="1" applyBorder="1" applyAlignment="1">
      <alignment vertical="center"/>
    </xf>
    <xf numFmtId="0" fontId="26" fillId="3" borderId="1" xfId="1314" applyFont="1" applyFill="1" applyBorder="1" applyAlignment="1">
      <alignment horizontal="center" vertical="center"/>
    </xf>
    <xf numFmtId="164" fontId="23" fillId="3" borderId="1" xfId="1316" applyNumberFormat="1" applyFont="1" applyFill="1" applyBorder="1" applyAlignment="1">
      <alignment vertical="center"/>
    </xf>
    <xf numFmtId="164" fontId="23" fillId="3" borderId="10" xfId="1316" applyNumberFormat="1" applyFont="1" applyFill="1" applyBorder="1" applyAlignment="1">
      <alignment horizontal="right" vertical="center"/>
    </xf>
    <xf numFmtId="10" fontId="23" fillId="0" borderId="25" xfId="1315" applyNumberFormat="1" applyFont="1" applyBorder="1" applyAlignment="1">
      <alignment vertical="center"/>
    </xf>
    <xf numFmtId="164" fontId="23" fillId="0" borderId="25" xfId="1314" applyNumberFormat="1" applyFont="1" applyBorder="1" applyAlignment="1">
      <alignment vertical="center"/>
    </xf>
    <xf numFmtId="0" fontId="23" fillId="2" borderId="25" xfId="1314" applyFont="1" applyFill="1" applyBorder="1" applyAlignment="1">
      <alignment horizontal="right" vertical="center"/>
    </xf>
    <xf numFmtId="0" fontId="23" fillId="2" borderId="17" xfId="1314" applyFont="1" applyFill="1" applyBorder="1" applyAlignment="1">
      <alignment vertical="center"/>
    </xf>
    <xf numFmtId="0" fontId="23" fillId="2" borderId="16" xfId="1314" applyFont="1" applyFill="1" applyBorder="1" applyAlignment="1">
      <alignment vertical="center"/>
    </xf>
    <xf numFmtId="5" fontId="23" fillId="2" borderId="10" xfId="1316" applyNumberFormat="1" applyFont="1" applyFill="1" applyBorder="1" applyAlignment="1">
      <alignment horizontal="right" vertical="center"/>
    </xf>
    <xf numFmtId="0" fontId="23" fillId="2" borderId="10" xfId="1314" applyFont="1" applyFill="1" applyBorder="1" applyAlignment="1">
      <alignment horizontal="center" vertical="center"/>
    </xf>
    <xf numFmtId="164" fontId="23" fillId="2" borderId="10" xfId="1314" applyNumberFormat="1" applyFont="1" applyFill="1" applyBorder="1" applyAlignment="1">
      <alignment horizontal="center" vertical="center"/>
    </xf>
    <xf numFmtId="15" fontId="23" fillId="2" borderId="10" xfId="1314" applyNumberFormat="1" applyFont="1" applyFill="1" applyBorder="1" applyAlignment="1">
      <alignment horizontal="center" vertical="center" wrapText="1"/>
    </xf>
    <xf numFmtId="0" fontId="23" fillId="2" borderId="30" xfId="1314" applyFont="1" applyFill="1" applyBorder="1" applyAlignment="1">
      <alignment vertical="center"/>
    </xf>
    <xf numFmtId="164" fontId="23" fillId="2" borderId="30" xfId="1314" applyNumberFormat="1" applyFont="1" applyFill="1" applyBorder="1" applyAlignment="1">
      <alignment vertical="center"/>
    </xf>
    <xf numFmtId="0" fontId="23" fillId="2" borderId="30" xfId="1314" applyFont="1" applyFill="1" applyBorder="1" applyAlignment="1">
      <alignment horizontal="center" vertical="center"/>
    </xf>
    <xf numFmtId="10" fontId="28" fillId="2" borderId="10" xfId="1315" applyNumberFormat="1" applyFont="1" applyFill="1" applyBorder="1" applyAlignment="1">
      <alignment vertical="center"/>
    </xf>
    <xf numFmtId="164" fontId="28" fillId="2" borderId="10" xfId="1314" applyNumberFormat="1" applyFont="1" applyFill="1" applyBorder="1" applyAlignment="1">
      <alignment vertical="center"/>
    </xf>
    <xf numFmtId="0" fontId="28" fillId="2" borderId="10" xfId="1314" applyFont="1" applyFill="1" applyBorder="1" applyAlignment="1">
      <alignment horizontal="center" vertical="center"/>
    </xf>
    <xf numFmtId="0" fontId="28" fillId="2" borderId="10" xfId="1314" applyFont="1" applyFill="1" applyBorder="1" applyAlignment="1">
      <alignment horizontal="left" vertical="center"/>
    </xf>
    <xf numFmtId="0" fontId="23" fillId="2" borderId="28" xfId="1314" applyFont="1" applyFill="1" applyBorder="1" applyAlignment="1">
      <alignment vertical="center"/>
    </xf>
    <xf numFmtId="0" fontId="23" fillId="2" borderId="27" xfId="1314" applyFont="1" applyFill="1" applyBorder="1" applyAlignment="1">
      <alignment vertical="center"/>
    </xf>
    <xf numFmtId="0" fontId="23" fillId="2" borderId="28" xfId="1314" applyFont="1" applyFill="1" applyBorder="1" applyAlignment="1">
      <alignment horizontal="centerContinuous" vertical="center"/>
    </xf>
    <xf numFmtId="0" fontId="23" fillId="2" borderId="26" xfId="1314" applyFont="1" applyFill="1" applyBorder="1" applyAlignment="1">
      <alignment horizontal="centerContinuous" vertical="center"/>
    </xf>
    <xf numFmtId="15" fontId="23" fillId="2" borderId="29" xfId="1314" applyNumberFormat="1" applyFont="1" applyFill="1" applyBorder="1" applyAlignment="1">
      <alignment horizontal="center" vertical="center"/>
    </xf>
    <xf numFmtId="0" fontId="29" fillId="6" borderId="11" xfId="1314" applyFont="1" applyFill="1" applyBorder="1" applyAlignment="1">
      <alignment horizontal="centerContinuous" vertical="center" wrapText="1"/>
    </xf>
    <xf numFmtId="0" fontId="29" fillId="6" borderId="12" xfId="1314" applyFont="1" applyFill="1" applyBorder="1" applyAlignment="1">
      <alignment horizontal="centerContinuous" vertical="center"/>
    </xf>
    <xf numFmtId="0" fontId="29" fillId="6" borderId="1" xfId="1314" applyFont="1" applyFill="1" applyBorder="1" applyAlignment="1">
      <alignment horizontal="centerContinuous" vertical="center"/>
    </xf>
    <xf numFmtId="0" fontId="31" fillId="6" borderId="11" xfId="1314" applyFont="1" applyFill="1" applyBorder="1" applyAlignment="1">
      <alignment horizontal="centerContinuous" vertical="center"/>
    </xf>
    <xf numFmtId="0" fontId="23" fillId="2" borderId="12" xfId="1314" applyFont="1" applyFill="1" applyBorder="1" applyAlignment="1">
      <alignment horizontal="right" vertical="center"/>
    </xf>
    <xf numFmtId="0" fontId="23" fillId="2" borderId="1" xfId="1314" applyFont="1" applyFill="1" applyBorder="1" applyAlignment="1">
      <alignment vertical="center"/>
    </xf>
    <xf numFmtId="0" fontId="23" fillId="2" borderId="11" xfId="1314" applyFont="1" applyFill="1" applyBorder="1" applyAlignment="1">
      <alignment vertical="center"/>
    </xf>
    <xf numFmtId="4" fontId="24" fillId="0" borderId="10" xfId="1314" applyNumberFormat="1" applyFont="1" applyBorder="1" applyAlignment="1">
      <alignment vertical="center"/>
    </xf>
    <xf numFmtId="15" fontId="26" fillId="0" borderId="10" xfId="1314" applyNumberFormat="1" applyFont="1" applyBorder="1" applyAlignment="1">
      <alignment horizontal="center" vertical="center"/>
    </xf>
    <xf numFmtId="10" fontId="24" fillId="0" borderId="10" xfId="1315" applyNumberFormat="1" applyFont="1" applyBorder="1" applyAlignment="1">
      <alignment vertical="center"/>
    </xf>
    <xf numFmtId="0" fontId="31" fillId="6" borderId="10" xfId="1314" applyFont="1" applyFill="1" applyBorder="1" applyAlignment="1">
      <alignment horizontal="center" vertical="center" wrapText="1"/>
    </xf>
    <xf numFmtId="15" fontId="31" fillId="6" borderId="10" xfId="1314" applyNumberFormat="1" applyFont="1" applyFill="1" applyBorder="1" applyAlignment="1">
      <alignment horizontal="center" vertical="center" wrapText="1"/>
    </xf>
  </cellXfs>
  <cellStyles count="1317">
    <cellStyle name="Currency" xfId="133" builtinId="4"/>
    <cellStyle name="Currency 2" xfId="1316" xr:uid="{42A7C19A-6B82-D74B-9AE0-6C7C5EFD85E6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/>
    <cellStyle name="Normal" xfId="0" builtinId="0"/>
    <cellStyle name="Normal 2" xfId="1314" xr:uid="{FB3F41C8-019E-6B4B-98BF-85E2108DFE79}"/>
    <cellStyle name="Percent" xfId="134" builtinId="5"/>
    <cellStyle name="Percent 2" xfId="1315" xr:uid="{11CD0C51-BEDB-3240-938D-53A67876E6F6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nchawla/Downloads/BondPortfolioExamp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 Portfolio"/>
      <sheetName val="Bond Input Sheet"/>
      <sheetName val="Cash Flows"/>
      <sheetName val="Bond Maturity"/>
      <sheetName val="Bond Type"/>
      <sheetName val="Credit Quality"/>
      <sheetName val="Market Yield Curve"/>
      <sheetName val="Misc Data"/>
      <sheetName val="Read M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A4">
            <v>1</v>
          </cell>
          <cell r="B4" t="str">
            <v>FDIC</v>
          </cell>
          <cell r="C4" t="str">
            <v>FDIC</v>
          </cell>
          <cell r="D4">
            <v>1</v>
          </cell>
        </row>
        <row r="5">
          <cell r="A5">
            <v>2</v>
          </cell>
          <cell r="B5" t="str">
            <v>Aaa</v>
          </cell>
          <cell r="C5" t="str">
            <v>AAA</v>
          </cell>
          <cell r="D5">
            <v>1</v>
          </cell>
        </row>
        <row r="6">
          <cell r="A6">
            <v>3</v>
          </cell>
          <cell r="B6" t="str">
            <v>Aa1</v>
          </cell>
          <cell r="C6" t="str">
            <v>AA+</v>
          </cell>
          <cell r="D6">
            <v>2</v>
          </cell>
        </row>
        <row r="7">
          <cell r="A7">
            <v>4</v>
          </cell>
          <cell r="B7" t="str">
            <v>Aa2</v>
          </cell>
          <cell r="C7" t="str">
            <v>AA</v>
          </cell>
          <cell r="D7">
            <v>2</v>
          </cell>
        </row>
        <row r="8">
          <cell r="A8">
            <v>5</v>
          </cell>
          <cell r="B8" t="str">
            <v>Aa3</v>
          </cell>
          <cell r="C8" t="str">
            <v>AA-</v>
          </cell>
          <cell r="D8">
            <v>2</v>
          </cell>
        </row>
        <row r="9">
          <cell r="A9">
            <v>6</v>
          </cell>
          <cell r="B9" t="str">
            <v>A1</v>
          </cell>
          <cell r="C9" t="str">
            <v>A+</v>
          </cell>
          <cell r="D9">
            <v>3</v>
          </cell>
        </row>
        <row r="10">
          <cell r="A10">
            <v>7</v>
          </cell>
          <cell r="B10" t="str">
            <v>A2</v>
          </cell>
          <cell r="C10" t="str">
            <v>A</v>
          </cell>
          <cell r="D10">
            <v>3</v>
          </cell>
        </row>
        <row r="11">
          <cell r="A11">
            <v>8</v>
          </cell>
          <cell r="B11" t="str">
            <v>A3</v>
          </cell>
          <cell r="C11" t="str">
            <v>A-</v>
          </cell>
          <cell r="D11">
            <v>3</v>
          </cell>
        </row>
        <row r="12">
          <cell r="A12">
            <v>9</v>
          </cell>
          <cell r="B12" t="str">
            <v>Baa1</v>
          </cell>
          <cell r="C12" t="str">
            <v>BBB+</v>
          </cell>
          <cell r="D12">
            <v>4</v>
          </cell>
        </row>
        <row r="13">
          <cell r="A13">
            <v>10</v>
          </cell>
          <cell r="B13" t="str">
            <v>Baa2</v>
          </cell>
          <cell r="C13" t="str">
            <v>BBB</v>
          </cell>
          <cell r="D13">
            <v>4</v>
          </cell>
        </row>
        <row r="14">
          <cell r="A14">
            <v>11</v>
          </cell>
          <cell r="B14" t="str">
            <v>Baa3</v>
          </cell>
          <cell r="C14" t="str">
            <v>BBB-</v>
          </cell>
          <cell r="D14">
            <v>4</v>
          </cell>
        </row>
        <row r="15">
          <cell r="A15">
            <v>12</v>
          </cell>
          <cell r="B15" t="str">
            <v>Ba1</v>
          </cell>
          <cell r="C15" t="str">
            <v>BB+</v>
          </cell>
          <cell r="D15">
            <v>5</v>
          </cell>
        </row>
        <row r="16">
          <cell r="A16">
            <v>13</v>
          </cell>
          <cell r="B16" t="str">
            <v>Ba2</v>
          </cell>
          <cell r="C16" t="str">
            <v>BB</v>
          </cell>
          <cell r="D16">
            <v>5</v>
          </cell>
        </row>
        <row r="17">
          <cell r="A17">
            <v>14</v>
          </cell>
          <cell r="B17" t="str">
            <v>Ba3</v>
          </cell>
          <cell r="C17" t="str">
            <v>BB-</v>
          </cell>
          <cell r="D17">
            <v>5</v>
          </cell>
        </row>
        <row r="18">
          <cell r="A18">
            <v>15</v>
          </cell>
          <cell r="B18" t="str">
            <v>B1</v>
          </cell>
          <cell r="C18" t="str">
            <v>B+</v>
          </cell>
          <cell r="D18">
            <v>6</v>
          </cell>
        </row>
        <row r="19">
          <cell r="A19">
            <v>16</v>
          </cell>
          <cell r="B19" t="str">
            <v>B2</v>
          </cell>
          <cell r="C19" t="str">
            <v>B</v>
          </cell>
          <cell r="D19">
            <v>6</v>
          </cell>
        </row>
        <row r="20">
          <cell r="A20">
            <v>17</v>
          </cell>
          <cell r="B20" t="str">
            <v>B3</v>
          </cell>
          <cell r="C20" t="str">
            <v>B-</v>
          </cell>
          <cell r="D20">
            <v>6</v>
          </cell>
        </row>
        <row r="21">
          <cell r="A21">
            <v>18</v>
          </cell>
          <cell r="B21" t="str">
            <v>Caa</v>
          </cell>
          <cell r="C21" t="str">
            <v>CCC+</v>
          </cell>
          <cell r="D21">
            <v>7</v>
          </cell>
        </row>
        <row r="22">
          <cell r="A22">
            <v>19</v>
          </cell>
          <cell r="B22" t="str">
            <v>Caa1</v>
          </cell>
          <cell r="C22" t="str">
            <v>CCC</v>
          </cell>
          <cell r="D22">
            <v>7</v>
          </cell>
        </row>
        <row r="23">
          <cell r="A23">
            <v>20</v>
          </cell>
          <cell r="B23" t="str">
            <v>Caa2</v>
          </cell>
          <cell r="C23" t="str">
            <v>CCC-</v>
          </cell>
          <cell r="D23">
            <v>7</v>
          </cell>
        </row>
        <row r="24">
          <cell r="A24">
            <v>21</v>
          </cell>
          <cell r="B24" t="str">
            <v>Ca</v>
          </cell>
          <cell r="C24" t="str">
            <v>CC</v>
          </cell>
          <cell r="D24">
            <v>7</v>
          </cell>
        </row>
        <row r="25">
          <cell r="A25">
            <v>22</v>
          </cell>
          <cell r="B25" t="str">
            <v>C</v>
          </cell>
          <cell r="C25" t="str">
            <v>C</v>
          </cell>
          <cell r="D25">
            <v>7</v>
          </cell>
        </row>
        <row r="26">
          <cell r="A26">
            <v>23</v>
          </cell>
          <cell r="B26" t="str">
            <v>NR</v>
          </cell>
          <cell r="C26" t="str">
            <v>NR</v>
          </cell>
          <cell r="D26">
            <v>8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C40"/>
  <sheetViews>
    <sheetView showGridLines="0" tabSelected="1" workbookViewId="0">
      <selection activeCell="A34" sqref="A34"/>
    </sheetView>
  </sheetViews>
  <sheetFormatPr baseColWidth="10" defaultRowHeight="13" x14ac:dyDescent="0.15"/>
  <cols>
    <col min="1" max="1" width="57.33203125" style="230" bestFit="1" customWidth="1"/>
    <col min="2" max="3" width="15.83203125" style="230" customWidth="1"/>
    <col min="4" max="4" width="10.83203125" style="230"/>
    <col min="5" max="5" width="16.1640625" style="230" bestFit="1" customWidth="1"/>
    <col min="6" max="6" width="12.33203125" style="230" bestFit="1" customWidth="1"/>
    <col min="7" max="7" width="21.83203125" style="230" bestFit="1" customWidth="1"/>
    <col min="8" max="11" width="15.1640625" style="230" bestFit="1" customWidth="1"/>
    <col min="12" max="12" width="13.6640625" style="230" bestFit="1" customWidth="1"/>
    <col min="13" max="16384" width="10.83203125" style="230"/>
  </cols>
  <sheetData>
    <row r="1" spans="1:3" ht="14" thickBot="1" x14ac:dyDescent="0.2">
      <c r="A1" s="228" t="s">
        <v>370</v>
      </c>
      <c r="B1" s="229">
        <v>2012</v>
      </c>
      <c r="C1" s="229">
        <v>2013</v>
      </c>
    </row>
    <row r="2" spans="1:3" x14ac:dyDescent="0.15">
      <c r="A2" s="231"/>
      <c r="B2" s="231"/>
      <c r="C2" s="231"/>
    </row>
    <row r="3" spans="1:3" x14ac:dyDescent="0.15">
      <c r="A3" s="232" t="s">
        <v>399</v>
      </c>
      <c r="B3" s="233">
        <v>3108832420</v>
      </c>
      <c r="C3" s="233">
        <v>3670114722</v>
      </c>
    </row>
    <row r="4" spans="1:3" x14ac:dyDescent="0.15">
      <c r="A4" s="232" t="s">
        <v>400</v>
      </c>
      <c r="B4" s="233">
        <v>4116895947</v>
      </c>
      <c r="C4" s="233">
        <v>4346744942</v>
      </c>
    </row>
    <row r="5" spans="1:3" x14ac:dyDescent="0.15">
      <c r="A5" s="232" t="s">
        <v>84</v>
      </c>
      <c r="B5" s="234">
        <f>B3/B4</f>
        <v>0.75513990638151052</v>
      </c>
      <c r="C5" s="234">
        <f>C3/C4</f>
        <v>0.84433634155477444</v>
      </c>
    </row>
    <row r="6" spans="1:3" x14ac:dyDescent="0.15">
      <c r="A6" s="232" t="s">
        <v>221</v>
      </c>
      <c r="C6" s="235">
        <v>0.05</v>
      </c>
    </row>
    <row r="7" spans="1:3" x14ac:dyDescent="0.15">
      <c r="A7" s="232" t="s">
        <v>402</v>
      </c>
      <c r="B7" s="233">
        <v>20688388231</v>
      </c>
      <c r="C7" s="233">
        <v>22365091663</v>
      </c>
    </row>
    <row r="8" spans="1:3" x14ac:dyDescent="0.15">
      <c r="A8" s="232" t="s">
        <v>396</v>
      </c>
      <c r="C8" s="234">
        <f>C6/(1-C5)</f>
        <v>0.32120535068622869</v>
      </c>
    </row>
    <row r="9" spans="1:3" x14ac:dyDescent="0.15">
      <c r="A9" s="232" t="s">
        <v>85</v>
      </c>
      <c r="C9" s="235">
        <v>0.12</v>
      </c>
    </row>
    <row r="10" spans="1:3" x14ac:dyDescent="0.15">
      <c r="A10" s="232" t="s">
        <v>398</v>
      </c>
      <c r="C10" s="236">
        <v>41.736137499999998</v>
      </c>
    </row>
    <row r="11" spans="1:3" x14ac:dyDescent="0.15">
      <c r="A11" s="232" t="s">
        <v>403</v>
      </c>
      <c r="C11" s="237">
        <f>(C7*C8*C5/(C9-C6))/C10</f>
        <v>2076149588.109539</v>
      </c>
    </row>
    <row r="12" spans="1:3" x14ac:dyDescent="0.15">
      <c r="A12" s="232" t="s">
        <v>401</v>
      </c>
      <c r="C12" s="238">
        <f>C11/(C7/C10)</f>
        <v>3.8743621526604106</v>
      </c>
    </row>
    <row r="13" spans="1:3" x14ac:dyDescent="0.15">
      <c r="B13" s="239"/>
      <c r="C13" s="239"/>
    </row>
    <row r="14" spans="1:3" x14ac:dyDescent="0.15">
      <c r="A14" s="240" t="s">
        <v>397</v>
      </c>
      <c r="B14" s="241">
        <v>0.05</v>
      </c>
      <c r="C14" s="241">
        <v>2.5000000000000001E-2</v>
      </c>
    </row>
    <row r="15" spans="1:3" x14ac:dyDescent="0.15">
      <c r="A15" s="242">
        <v>0.95</v>
      </c>
      <c r="B15" s="243">
        <f t="shared" ref="B15:B17" si="0">B$14/(1-$A15)</f>
        <v>0.99999999999999911</v>
      </c>
      <c r="C15" s="243">
        <f t="shared" ref="C15:C17" si="1">C$14/(1-$A15)</f>
        <v>0.49999999999999956</v>
      </c>
    </row>
    <row r="16" spans="1:3" x14ac:dyDescent="0.15">
      <c r="A16" s="242">
        <v>0.9</v>
      </c>
      <c r="B16" s="243">
        <f t="shared" si="0"/>
        <v>0.50000000000000011</v>
      </c>
      <c r="C16" s="244">
        <f t="shared" si="1"/>
        <v>0.25000000000000006</v>
      </c>
    </row>
    <row r="17" spans="1:3" x14ac:dyDescent="0.15">
      <c r="A17" s="242">
        <v>0.85</v>
      </c>
      <c r="B17" s="243">
        <f t="shared" si="0"/>
        <v>0.33333333333333331</v>
      </c>
      <c r="C17" s="243">
        <f t="shared" si="1"/>
        <v>0.16666666666666666</v>
      </c>
    </row>
    <row r="19" spans="1:3" x14ac:dyDescent="0.15">
      <c r="A19" s="232" t="s">
        <v>404</v>
      </c>
      <c r="B19" s="233">
        <v>22365091663</v>
      </c>
    </row>
    <row r="20" spans="1:3" x14ac:dyDescent="0.15">
      <c r="A20" s="245" t="s">
        <v>83</v>
      </c>
      <c r="B20" s="246">
        <v>0.25</v>
      </c>
    </row>
    <row r="21" spans="1:3" x14ac:dyDescent="0.15">
      <c r="A21" s="245" t="s">
        <v>409</v>
      </c>
      <c r="B21" s="247">
        <f>B19*B20</f>
        <v>5591272915.75</v>
      </c>
    </row>
    <row r="22" spans="1:3" x14ac:dyDescent="0.15">
      <c r="A22" s="245" t="s">
        <v>405</v>
      </c>
      <c r="B22" s="246">
        <v>2.5000000000000001E-2</v>
      </c>
    </row>
    <row r="23" spans="1:3" x14ac:dyDescent="0.15">
      <c r="A23" s="245" t="s">
        <v>85</v>
      </c>
      <c r="B23" s="235">
        <v>0.12</v>
      </c>
    </row>
    <row r="24" spans="1:3" x14ac:dyDescent="0.15">
      <c r="A24" s="245" t="s">
        <v>406</v>
      </c>
      <c r="B24" s="248">
        <f>1-B22/B20</f>
        <v>0.9</v>
      </c>
    </row>
    <row r="25" spans="1:3" x14ac:dyDescent="0.15">
      <c r="A25" s="245" t="s">
        <v>407</v>
      </c>
      <c r="B25" s="247">
        <f>B21*B24/(B23-B22)</f>
        <v>52969953938.684212</v>
      </c>
    </row>
    <row r="26" spans="1:3" x14ac:dyDescent="0.15">
      <c r="A26" s="245" t="s">
        <v>398</v>
      </c>
      <c r="B26" s="249">
        <v>43.310583333333334</v>
      </c>
    </row>
    <row r="27" spans="1:3" x14ac:dyDescent="0.15">
      <c r="A27" s="245" t="s">
        <v>408</v>
      </c>
      <c r="B27" s="247">
        <f>B25/B26</f>
        <v>1223025640.8926427</v>
      </c>
    </row>
    <row r="28" spans="1:3" x14ac:dyDescent="0.15">
      <c r="A28" s="245" t="s">
        <v>401</v>
      </c>
      <c r="B28" s="238">
        <f>B27/(B19/B26)</f>
        <v>2.3684210526315788</v>
      </c>
    </row>
    <row r="29" spans="1:3" x14ac:dyDescent="0.15">
      <c r="A29" s="245"/>
    </row>
    <row r="30" spans="1:3" x14ac:dyDescent="0.15">
      <c r="A30" s="240" t="s">
        <v>410</v>
      </c>
      <c r="B30" s="250">
        <v>0.3</v>
      </c>
      <c r="C30" s="250">
        <v>0.2</v>
      </c>
    </row>
    <row r="31" spans="1:3" x14ac:dyDescent="0.15">
      <c r="A31" s="242">
        <v>0.13</v>
      </c>
      <c r="B31" s="251">
        <f t="shared" ref="B31:C33" si="2">($B$19*B$30*(1-$B$22/B$30)/($A31-$B$22))/$B$26</f>
        <v>1352446343.6326046</v>
      </c>
      <c r="C31" s="251">
        <f t="shared" si="2"/>
        <v>860647673.22074866</v>
      </c>
    </row>
    <row r="32" spans="1:3" x14ac:dyDescent="0.15">
      <c r="A32" s="242">
        <v>0.12</v>
      </c>
      <c r="B32" s="251">
        <f t="shared" si="2"/>
        <v>1494809116.6465633</v>
      </c>
      <c r="C32" s="251">
        <f t="shared" si="2"/>
        <v>951242165.1387223</v>
      </c>
    </row>
    <row r="33" spans="1:3" x14ac:dyDescent="0.15">
      <c r="A33" s="242">
        <v>0.11</v>
      </c>
      <c r="B33" s="251">
        <f t="shared" si="2"/>
        <v>1670669012.7226295</v>
      </c>
      <c r="C33" s="251">
        <f t="shared" si="2"/>
        <v>1063153008.0962191</v>
      </c>
    </row>
    <row r="40" spans="1:3" x14ac:dyDescent="0.15">
      <c r="A40" s="252"/>
    </row>
  </sheetData>
  <phoneticPr fontId="8" type="noConversion"/>
  <conditionalFormatting sqref="B31:C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scale="77" fitToHeight="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P73"/>
  <sheetViews>
    <sheetView showGridLines="0" topLeftCell="F1" workbookViewId="0">
      <selection activeCell="M7" sqref="M7"/>
    </sheetView>
  </sheetViews>
  <sheetFormatPr baseColWidth="10" defaultRowHeight="16" x14ac:dyDescent="0.2"/>
  <cols>
    <col min="1" max="1" width="3.83203125" customWidth="1"/>
    <col min="2" max="2" width="64" bestFit="1" customWidth="1"/>
    <col min="3" max="11" width="15.83203125" customWidth="1"/>
  </cols>
  <sheetData>
    <row r="2" spans="2:16" x14ac:dyDescent="0.2">
      <c r="B2" s="51" t="s">
        <v>381</v>
      </c>
      <c r="C2" s="26"/>
      <c r="D2" s="26"/>
      <c r="E2" s="26"/>
      <c r="F2" s="26"/>
      <c r="G2" s="26"/>
      <c r="H2" s="26"/>
      <c r="I2" s="26"/>
      <c r="J2" s="26"/>
      <c r="K2" s="26"/>
    </row>
    <row r="3" spans="2:16" x14ac:dyDescent="0.2">
      <c r="B3" s="51" t="s">
        <v>346</v>
      </c>
      <c r="C3" s="26"/>
      <c r="D3" s="26"/>
      <c r="E3" s="26"/>
      <c r="F3" s="26"/>
      <c r="G3" s="26"/>
      <c r="H3" s="26"/>
      <c r="I3" s="26"/>
      <c r="J3" s="26"/>
      <c r="K3" s="26"/>
    </row>
    <row r="4" spans="2:16" x14ac:dyDescent="0.2">
      <c r="B4" s="51" t="s">
        <v>344</v>
      </c>
      <c r="C4" s="26"/>
      <c r="D4" s="26"/>
      <c r="E4" s="26"/>
      <c r="F4" s="26"/>
      <c r="G4" s="26"/>
      <c r="H4" s="26"/>
      <c r="I4" s="26"/>
      <c r="J4" s="26"/>
      <c r="K4" s="26"/>
    </row>
    <row r="5" spans="2:16" x14ac:dyDescent="0.2">
      <c r="B5" s="51" t="s">
        <v>301</v>
      </c>
      <c r="C5" s="177"/>
      <c r="D5" s="177"/>
      <c r="E5" s="177"/>
      <c r="F5" s="177"/>
      <c r="G5" s="177"/>
      <c r="H5" s="177"/>
      <c r="I5" s="177"/>
      <c r="J5" s="177"/>
      <c r="K5" s="177"/>
    </row>
    <row r="6" spans="2:16" x14ac:dyDescent="0.2">
      <c r="B6" s="51"/>
      <c r="C6" s="177"/>
      <c r="D6" s="177"/>
      <c r="E6" s="177"/>
      <c r="F6" s="177"/>
      <c r="G6" s="177"/>
      <c r="H6" s="177"/>
      <c r="I6" s="177"/>
      <c r="J6" s="177"/>
      <c r="K6" s="177"/>
    </row>
    <row r="7" spans="2:16" x14ac:dyDescent="0.2">
      <c r="B7" s="272" t="s">
        <v>174</v>
      </c>
      <c r="C7" s="266" t="s">
        <v>306</v>
      </c>
      <c r="D7" s="267"/>
      <c r="E7" s="268"/>
      <c r="F7" s="266" t="s">
        <v>307</v>
      </c>
      <c r="G7" s="267"/>
      <c r="H7" s="268"/>
      <c r="I7" s="266" t="s">
        <v>233</v>
      </c>
      <c r="J7" s="267"/>
      <c r="K7" s="268"/>
      <c r="M7" s="166">
        <v>43.310583333333334</v>
      </c>
    </row>
    <row r="8" spans="2:16" x14ac:dyDescent="0.2">
      <c r="B8" s="273"/>
      <c r="C8" s="269"/>
      <c r="D8" s="270"/>
      <c r="E8" s="271"/>
      <c r="F8" s="269"/>
      <c r="G8" s="270"/>
      <c r="H8" s="271"/>
      <c r="I8" s="269"/>
      <c r="J8" s="270"/>
      <c r="K8" s="271"/>
    </row>
    <row r="9" spans="2:16" ht="17" thickBot="1" x14ac:dyDescent="0.25">
      <c r="B9" s="171" t="s">
        <v>343</v>
      </c>
      <c r="C9" s="172">
        <f>+C11+C43+C30</f>
        <v>1695439136.7420211</v>
      </c>
      <c r="D9" s="173">
        <f>C9/I9</f>
        <v>0.73578219966616676</v>
      </c>
      <c r="E9" s="174">
        <f>D11*E11+D43*E43+D30*E30</f>
        <v>18.235030753669328</v>
      </c>
      <c r="F9" s="172">
        <f>+F11+F43+F30</f>
        <v>608828535.82638562</v>
      </c>
      <c r="G9" s="173">
        <f>F9/I9</f>
        <v>0.26421780033383307</v>
      </c>
      <c r="H9" s="174">
        <f>G11*H11+G43*H43+G30*H30</f>
        <v>9.6732733026985631</v>
      </c>
      <c r="I9" s="172">
        <f>+I11+I43+I30</f>
        <v>2304267672.5684071</v>
      </c>
      <c r="J9" s="173">
        <f>I9/I9</f>
        <v>1</v>
      </c>
      <c r="K9" s="174">
        <f>J11*K11+J43*K43+J30*K30</f>
        <v>15.972862032982025</v>
      </c>
    </row>
    <row r="10" spans="2:16" ht="17" thickTop="1" x14ac:dyDescent="0.2">
      <c r="B10" s="5"/>
      <c r="C10" s="116"/>
      <c r="D10" s="117"/>
      <c r="E10" s="118"/>
      <c r="F10" s="116"/>
      <c r="G10" s="117"/>
      <c r="H10" s="118"/>
      <c r="I10" s="116"/>
      <c r="J10" s="117"/>
      <c r="K10" s="118"/>
    </row>
    <row r="11" spans="2:16" x14ac:dyDescent="0.2">
      <c r="B11" s="119" t="s">
        <v>308</v>
      </c>
      <c r="C11" s="120">
        <f>SUM(C12:C28)</f>
        <v>825983885.99945843</v>
      </c>
      <c r="D11" s="121">
        <f>C11/C$9</f>
        <v>0.48717990997110067</v>
      </c>
      <c r="E11" s="122">
        <f>SUMPRODUCT(D12:D28,E12:E28)</f>
        <v>14.213872568425892</v>
      </c>
      <c r="F11" s="120">
        <f>SUM(F12:F28)</f>
        <v>562012591.68047822</v>
      </c>
      <c r="G11" s="121">
        <f>F11/F$9</f>
        <v>0.92310487864639523</v>
      </c>
      <c r="H11" s="122">
        <f>SUMPRODUCT(G12:G28,H12:H28)</f>
        <v>7.2865577877240737</v>
      </c>
      <c r="I11" s="120">
        <f>SUM(I12:I28)</f>
        <v>1387996477.6799366</v>
      </c>
      <c r="J11" s="121">
        <f>I11/I$9</f>
        <v>0.60235904630508197</v>
      </c>
      <c r="K11" s="122">
        <f>SUMPRODUCT(J12:J28,K12:K28)</f>
        <v>11.408938841363172</v>
      </c>
    </row>
    <row r="12" spans="2:16" x14ac:dyDescent="0.2">
      <c r="B12" s="123" t="s">
        <v>309</v>
      </c>
      <c r="C12" s="167">
        <f>M12</f>
        <v>0</v>
      </c>
      <c r="D12" s="117">
        <f t="shared" ref="D12:D28" si="0">IF(C12="","",C12/C$11)</f>
        <v>0</v>
      </c>
      <c r="E12" s="168">
        <v>17.235822083069344</v>
      </c>
      <c r="F12" s="167">
        <f>P12</f>
        <v>0</v>
      </c>
      <c r="G12" s="117">
        <f t="shared" ref="G12:G28" si="1">IF(F12="","",F12/F$11)</f>
        <v>0</v>
      </c>
      <c r="H12" s="168">
        <v>6.6030737245107556</v>
      </c>
      <c r="I12" s="150">
        <f>+C12+F12</f>
        <v>0</v>
      </c>
      <c r="J12" s="117">
        <f t="shared" ref="J12:J28" si="2">IF(I12="","",I12/I$11)</f>
        <v>0</v>
      </c>
      <c r="K12" s="151" t="str">
        <f>IF(SUM(C12,F12)=0,"",(C12/SUM(C12,F12)*E12)+(F12/SUM(C12,F12)*H12))</f>
        <v/>
      </c>
      <c r="M12">
        <v>0</v>
      </c>
      <c r="P12">
        <v>0</v>
      </c>
    </row>
    <row r="13" spans="2:16" x14ac:dyDescent="0.2">
      <c r="B13" s="123" t="s">
        <v>310</v>
      </c>
      <c r="C13" s="167">
        <f t="shared" ref="C13:C28" si="3">M13</f>
        <v>8428982.0926755778</v>
      </c>
      <c r="D13" s="117">
        <f t="shared" si="0"/>
        <v>1.0204777884348587E-2</v>
      </c>
      <c r="E13" s="168">
        <v>12.019401807237736</v>
      </c>
      <c r="F13" s="167">
        <f t="shared" ref="F13:F28" si="4">P13</f>
        <v>35644697.401982188</v>
      </c>
      <c r="G13" s="117">
        <f t="shared" si="1"/>
        <v>6.3423307466120474E-2</v>
      </c>
      <c r="H13" s="168">
        <v>5.217085905074744</v>
      </c>
      <c r="I13" s="150">
        <f t="shared" ref="I13:I28" si="5">+C13+F13</f>
        <v>44073679.49465777</v>
      </c>
      <c r="J13" s="117">
        <f t="shared" si="2"/>
        <v>3.1753451974408313E-2</v>
      </c>
      <c r="K13" s="151">
        <f t="shared" ref="K13:K28" si="6">IF(SUM(C13,F13)=0,"",(C13/SUM(C13,F13)*E13)+(F13/SUM(C13,F13)*H13))</f>
        <v>6.5180119812605097</v>
      </c>
      <c r="M13">
        <v>8428982.0926755778</v>
      </c>
      <c r="P13">
        <v>35644697.401982188</v>
      </c>
    </row>
    <row r="14" spans="2:16" x14ac:dyDescent="0.2">
      <c r="B14" s="123" t="s">
        <v>311</v>
      </c>
      <c r="C14" s="167">
        <f t="shared" si="3"/>
        <v>773235976.60425663</v>
      </c>
      <c r="D14" s="117">
        <f t="shared" si="0"/>
        <v>0.93613929970150001</v>
      </c>
      <c r="E14" s="168">
        <v>13.494121087789848</v>
      </c>
      <c r="F14" s="167">
        <f t="shared" si="4"/>
        <v>522816149.78763843</v>
      </c>
      <c r="G14" s="117">
        <f t="shared" si="1"/>
        <v>0.93025700407238532</v>
      </c>
      <c r="H14" s="168">
        <v>7.1076837484909046</v>
      </c>
      <c r="I14" s="150">
        <f t="shared" si="5"/>
        <v>1296052126.3918951</v>
      </c>
      <c r="J14" s="117">
        <f t="shared" si="2"/>
        <v>0.93375750387945622</v>
      </c>
      <c r="K14" s="151">
        <f t="shared" si="6"/>
        <v>10.917887838678485</v>
      </c>
      <c r="M14">
        <v>773235976.60425663</v>
      </c>
      <c r="P14">
        <v>522816149.78763843</v>
      </c>
    </row>
    <row r="15" spans="2:16" x14ac:dyDescent="0.2">
      <c r="B15" s="123" t="s">
        <v>312</v>
      </c>
      <c r="C15" s="167">
        <f t="shared" si="3"/>
        <v>0</v>
      </c>
      <c r="D15" s="117">
        <f t="shared" si="0"/>
        <v>0</v>
      </c>
      <c r="E15" s="168">
        <v>16.537873383268323</v>
      </c>
      <c r="F15" s="167">
        <f t="shared" si="4"/>
        <v>0</v>
      </c>
      <c r="G15" s="117">
        <f t="shared" si="1"/>
        <v>0</v>
      </c>
      <c r="H15" s="168"/>
      <c r="I15" s="150">
        <f t="shared" si="5"/>
        <v>0</v>
      </c>
      <c r="J15" s="117">
        <f t="shared" si="2"/>
        <v>0</v>
      </c>
      <c r="K15" s="151" t="str">
        <f t="shared" si="6"/>
        <v/>
      </c>
      <c r="M15">
        <v>0</v>
      </c>
      <c r="P15">
        <v>0</v>
      </c>
    </row>
    <row r="16" spans="2:16" x14ac:dyDescent="0.2">
      <c r="B16" s="123" t="s">
        <v>313</v>
      </c>
      <c r="C16" s="167">
        <f t="shared" si="3"/>
        <v>0</v>
      </c>
      <c r="D16" s="117">
        <f t="shared" si="0"/>
        <v>0</v>
      </c>
      <c r="E16" s="168">
        <v>24.410394867460891</v>
      </c>
      <c r="F16" s="167">
        <f t="shared" si="4"/>
        <v>0</v>
      </c>
      <c r="G16" s="117">
        <f t="shared" si="1"/>
        <v>0</v>
      </c>
      <c r="H16" s="168"/>
      <c r="I16" s="150">
        <f t="shared" si="5"/>
        <v>0</v>
      </c>
      <c r="J16" s="117">
        <f t="shared" si="2"/>
        <v>0</v>
      </c>
      <c r="K16" s="151" t="str">
        <f t="shared" si="6"/>
        <v/>
      </c>
      <c r="M16">
        <v>0</v>
      </c>
      <c r="P16">
        <v>0</v>
      </c>
    </row>
    <row r="17" spans="2:16" x14ac:dyDescent="0.2">
      <c r="B17" s="123" t="s">
        <v>314</v>
      </c>
      <c r="C17" s="167">
        <f t="shared" si="3"/>
        <v>12476482.266035823</v>
      </c>
      <c r="D17" s="117">
        <f t="shared" si="0"/>
        <v>1.510499475536258E-2</v>
      </c>
      <c r="E17" s="168">
        <v>21.296160700092098</v>
      </c>
      <c r="F17" s="167">
        <f t="shared" si="4"/>
        <v>0</v>
      </c>
      <c r="G17" s="117">
        <f t="shared" si="1"/>
        <v>0</v>
      </c>
      <c r="H17" s="168">
        <v>8.100133951095696</v>
      </c>
      <c r="I17" s="150">
        <f t="shared" si="5"/>
        <v>12476482.266035823</v>
      </c>
      <c r="J17" s="117">
        <f t="shared" si="2"/>
        <v>8.9888428873324717E-3</v>
      </c>
      <c r="K17" s="151">
        <f t="shared" si="6"/>
        <v>21.296160700092098</v>
      </c>
      <c r="M17">
        <v>12476482.266035823</v>
      </c>
      <c r="P17">
        <v>0</v>
      </c>
    </row>
    <row r="18" spans="2:16" x14ac:dyDescent="0.2">
      <c r="B18" s="123" t="s">
        <v>315</v>
      </c>
      <c r="C18" s="167">
        <f t="shared" si="3"/>
        <v>10335416.327571973</v>
      </c>
      <c r="D18" s="117">
        <f t="shared" si="0"/>
        <v>1.2512854672783229E-2</v>
      </c>
      <c r="E18" s="168">
        <v>45.294672409636213</v>
      </c>
      <c r="F18" s="167">
        <f t="shared" si="4"/>
        <v>0</v>
      </c>
      <c r="G18" s="117">
        <f t="shared" si="1"/>
        <v>0</v>
      </c>
      <c r="H18" s="168">
        <v>5.8822005843245329</v>
      </c>
      <c r="I18" s="150">
        <f t="shared" si="5"/>
        <v>10335416.327571973</v>
      </c>
      <c r="J18" s="117">
        <f t="shared" si="2"/>
        <v>7.4462842620809993E-3</v>
      </c>
      <c r="K18" s="151">
        <f t="shared" si="6"/>
        <v>45.294672409636213</v>
      </c>
      <c r="M18">
        <v>10335416.327571973</v>
      </c>
      <c r="P18">
        <v>0</v>
      </c>
    </row>
    <row r="19" spans="2:16" x14ac:dyDescent="0.2">
      <c r="B19" s="123" t="s">
        <v>316</v>
      </c>
      <c r="C19" s="167">
        <f t="shared" si="3"/>
        <v>182848.61275246428</v>
      </c>
      <c r="D19" s="117">
        <f t="shared" si="0"/>
        <v>2.2137067786887087E-4</v>
      </c>
      <c r="E19" s="168">
        <v>11.694793663004091</v>
      </c>
      <c r="F19" s="167">
        <f t="shared" si="4"/>
        <v>0</v>
      </c>
      <c r="G19" s="117">
        <f t="shared" si="1"/>
        <v>0</v>
      </c>
      <c r="H19" s="168">
        <v>7.270214207120115</v>
      </c>
      <c r="I19" s="150">
        <f t="shared" si="5"/>
        <v>182848.61275246428</v>
      </c>
      <c r="J19" s="117">
        <f t="shared" si="2"/>
        <v>1.3173564608614808E-4</v>
      </c>
      <c r="K19" s="151">
        <f t="shared" si="6"/>
        <v>11.694793663004091</v>
      </c>
      <c r="M19">
        <v>182848.61275246428</v>
      </c>
      <c r="P19">
        <v>0</v>
      </c>
    </row>
    <row r="20" spans="2:16" x14ac:dyDescent="0.2">
      <c r="B20" s="123" t="s">
        <v>317</v>
      </c>
      <c r="C20" s="167">
        <f t="shared" si="3"/>
        <v>0</v>
      </c>
      <c r="D20" s="117">
        <f t="shared" si="0"/>
        <v>0</v>
      </c>
      <c r="E20" s="168">
        <v>7.99</v>
      </c>
      <c r="F20" s="167">
        <f t="shared" si="4"/>
        <v>0</v>
      </c>
      <c r="G20" s="117">
        <f t="shared" si="1"/>
        <v>0</v>
      </c>
      <c r="H20" s="168"/>
      <c r="I20" s="150">
        <f t="shared" si="5"/>
        <v>0</v>
      </c>
      <c r="J20" s="117">
        <f t="shared" si="2"/>
        <v>0</v>
      </c>
      <c r="K20" s="151" t="str">
        <f t="shared" si="6"/>
        <v/>
      </c>
      <c r="M20">
        <v>0</v>
      </c>
      <c r="P20">
        <v>0</v>
      </c>
    </row>
    <row r="21" spans="2:16" x14ac:dyDescent="0.2">
      <c r="B21" s="123" t="s">
        <v>318</v>
      </c>
      <c r="C21" s="167">
        <f t="shared" si="3"/>
        <v>16567940.025359469</v>
      </c>
      <c r="D21" s="117">
        <f t="shared" si="0"/>
        <v>2.005843008100806E-2</v>
      </c>
      <c r="E21" s="168">
        <v>12.04854437501897</v>
      </c>
      <c r="F21" s="167">
        <f t="shared" si="4"/>
        <v>114010.34458475315</v>
      </c>
      <c r="G21" s="117">
        <f t="shared" si="1"/>
        <v>2.0286083670091793E-4</v>
      </c>
      <c r="H21" s="168">
        <v>6.8205473397154739</v>
      </c>
      <c r="I21" s="150">
        <f t="shared" si="5"/>
        <v>16681950.369944222</v>
      </c>
      <c r="J21" s="117">
        <f t="shared" si="2"/>
        <v>1.2018726731805854E-2</v>
      </c>
      <c r="K21" s="151">
        <f t="shared" si="6"/>
        <v>12.012814395594207</v>
      </c>
      <c r="M21">
        <v>16567940.025359469</v>
      </c>
      <c r="P21">
        <v>114010.34458475315</v>
      </c>
    </row>
    <row r="22" spans="2:16" x14ac:dyDescent="0.2">
      <c r="B22" s="123" t="s">
        <v>319</v>
      </c>
      <c r="C22" s="167">
        <f t="shared" si="3"/>
        <v>96695.113703925337</v>
      </c>
      <c r="D22" s="117">
        <f t="shared" si="0"/>
        <v>1.1706658609558968E-4</v>
      </c>
      <c r="E22" s="168">
        <v>12</v>
      </c>
      <c r="F22" s="167">
        <f t="shared" si="4"/>
        <v>0</v>
      </c>
      <c r="G22" s="117">
        <f t="shared" si="1"/>
        <v>0</v>
      </c>
      <c r="H22" s="168"/>
      <c r="I22" s="150">
        <f t="shared" si="5"/>
        <v>96695.113703925337</v>
      </c>
      <c r="J22" s="117">
        <f t="shared" si="2"/>
        <v>6.9665244299144843E-5</v>
      </c>
      <c r="K22" s="151">
        <f t="shared" si="6"/>
        <v>12</v>
      </c>
      <c r="M22">
        <v>96695.113703925337</v>
      </c>
      <c r="P22">
        <v>0</v>
      </c>
    </row>
    <row r="23" spans="2:16" x14ac:dyDescent="0.2">
      <c r="B23" s="123" t="s">
        <v>320</v>
      </c>
      <c r="C23" s="167">
        <f t="shared" si="3"/>
        <v>0</v>
      </c>
      <c r="D23" s="117">
        <f t="shared" si="0"/>
        <v>0</v>
      </c>
      <c r="E23" s="168">
        <v>12.238920641195705</v>
      </c>
      <c r="F23" s="167">
        <f t="shared" si="4"/>
        <v>0</v>
      </c>
      <c r="G23" s="117">
        <f t="shared" si="1"/>
        <v>0</v>
      </c>
      <c r="H23" s="168"/>
      <c r="I23" s="150">
        <f t="shared" si="5"/>
        <v>0</v>
      </c>
      <c r="J23" s="117">
        <f t="shared" si="2"/>
        <v>0</v>
      </c>
      <c r="K23" s="151" t="str">
        <f t="shared" si="6"/>
        <v/>
      </c>
      <c r="M23">
        <v>0</v>
      </c>
      <c r="P23">
        <v>0</v>
      </c>
    </row>
    <row r="24" spans="2:16" x14ac:dyDescent="0.2">
      <c r="B24" s="123" t="s">
        <v>321</v>
      </c>
      <c r="C24" s="167">
        <f t="shared" si="3"/>
        <v>556358.85401374137</v>
      </c>
      <c r="D24" s="117">
        <f t="shared" si="0"/>
        <v>6.7357107498596663E-4</v>
      </c>
      <c r="E24" s="168">
        <v>59.13614573738851</v>
      </c>
      <c r="F24" s="167">
        <f t="shared" si="4"/>
        <v>0</v>
      </c>
      <c r="G24" s="117">
        <f t="shared" si="1"/>
        <v>0</v>
      </c>
      <c r="H24" s="168">
        <v>59.999999999999993</v>
      </c>
      <c r="I24" s="150">
        <f t="shared" si="5"/>
        <v>556358.85401374137</v>
      </c>
      <c r="J24" s="117">
        <f t="shared" si="2"/>
        <v>4.0083592643095614E-4</v>
      </c>
      <c r="K24" s="151">
        <f t="shared" si="6"/>
        <v>59.13614573738851</v>
      </c>
      <c r="M24">
        <v>556358.85401374137</v>
      </c>
      <c r="P24">
        <v>0</v>
      </c>
    </row>
    <row r="25" spans="2:16" x14ac:dyDescent="0.2">
      <c r="B25" s="123" t="s">
        <v>322</v>
      </c>
      <c r="C25" s="167">
        <f t="shared" si="3"/>
        <v>2285977.0871245866</v>
      </c>
      <c r="D25" s="117">
        <f t="shared" si="0"/>
        <v>2.7675807311404203E-3</v>
      </c>
      <c r="E25" s="168">
        <v>59.015950248239214</v>
      </c>
      <c r="F25" s="167">
        <f t="shared" si="4"/>
        <v>2287084.3986939304</v>
      </c>
      <c r="G25" s="117">
        <f t="shared" si="1"/>
        <v>4.0694540167779897E-3</v>
      </c>
      <c r="H25" s="168">
        <v>58.737610739363497</v>
      </c>
      <c r="I25" s="150">
        <f t="shared" si="5"/>
        <v>4573061.4858185165</v>
      </c>
      <c r="J25" s="117">
        <f t="shared" si="2"/>
        <v>3.294721247032614E-3</v>
      </c>
      <c r="K25" s="151">
        <f t="shared" si="6"/>
        <v>58.87674679552731</v>
      </c>
      <c r="M25">
        <v>2285977.0871245866</v>
      </c>
      <c r="P25">
        <v>2287084.3986939304</v>
      </c>
    </row>
    <row r="26" spans="2:16" x14ac:dyDescent="0.2">
      <c r="B26" s="123" t="s">
        <v>323</v>
      </c>
      <c r="C26" s="167">
        <f t="shared" si="3"/>
        <v>1259552.5823364961</v>
      </c>
      <c r="D26" s="117">
        <f t="shared" si="0"/>
        <v>1.5249118096443371E-3</v>
      </c>
      <c r="E26" s="168">
        <v>59.842075146056061</v>
      </c>
      <c r="F26" s="167">
        <f t="shared" si="4"/>
        <v>1150649.7475790177</v>
      </c>
      <c r="G26" s="117">
        <f t="shared" si="1"/>
        <v>2.0473736080155267E-3</v>
      </c>
      <c r="H26" s="168">
        <v>50.448401904037517</v>
      </c>
      <c r="I26" s="150">
        <f t="shared" si="5"/>
        <v>2410202.3299155138</v>
      </c>
      <c r="J26" s="117">
        <f t="shared" si="2"/>
        <v>1.7364614166342945E-3</v>
      </c>
      <c r="K26" s="151">
        <f t="shared" si="6"/>
        <v>55.357460883340906</v>
      </c>
      <c r="M26">
        <v>1259552.5823364961</v>
      </c>
      <c r="P26">
        <v>1150649.7475790177</v>
      </c>
    </row>
    <row r="27" spans="2:16" x14ac:dyDescent="0.2">
      <c r="B27" s="123" t="s">
        <v>324</v>
      </c>
      <c r="C27" s="167">
        <f t="shared" si="3"/>
        <v>557656.43362765445</v>
      </c>
      <c r="D27" s="117">
        <f t="shared" si="0"/>
        <v>6.7514202526224596E-4</v>
      </c>
      <c r="E27" s="168">
        <v>44.894063595818764</v>
      </c>
      <c r="F27" s="167">
        <f t="shared" si="4"/>
        <v>0</v>
      </c>
      <c r="G27" s="117">
        <f t="shared" si="1"/>
        <v>0</v>
      </c>
      <c r="H27" s="168"/>
      <c r="I27" s="150">
        <f t="shared" si="5"/>
        <v>557656.43362765445</v>
      </c>
      <c r="J27" s="117">
        <f t="shared" si="2"/>
        <v>4.0177078443296062E-4</v>
      </c>
      <c r="K27" s="151">
        <f t="shared" si="6"/>
        <v>44.894063595818764</v>
      </c>
      <c r="M27">
        <v>557656.43362765445</v>
      </c>
      <c r="P27">
        <v>0</v>
      </c>
    </row>
    <row r="28" spans="2:16" x14ac:dyDescent="0.2">
      <c r="B28" s="123" t="s">
        <v>325</v>
      </c>
      <c r="C28" s="167">
        <f t="shared" si="3"/>
        <v>0</v>
      </c>
      <c r="D28" s="117">
        <f t="shared" si="0"/>
        <v>0</v>
      </c>
      <c r="E28" s="168"/>
      <c r="F28" s="167">
        <f t="shared" si="4"/>
        <v>0</v>
      </c>
      <c r="G28" s="117">
        <f t="shared" si="1"/>
        <v>0</v>
      </c>
      <c r="H28" s="168">
        <v>7.0000000000000009</v>
      </c>
      <c r="I28" s="150">
        <f t="shared" si="5"/>
        <v>0</v>
      </c>
      <c r="J28" s="117">
        <f t="shared" si="2"/>
        <v>0</v>
      </c>
      <c r="K28" s="151" t="str">
        <f t="shared" si="6"/>
        <v/>
      </c>
      <c r="M28">
        <v>0</v>
      </c>
      <c r="P28">
        <v>0</v>
      </c>
    </row>
    <row r="29" spans="2:16" x14ac:dyDescent="0.2">
      <c r="B29" s="5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2:16" x14ac:dyDescent="0.2">
      <c r="B30" s="119" t="s">
        <v>326</v>
      </c>
      <c r="C30" s="120">
        <f>+SUM(C31:C41)</f>
        <v>602991850.27624094</v>
      </c>
      <c r="D30" s="121">
        <f>C30/C$9</f>
        <v>0.35565526193700958</v>
      </c>
      <c r="E30" s="122">
        <f>SUMPRODUCT(D31:D41,E31:E41)</f>
        <v>26.665261151634745</v>
      </c>
      <c r="F30" s="120">
        <f>+SUM(F31:F41)</f>
        <v>32743774.894127116</v>
      </c>
      <c r="G30" s="121">
        <f>F30/F$9</f>
        <v>5.3781603468508209E-2</v>
      </c>
      <c r="H30" s="122">
        <f>SUMPRODUCT(G31:G41,H31:H41)</f>
        <v>51.467198329180235</v>
      </c>
      <c r="I30" s="120">
        <f>+SUM(I31:I41)</f>
        <v>635735625.17036819</v>
      </c>
      <c r="J30" s="121">
        <f>I30/I$9</f>
        <v>0.27589486791773538</v>
      </c>
      <c r="K30" s="122">
        <f>SUMPRODUCT(J31:J41,K31:K41)</f>
        <v>27.942693177977763</v>
      </c>
    </row>
    <row r="31" spans="2:16" x14ac:dyDescent="0.2">
      <c r="B31" s="123" t="s">
        <v>327</v>
      </c>
      <c r="C31" s="167">
        <f>M31</f>
        <v>75623796.243104562</v>
      </c>
      <c r="D31" s="117">
        <f t="shared" ref="D31:D41" si="7">IF(C31="","",C31/C$30)</f>
        <v>0.12541429242942503</v>
      </c>
      <c r="E31" s="168">
        <v>28.863239950690573</v>
      </c>
      <c r="F31" s="167">
        <f>P31</f>
        <v>0</v>
      </c>
      <c r="G31" s="117">
        <f>IF(F31="","",F31/F$30)</f>
        <v>0</v>
      </c>
      <c r="H31" s="168">
        <v>28.95000000000001</v>
      </c>
      <c r="I31" s="150">
        <f t="shared" ref="I31:I41" si="8">+C31+F31</f>
        <v>75623796.243104562</v>
      </c>
      <c r="J31" s="117">
        <f>IF(I31="","",I31/I$30)</f>
        <v>0.118954787570444</v>
      </c>
      <c r="K31" s="151">
        <f t="shared" ref="K31:K41" si="9">IF(SUM(C31,F31)=0,"",(C31/SUM(C31,F31)*E31)+(F31/SUM(C31,F31)*H31))</f>
        <v>28.863239950690573</v>
      </c>
      <c r="M31">
        <v>75623796.243104562</v>
      </c>
      <c r="P31">
        <v>0</v>
      </c>
    </row>
    <row r="32" spans="2:16" x14ac:dyDescent="0.2">
      <c r="B32" s="123" t="s">
        <v>328</v>
      </c>
      <c r="C32" s="167">
        <f t="shared" ref="C32:C41" si="10">M32</f>
        <v>0</v>
      </c>
      <c r="D32" s="117">
        <f t="shared" si="7"/>
        <v>0</v>
      </c>
      <c r="E32" s="168">
        <v>12.918206524497204</v>
      </c>
      <c r="F32" s="167">
        <f t="shared" ref="F32:F41" si="11">P32</f>
        <v>0</v>
      </c>
      <c r="G32" s="117">
        <f t="shared" ref="G32:G41" si="12">IF(F32="","",F32/F$30)</f>
        <v>0</v>
      </c>
      <c r="H32" s="168">
        <v>9.5</v>
      </c>
      <c r="I32" s="150">
        <f t="shared" si="8"/>
        <v>0</v>
      </c>
      <c r="J32" s="117">
        <f t="shared" ref="J32:J41" si="13">IF(I32="","",I32/I$30)</f>
        <v>0</v>
      </c>
      <c r="K32" s="151" t="str">
        <f t="shared" si="9"/>
        <v/>
      </c>
      <c r="M32">
        <v>0</v>
      </c>
      <c r="P32">
        <v>0</v>
      </c>
    </row>
    <row r="33" spans="2:16" x14ac:dyDescent="0.2">
      <c r="B33" s="123" t="s">
        <v>329</v>
      </c>
      <c r="C33" s="167">
        <f t="shared" si="10"/>
        <v>14839626.383774562</v>
      </c>
      <c r="D33" s="117">
        <f t="shared" si="7"/>
        <v>2.4609994939361574E-2</v>
      </c>
      <c r="E33" s="168">
        <v>13.959431794979418</v>
      </c>
      <c r="F33" s="167">
        <f t="shared" si="11"/>
        <v>0</v>
      </c>
      <c r="G33" s="117">
        <f t="shared" si="12"/>
        <v>0</v>
      </c>
      <c r="H33" s="168">
        <v>6.6618081846385637</v>
      </c>
      <c r="I33" s="150">
        <f t="shared" si="8"/>
        <v>14839626.383774562</v>
      </c>
      <c r="J33" s="117">
        <f t="shared" si="13"/>
        <v>2.3342448961858556E-2</v>
      </c>
      <c r="K33" s="151">
        <f t="shared" si="9"/>
        <v>13.959431794979418</v>
      </c>
      <c r="M33">
        <v>14839626.383774562</v>
      </c>
      <c r="P33">
        <v>0</v>
      </c>
    </row>
    <row r="34" spans="2:16" x14ac:dyDescent="0.2">
      <c r="B34" s="123" t="s">
        <v>330</v>
      </c>
      <c r="C34" s="167">
        <f t="shared" si="10"/>
        <v>308361162.4515177</v>
      </c>
      <c r="D34" s="117">
        <f t="shared" si="7"/>
        <v>0.51138529038203773</v>
      </c>
      <c r="E34" s="168">
        <v>19.346750966034605</v>
      </c>
      <c r="F34" s="167">
        <f t="shared" si="11"/>
        <v>659052.26189903542</v>
      </c>
      <c r="G34" s="117">
        <f t="shared" si="12"/>
        <v>2.0127559025494103E-2</v>
      </c>
      <c r="H34" s="168">
        <v>7.6914488451342571</v>
      </c>
      <c r="I34" s="150">
        <f t="shared" si="8"/>
        <v>309020214.71341676</v>
      </c>
      <c r="J34" s="117">
        <f t="shared" si="13"/>
        <v>0.48608289747896966</v>
      </c>
      <c r="K34" s="151">
        <f t="shared" si="9"/>
        <v>19.32189352027488</v>
      </c>
      <c r="M34">
        <v>308361162.4515177</v>
      </c>
      <c r="P34">
        <v>659052.26189903542</v>
      </c>
    </row>
    <row r="35" spans="2:16" x14ac:dyDescent="0.2">
      <c r="B35" s="123" t="s">
        <v>331</v>
      </c>
      <c r="C35" s="167">
        <f t="shared" si="10"/>
        <v>1556975.373224789</v>
      </c>
      <c r="D35" s="117">
        <f t="shared" si="7"/>
        <v>2.5820836094410096E-3</v>
      </c>
      <c r="E35" s="168">
        <v>14.424585557546418</v>
      </c>
      <c r="F35" s="167">
        <f t="shared" si="11"/>
        <v>375178.26843708329</v>
      </c>
      <c r="G35" s="117">
        <f t="shared" si="12"/>
        <v>1.1458002922698288E-2</v>
      </c>
      <c r="H35" s="168">
        <v>7.4463317310566852</v>
      </c>
      <c r="I35" s="150">
        <f t="shared" si="8"/>
        <v>1932153.6416618724</v>
      </c>
      <c r="J35" s="117">
        <f t="shared" si="13"/>
        <v>3.0392407868350658E-3</v>
      </c>
      <c r="K35" s="151">
        <f t="shared" si="9"/>
        <v>13.069574687352361</v>
      </c>
      <c r="M35">
        <v>1556975.373224789</v>
      </c>
      <c r="P35">
        <v>375178.26843708329</v>
      </c>
    </row>
    <row r="36" spans="2:16" x14ac:dyDescent="0.2">
      <c r="B36" s="123" t="s">
        <v>332</v>
      </c>
      <c r="C36" s="167">
        <f t="shared" si="10"/>
        <v>71149013.703732908</v>
      </c>
      <c r="D36" s="117">
        <f t="shared" si="7"/>
        <v>0.11799332556673581</v>
      </c>
      <c r="E36" s="168">
        <v>11.746034718780729</v>
      </c>
      <c r="F36" s="167">
        <f t="shared" si="11"/>
        <v>0</v>
      </c>
      <c r="G36" s="117">
        <f t="shared" si="12"/>
        <v>0</v>
      </c>
      <c r="H36" s="168">
        <v>5.6655846943835302</v>
      </c>
      <c r="I36" s="150">
        <f t="shared" si="8"/>
        <v>71149013.703732908</v>
      </c>
      <c r="J36" s="117">
        <f t="shared" si="13"/>
        <v>0.11191604007509565</v>
      </c>
      <c r="K36" s="151">
        <f t="shared" si="9"/>
        <v>11.746034718780729</v>
      </c>
      <c r="M36">
        <v>71149013.703732908</v>
      </c>
      <c r="P36">
        <v>0</v>
      </c>
    </row>
    <row r="37" spans="2:16" x14ac:dyDescent="0.2">
      <c r="B37" s="123" t="s">
        <v>333</v>
      </c>
      <c r="C37" s="167">
        <f t="shared" si="10"/>
        <v>21699038.882644169</v>
      </c>
      <c r="D37" s="117">
        <f t="shared" si="7"/>
        <v>3.5985625465258721E-2</v>
      </c>
      <c r="E37" s="168">
        <v>17.843504008797666</v>
      </c>
      <c r="F37" s="167">
        <f t="shared" si="11"/>
        <v>0</v>
      </c>
      <c r="G37" s="117">
        <f t="shared" si="12"/>
        <v>0</v>
      </c>
      <c r="H37" s="168">
        <v>9</v>
      </c>
      <c r="I37" s="150">
        <f t="shared" si="8"/>
        <v>21699038.882644169</v>
      </c>
      <c r="J37" s="117">
        <f t="shared" si="13"/>
        <v>3.413217385265948E-2</v>
      </c>
      <c r="K37" s="151">
        <f t="shared" si="9"/>
        <v>17.843504008797666</v>
      </c>
      <c r="M37">
        <v>21699038.882644169</v>
      </c>
      <c r="P37">
        <v>0</v>
      </c>
    </row>
    <row r="38" spans="2:16" x14ac:dyDescent="0.2">
      <c r="B38" s="123" t="s">
        <v>334</v>
      </c>
      <c r="C38" s="167">
        <f t="shared" si="10"/>
        <v>53460982.069894455</v>
      </c>
      <c r="D38" s="117">
        <f t="shared" si="7"/>
        <v>8.8659543317879105E-2</v>
      </c>
      <c r="E38" s="168">
        <v>59.212668871896405</v>
      </c>
      <c r="F38" s="167">
        <f t="shared" si="11"/>
        <v>8032289.2832583329</v>
      </c>
      <c r="G38" s="117">
        <f t="shared" si="12"/>
        <v>0.24530736939249465</v>
      </c>
      <c r="H38" s="168">
        <v>54.85963215304141</v>
      </c>
      <c r="I38" s="150">
        <f t="shared" si="8"/>
        <v>61493271.353152789</v>
      </c>
      <c r="J38" s="117">
        <f t="shared" si="13"/>
        <v>9.6727741719167398E-2</v>
      </c>
      <c r="K38" s="151">
        <f t="shared" si="9"/>
        <v>58.64407251302508</v>
      </c>
      <c r="M38">
        <v>53460982.069894455</v>
      </c>
      <c r="P38">
        <v>8032289.2832583329</v>
      </c>
    </row>
    <row r="39" spans="2:16" x14ac:dyDescent="0.2">
      <c r="B39" s="123" t="s">
        <v>335</v>
      </c>
      <c r="C39" s="167">
        <f t="shared" si="10"/>
        <v>33392509.592843894</v>
      </c>
      <c r="D39" s="117">
        <f t="shared" si="7"/>
        <v>5.5378044624560363E-2</v>
      </c>
      <c r="E39" s="168">
        <v>58.734231773153674</v>
      </c>
      <c r="F39" s="167">
        <f t="shared" si="11"/>
        <v>10509287.388648266</v>
      </c>
      <c r="G39" s="117">
        <f t="shared" si="12"/>
        <v>0.32095527844998711</v>
      </c>
      <c r="H39" s="168">
        <v>55.209571857279165</v>
      </c>
      <c r="I39" s="150">
        <f t="shared" si="8"/>
        <v>43901796.981492162</v>
      </c>
      <c r="J39" s="117">
        <f t="shared" si="13"/>
        <v>6.9056688414664669E-2</v>
      </c>
      <c r="K39" s="151">
        <f t="shared" si="9"/>
        <v>57.890492642867287</v>
      </c>
      <c r="M39">
        <v>33392509.592843894</v>
      </c>
      <c r="P39">
        <v>10509287.388648266</v>
      </c>
    </row>
    <row r="40" spans="2:16" x14ac:dyDescent="0.2">
      <c r="B40" s="123" t="s">
        <v>336</v>
      </c>
      <c r="C40" s="167">
        <f t="shared" si="10"/>
        <v>1437129.2464697815</v>
      </c>
      <c r="D40" s="117">
        <f t="shared" si="7"/>
        <v>2.3833311276286865E-3</v>
      </c>
      <c r="E40" s="168">
        <v>58.639242826573678</v>
      </c>
      <c r="F40" s="167">
        <f t="shared" si="11"/>
        <v>0</v>
      </c>
      <c r="G40" s="117">
        <f t="shared" si="12"/>
        <v>0</v>
      </c>
      <c r="H40" s="168">
        <v>59.999999999999993</v>
      </c>
      <c r="I40" s="150">
        <f t="shared" si="8"/>
        <v>1437129.2464697815</v>
      </c>
      <c r="J40" s="117">
        <f t="shared" si="13"/>
        <v>2.2605768649265976E-3</v>
      </c>
      <c r="K40" s="151">
        <f t="shared" si="9"/>
        <v>58.639242826573678</v>
      </c>
      <c r="M40">
        <v>1437129.2464697815</v>
      </c>
      <c r="P40">
        <v>0</v>
      </c>
    </row>
    <row r="41" spans="2:16" x14ac:dyDescent="0.2">
      <c r="B41" s="123" t="s">
        <v>337</v>
      </c>
      <c r="C41" s="167">
        <f t="shared" si="10"/>
        <v>21471616.329034265</v>
      </c>
      <c r="D41" s="117">
        <f t="shared" si="7"/>
        <v>3.5608468537672189E-2</v>
      </c>
      <c r="E41" s="168">
        <v>58.996984626905693</v>
      </c>
      <c r="F41" s="167">
        <f t="shared" si="11"/>
        <v>13167967.691884397</v>
      </c>
      <c r="G41" s="117">
        <f t="shared" si="12"/>
        <v>0.40215179020932579</v>
      </c>
      <c r="H41" s="168">
        <v>49.856280832478895</v>
      </c>
      <c r="I41" s="150">
        <f t="shared" si="8"/>
        <v>34639584.02091866</v>
      </c>
      <c r="J41" s="117">
        <f t="shared" si="13"/>
        <v>5.4487404275379001E-2</v>
      </c>
      <c r="K41" s="151">
        <f t="shared" si="9"/>
        <v>55.522217372962643</v>
      </c>
      <c r="M41">
        <v>21471616.329034265</v>
      </c>
      <c r="P41">
        <v>13167967.691884397</v>
      </c>
    </row>
    <row r="42" spans="2:16" x14ac:dyDescent="0.2">
      <c r="B42" s="5"/>
      <c r="C42" s="116"/>
      <c r="D42" s="117"/>
      <c r="E42" s="118"/>
      <c r="F42" s="116"/>
      <c r="G42" s="117"/>
      <c r="H42" s="118"/>
      <c r="I42" s="116"/>
      <c r="J42" s="117"/>
      <c r="K42" s="118"/>
    </row>
    <row r="43" spans="2:16" x14ac:dyDescent="0.2">
      <c r="B43" s="119" t="s">
        <v>338</v>
      </c>
      <c r="C43" s="120">
        <f>+SUM(C44:C47)</f>
        <v>266463400.46632168</v>
      </c>
      <c r="D43" s="121">
        <f>C43/C$9</f>
        <v>0.15716482809188972</v>
      </c>
      <c r="E43" s="122">
        <f>SUMPRODUCT(D44:D47,E44:E47)</f>
        <v>11.62268414706298</v>
      </c>
      <c r="F43" s="120">
        <f>+SUM(F44:F47)</f>
        <v>14072169.251780262</v>
      </c>
      <c r="G43" s="121">
        <f>F43/F$9</f>
        <v>2.3113517885096472E-2</v>
      </c>
      <c r="H43" s="122">
        <f>SUMPRODUCT(G44:G47,H44:H47)</f>
        <v>7.7455889244788221</v>
      </c>
      <c r="I43" s="120">
        <f>+SUM(I44:I47)</f>
        <v>280535569.71810192</v>
      </c>
      <c r="J43" s="121">
        <f>I43/I$9</f>
        <v>0.12174608577718248</v>
      </c>
      <c r="K43" s="122">
        <f>SUMPRODUCT(J44:J47,K44:K47)</f>
        <v>11.428202070396919</v>
      </c>
    </row>
    <row r="44" spans="2:16" x14ac:dyDescent="0.2">
      <c r="B44" s="123" t="s">
        <v>339</v>
      </c>
      <c r="C44" s="167">
        <f>M44</f>
        <v>245811046.06703129</v>
      </c>
      <c r="D44" s="117">
        <f>IF(C44="","",C44/C$43)</f>
        <v>0.92249459264143618</v>
      </c>
      <c r="E44" s="168">
        <v>11.559844778973996</v>
      </c>
      <c r="F44" s="167">
        <f>P44</f>
        <v>13821063.940953616</v>
      </c>
      <c r="G44" s="117">
        <f>IF(F44="","",F44/F$43)</f>
        <v>0.98215589179366369</v>
      </c>
      <c r="H44" s="168">
        <v>7.6864617901158194</v>
      </c>
      <c r="I44" s="150">
        <f t="shared" ref="I44:I47" si="14">+C44+F44</f>
        <v>259632110.00798491</v>
      </c>
      <c r="J44" s="117">
        <f>IF(I44="","",I44/I$43)</f>
        <v>0.92548731082079183</v>
      </c>
      <c r="K44" s="151">
        <f t="shared" ref="K44:K47" si="15">IF(SUM(C44,F44)=0,"",(C44/SUM(C44,F44)*E44)+(F44/SUM(C44,F44)*H44))</f>
        <v>11.353651970406657</v>
      </c>
      <c r="M44">
        <v>245811046.06703129</v>
      </c>
      <c r="P44">
        <v>13821063.940953616</v>
      </c>
    </row>
    <row r="45" spans="2:16" x14ac:dyDescent="0.2">
      <c r="B45" s="123" t="s">
        <v>340</v>
      </c>
      <c r="C45" s="167">
        <f t="shared" ref="C45:C47" si="16">M45</f>
        <v>18159588.111912604</v>
      </c>
      <c r="D45" s="117">
        <f>IF(C45="","",C45/C$43)</f>
        <v>6.8150402945142158E-2</v>
      </c>
      <c r="E45" s="168">
        <v>12.271257538714192</v>
      </c>
      <c r="F45" s="167">
        <f t="shared" ref="F45:F47" si="17">P45</f>
        <v>0</v>
      </c>
      <c r="G45" s="117">
        <f>IF(F45="","",F45/F$43)</f>
        <v>0</v>
      </c>
      <c r="H45" s="168">
        <v>7.5497862075082809</v>
      </c>
      <c r="I45" s="150">
        <f t="shared" si="14"/>
        <v>18159588.111912604</v>
      </c>
      <c r="J45" s="117">
        <f>IF(I45="","",I45/I$43)</f>
        <v>6.4731856035797494E-2</v>
      </c>
      <c r="K45" s="151">
        <f t="shared" si="15"/>
        <v>12.271257538714192</v>
      </c>
      <c r="M45">
        <v>18159588.111912604</v>
      </c>
      <c r="P45">
        <v>0</v>
      </c>
    </row>
    <row r="46" spans="2:16" x14ac:dyDescent="0.2">
      <c r="B46" s="123" t="s">
        <v>341</v>
      </c>
      <c r="C46" s="167">
        <f t="shared" si="16"/>
        <v>2488136.7145443661</v>
      </c>
      <c r="D46" s="117">
        <f>IF(C46="","",C46/C$43)</f>
        <v>9.3376302718873455E-3</v>
      </c>
      <c r="E46" s="168">
        <v>13.094219779185918</v>
      </c>
      <c r="F46" s="167">
        <f t="shared" si="17"/>
        <v>251105.31082664549</v>
      </c>
      <c r="G46" s="117">
        <f>IF(F46="","",F46/F$43)</f>
        <v>1.7844108206336296E-2</v>
      </c>
      <c r="H46" s="168">
        <v>11</v>
      </c>
      <c r="I46" s="150">
        <f t="shared" si="14"/>
        <v>2739242.0253710118</v>
      </c>
      <c r="J46" s="117">
        <f>IF(I46="","",I46/I$43)</f>
        <v>9.7643305200961067E-3</v>
      </c>
      <c r="K46" s="151">
        <f t="shared" si="15"/>
        <v>12.902243420864471</v>
      </c>
      <c r="M46">
        <v>2488136.7145443661</v>
      </c>
      <c r="P46">
        <v>251105.31082664549</v>
      </c>
    </row>
    <row r="47" spans="2:16" x14ac:dyDescent="0.2">
      <c r="B47" s="123" t="s">
        <v>342</v>
      </c>
      <c r="C47" s="167">
        <f t="shared" si="16"/>
        <v>4629.5728334298583</v>
      </c>
      <c r="D47" s="117">
        <f>IF(C47="","",C47/C$43)</f>
        <v>1.7374141534364266E-5</v>
      </c>
      <c r="E47" s="168">
        <v>13.221820532408014</v>
      </c>
      <c r="F47" s="167">
        <f t="shared" si="17"/>
        <v>0</v>
      </c>
      <c r="G47" s="117">
        <f>IF(F47="","",F47/F$43)</f>
        <v>0</v>
      </c>
      <c r="H47" s="168">
        <v>7.2577095727871708</v>
      </c>
      <c r="I47" s="150">
        <f t="shared" si="14"/>
        <v>4629.5728334298583</v>
      </c>
      <c r="J47" s="117">
        <f>IF(I47="","",I47/I$43)</f>
        <v>1.6502623314690239E-5</v>
      </c>
      <c r="K47" s="151">
        <f t="shared" si="15"/>
        <v>13.221820532408014</v>
      </c>
      <c r="M47">
        <v>4629.5728334298583</v>
      </c>
      <c r="P47">
        <v>0</v>
      </c>
    </row>
    <row r="48" spans="2:16" x14ac:dyDescent="0.2">
      <c r="B48" s="5"/>
      <c r="C48" s="169"/>
      <c r="D48" s="27"/>
      <c r="E48" s="27"/>
      <c r="F48" s="169"/>
      <c r="G48" s="27"/>
      <c r="H48" s="170"/>
      <c r="I48" s="27"/>
      <c r="J48" s="27"/>
      <c r="K48" s="170"/>
    </row>
    <row r="73" spans="13:14" x14ac:dyDescent="0.2">
      <c r="M73" s="5"/>
      <c r="N73" s="5"/>
    </row>
  </sheetData>
  <mergeCells count="4">
    <mergeCell ref="B7:B8"/>
    <mergeCell ref="C7:E8"/>
    <mergeCell ref="F7:H8"/>
    <mergeCell ref="I7:K8"/>
  </mergeCells>
  <phoneticPr fontId="8" type="noConversion"/>
  <pageMargins left="0.75" right="0.75" top="1" bottom="1" header="0.5" footer="0.5"/>
  <pageSetup scale="5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L52"/>
  <sheetViews>
    <sheetView showGridLines="0" workbookViewId="0">
      <selection activeCell="B5" sqref="B5"/>
    </sheetView>
  </sheetViews>
  <sheetFormatPr baseColWidth="10" defaultRowHeight="16" x14ac:dyDescent="0.2"/>
  <cols>
    <col min="1" max="1" width="3.83203125" style="5" customWidth="1"/>
    <col min="2" max="2" width="57.83203125" style="5" bestFit="1" customWidth="1"/>
    <col min="3" max="6" width="15.83203125" style="5" customWidth="1"/>
    <col min="7" max="7" width="10.83203125" style="5"/>
    <col min="8" max="8" width="57.83203125" style="5" bestFit="1" customWidth="1"/>
    <col min="9" max="12" width="15.83203125" style="5" customWidth="1"/>
    <col min="13" max="13" width="10.83203125" style="5"/>
    <col min="14" max="14" width="15.33203125" style="5" bestFit="1" customWidth="1"/>
    <col min="15" max="15" width="13.83203125" style="5" bestFit="1" customWidth="1"/>
    <col min="16" max="16" width="15.33203125" style="5" bestFit="1" customWidth="1"/>
    <col min="17" max="17" width="13.83203125" style="5" bestFit="1" customWidth="1"/>
    <col min="18" max="16384" width="10.83203125" style="5"/>
  </cols>
  <sheetData>
    <row r="2" spans="2:12" x14ac:dyDescent="0.2">
      <c r="B2" s="51" t="s">
        <v>382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2:12" x14ac:dyDescent="0.2">
      <c r="B3" s="51" t="s">
        <v>346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</row>
    <row r="4" spans="2:12" x14ac:dyDescent="0.2">
      <c r="B4" s="51" t="s">
        <v>369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2:12" x14ac:dyDescent="0.2">
      <c r="B5" s="51" t="s">
        <v>301</v>
      </c>
      <c r="C5" s="177"/>
      <c r="D5" s="177"/>
      <c r="E5" s="177"/>
      <c r="F5" s="177"/>
      <c r="G5" s="177"/>
      <c r="H5" s="177"/>
      <c r="I5" s="177"/>
      <c r="J5" s="177"/>
      <c r="K5" s="177"/>
      <c r="L5" s="177"/>
    </row>
    <row r="6" spans="2:12" x14ac:dyDescent="0.2">
      <c r="B6" s="51"/>
      <c r="C6" s="177"/>
      <c r="D6" s="177"/>
      <c r="E6" s="177"/>
      <c r="F6" s="177"/>
      <c r="G6" s="177"/>
      <c r="H6" s="177"/>
      <c r="I6" s="177"/>
      <c r="J6" s="177"/>
      <c r="K6" s="177"/>
      <c r="L6" s="177"/>
    </row>
    <row r="7" spans="2:12" x14ac:dyDescent="0.2">
      <c r="B7" s="181"/>
      <c r="C7" s="276" t="s">
        <v>239</v>
      </c>
      <c r="D7" s="274" t="s">
        <v>173</v>
      </c>
      <c r="E7" s="274" t="s">
        <v>240</v>
      </c>
      <c r="F7" s="274" t="s">
        <v>174</v>
      </c>
      <c r="H7" s="181"/>
      <c r="I7" s="276" t="s">
        <v>239</v>
      </c>
      <c r="J7" s="274" t="s">
        <v>173</v>
      </c>
      <c r="K7" s="274" t="s">
        <v>240</v>
      </c>
      <c r="L7" s="274" t="s">
        <v>174</v>
      </c>
    </row>
    <row r="8" spans="2:12" x14ac:dyDescent="0.2">
      <c r="B8" s="182"/>
      <c r="C8" s="277"/>
      <c r="D8" s="275"/>
      <c r="E8" s="275"/>
      <c r="F8" s="275"/>
      <c r="H8" s="182"/>
      <c r="I8" s="277"/>
      <c r="J8" s="275"/>
      <c r="K8" s="275"/>
      <c r="L8" s="275"/>
    </row>
    <row r="9" spans="2:12" x14ac:dyDescent="0.2">
      <c r="B9" s="183" t="s">
        <v>343</v>
      </c>
      <c r="C9" s="184">
        <f>SUM(C10:C28)</f>
        <v>14002416633.342426</v>
      </c>
      <c r="D9" s="184">
        <f>SUM(D10:D28)</f>
        <v>3942599325.9222646</v>
      </c>
      <c r="E9" s="184">
        <f>SUM(E10:E28)</f>
        <v>5093603611.2952356</v>
      </c>
      <c r="F9" s="184">
        <f>SUM(F10:F28)</f>
        <v>2304267672.5684071</v>
      </c>
      <c r="H9" s="183" t="s">
        <v>347</v>
      </c>
      <c r="I9" s="185">
        <f>SUM(I10:I28)</f>
        <v>2677164</v>
      </c>
      <c r="J9" s="185">
        <f>SUM(J10:J28)</f>
        <v>680584</v>
      </c>
      <c r="K9" s="185">
        <f>SUM(K10:K28)</f>
        <v>536331</v>
      </c>
      <c r="L9" s="185">
        <f>SUM(L10:L28)</f>
        <v>585092</v>
      </c>
    </row>
    <row r="10" spans="2:12" x14ac:dyDescent="0.2">
      <c r="B10" s="5" t="s">
        <v>348</v>
      </c>
      <c r="C10" s="178">
        <v>359513744.71297413</v>
      </c>
      <c r="D10" s="178">
        <v>74156596.668327808</v>
      </c>
      <c r="E10" s="178">
        <v>165384766.80934399</v>
      </c>
      <c r="F10" s="178">
        <v>54658784.478389636</v>
      </c>
      <c r="H10" s="5" t="s">
        <v>348</v>
      </c>
      <c r="I10" s="179">
        <v>19423</v>
      </c>
      <c r="J10" s="179">
        <v>1477</v>
      </c>
      <c r="K10" s="179">
        <v>5668</v>
      </c>
      <c r="L10" s="179">
        <v>1025</v>
      </c>
    </row>
    <row r="11" spans="2:12" x14ac:dyDescent="0.2">
      <c r="B11" s="5" t="s">
        <v>349</v>
      </c>
      <c r="C11" s="178">
        <v>1796442.6932601151</v>
      </c>
      <c r="D11" s="178">
        <v>387899.49054022587</v>
      </c>
      <c r="E11" s="178">
        <v>581595.50787240209</v>
      </c>
      <c r="F11" s="178">
        <v>636903.89846977359</v>
      </c>
      <c r="H11" s="5" t="s">
        <v>349</v>
      </c>
      <c r="I11" s="179">
        <v>318</v>
      </c>
      <c r="J11" s="179">
        <v>7</v>
      </c>
      <c r="K11" s="179">
        <v>52</v>
      </c>
      <c r="L11" s="179">
        <v>27</v>
      </c>
    </row>
    <row r="12" spans="2:12" x14ac:dyDescent="0.2">
      <c r="B12" s="5" t="s">
        <v>350</v>
      </c>
      <c r="C12" s="178">
        <v>27215441.173539188</v>
      </c>
      <c r="D12" s="178">
        <v>2476119.2287489399</v>
      </c>
      <c r="E12" s="178">
        <v>11165113.22713656</v>
      </c>
      <c r="F12" s="178">
        <v>5090427.0811406756</v>
      </c>
      <c r="H12" s="5" t="s">
        <v>350</v>
      </c>
      <c r="I12" s="179">
        <v>384</v>
      </c>
      <c r="J12" s="179">
        <v>66</v>
      </c>
      <c r="K12" s="179">
        <v>148</v>
      </c>
      <c r="L12" s="179">
        <v>97</v>
      </c>
    </row>
    <row r="13" spans="2:12" x14ac:dyDescent="0.2">
      <c r="B13" s="5" t="s">
        <v>351</v>
      </c>
      <c r="C13" s="178">
        <v>1063285122.4425129</v>
      </c>
      <c r="D13" s="178">
        <v>373335210.28970957</v>
      </c>
      <c r="E13" s="178">
        <v>320460609.68631595</v>
      </c>
      <c r="F13" s="178">
        <v>155519487.94547918</v>
      </c>
      <c r="H13" s="5" t="s">
        <v>351</v>
      </c>
      <c r="I13" s="179">
        <v>20723</v>
      </c>
      <c r="J13" s="179">
        <v>4952</v>
      </c>
      <c r="K13" s="179">
        <v>3712</v>
      </c>
      <c r="L13" s="179">
        <v>2448</v>
      </c>
    </row>
    <row r="14" spans="2:12" x14ac:dyDescent="0.2">
      <c r="B14" s="5" t="s">
        <v>352</v>
      </c>
      <c r="C14" s="178">
        <v>253707870.01437297</v>
      </c>
      <c r="D14" s="178">
        <v>72692454.200609162</v>
      </c>
      <c r="E14" s="178">
        <v>63531615.174812958</v>
      </c>
      <c r="F14" s="178">
        <v>60377446.680507287</v>
      </c>
      <c r="H14" s="5" t="s">
        <v>352</v>
      </c>
      <c r="I14" s="179">
        <v>1480</v>
      </c>
      <c r="J14" s="179">
        <v>394</v>
      </c>
      <c r="K14" s="179">
        <v>579</v>
      </c>
      <c r="L14" s="179">
        <v>264</v>
      </c>
    </row>
    <row r="15" spans="2:12" x14ac:dyDescent="0.2">
      <c r="B15" s="5" t="s">
        <v>353</v>
      </c>
      <c r="C15" s="178">
        <v>697851025.81239784</v>
      </c>
      <c r="D15" s="178">
        <v>90436562.079630286</v>
      </c>
      <c r="E15" s="178">
        <v>223419566.92725226</v>
      </c>
      <c r="F15" s="178">
        <v>234441325.42992777</v>
      </c>
      <c r="H15" s="5" t="s">
        <v>353</v>
      </c>
      <c r="I15" s="179">
        <v>8567</v>
      </c>
      <c r="J15" s="179">
        <v>2001</v>
      </c>
      <c r="K15" s="179">
        <v>2081</v>
      </c>
      <c r="L15" s="179">
        <v>1651</v>
      </c>
    </row>
    <row r="16" spans="2:12" x14ac:dyDescent="0.2">
      <c r="B16" s="5" t="s">
        <v>354</v>
      </c>
      <c r="C16" s="178">
        <v>2162316922.711194</v>
      </c>
      <c r="D16" s="178">
        <v>865455037.59127498</v>
      </c>
      <c r="E16" s="178">
        <v>483252390.64424229</v>
      </c>
      <c r="F16" s="178">
        <v>334598603.74765986</v>
      </c>
      <c r="H16" s="5" t="s">
        <v>354</v>
      </c>
      <c r="I16" s="179">
        <v>188817</v>
      </c>
      <c r="J16" s="179">
        <v>58239</v>
      </c>
      <c r="K16" s="179">
        <v>23697</v>
      </c>
      <c r="L16" s="179">
        <v>6763</v>
      </c>
    </row>
    <row r="17" spans="2:12" x14ac:dyDescent="0.2">
      <c r="B17" s="5" t="s">
        <v>355</v>
      </c>
      <c r="C17" s="178">
        <v>633255438.2009784</v>
      </c>
      <c r="D17" s="178">
        <v>387757103.59354037</v>
      </c>
      <c r="E17" s="178">
        <v>79037222.033336669</v>
      </c>
      <c r="F17" s="178">
        <v>115818825.67740366</v>
      </c>
      <c r="H17" s="5" t="s">
        <v>355</v>
      </c>
      <c r="I17" s="179">
        <v>14380</v>
      </c>
      <c r="J17" s="179">
        <v>1027</v>
      </c>
      <c r="K17" s="179">
        <v>1274</v>
      </c>
      <c r="L17" s="179">
        <v>763</v>
      </c>
    </row>
    <row r="18" spans="2:12" x14ac:dyDescent="0.2">
      <c r="B18" s="5" t="s">
        <v>356</v>
      </c>
      <c r="C18" s="178">
        <v>224282297.52273792</v>
      </c>
      <c r="D18" s="178">
        <v>72582159.848458916</v>
      </c>
      <c r="E18" s="178">
        <v>42635141.677457593</v>
      </c>
      <c r="F18" s="178">
        <v>53254169.132948674</v>
      </c>
      <c r="H18" s="5" t="s">
        <v>356</v>
      </c>
      <c r="I18" s="179">
        <v>18896</v>
      </c>
      <c r="J18" s="179">
        <v>2620</v>
      </c>
      <c r="K18" s="179">
        <v>2231</v>
      </c>
      <c r="L18" s="179">
        <v>1017</v>
      </c>
    </row>
    <row r="19" spans="2:12" x14ac:dyDescent="0.2">
      <c r="B19" s="5" t="s">
        <v>357</v>
      </c>
      <c r="C19" s="178">
        <v>628996163.94576383</v>
      </c>
      <c r="D19" s="178">
        <v>178116464.1419822</v>
      </c>
      <c r="E19" s="178">
        <v>391406593.30402309</v>
      </c>
      <c r="F19" s="178">
        <v>25839483.449734185</v>
      </c>
      <c r="H19" s="5" t="s">
        <v>357</v>
      </c>
      <c r="I19" s="179">
        <v>9104</v>
      </c>
      <c r="J19" s="179">
        <v>2283</v>
      </c>
      <c r="K19" s="179">
        <v>4350</v>
      </c>
      <c r="L19" s="179">
        <v>1481</v>
      </c>
    </row>
    <row r="20" spans="2:12" x14ac:dyDescent="0.2">
      <c r="B20" s="5" t="s">
        <v>358</v>
      </c>
      <c r="C20" s="178">
        <v>715151122.55741942</v>
      </c>
      <c r="D20" s="178">
        <v>205844677.91267338</v>
      </c>
      <c r="E20" s="178">
        <v>221055999.79835549</v>
      </c>
      <c r="F20" s="178">
        <v>149261736.11184338</v>
      </c>
      <c r="H20" s="5" t="s">
        <v>358</v>
      </c>
      <c r="I20" s="179">
        <v>22106</v>
      </c>
      <c r="J20" s="179">
        <v>6850</v>
      </c>
      <c r="K20" s="179">
        <v>4261</v>
      </c>
      <c r="L20" s="179">
        <v>3554</v>
      </c>
    </row>
    <row r="21" spans="2:12" x14ac:dyDescent="0.2">
      <c r="B21" s="5" t="s">
        <v>359</v>
      </c>
      <c r="C21" s="178">
        <v>1413683234.3520343</v>
      </c>
      <c r="D21" s="178">
        <v>1266533.3726360181</v>
      </c>
      <c r="E21" s="178">
        <v>1410614542.1502438</v>
      </c>
      <c r="F21" s="178">
        <v>383664.30491392605</v>
      </c>
      <c r="H21" s="5" t="s">
        <v>359</v>
      </c>
      <c r="I21" s="179">
        <v>1931</v>
      </c>
      <c r="J21" s="179">
        <v>42</v>
      </c>
      <c r="K21" s="179">
        <v>1677</v>
      </c>
      <c r="L21" s="179">
        <v>34</v>
      </c>
    </row>
    <row r="22" spans="2:12" x14ac:dyDescent="0.2">
      <c r="B22" s="5" t="s">
        <v>360</v>
      </c>
      <c r="C22" s="178">
        <v>89148784.699428752</v>
      </c>
      <c r="D22" s="178">
        <v>28664861.314266909</v>
      </c>
      <c r="E22" s="178">
        <v>10121250.318109322</v>
      </c>
      <c r="F22" s="178">
        <v>17118912.95930364</v>
      </c>
      <c r="H22" s="5" t="s">
        <v>360</v>
      </c>
      <c r="I22" s="179">
        <v>2574</v>
      </c>
      <c r="J22" s="179">
        <v>527</v>
      </c>
      <c r="K22" s="179">
        <v>779</v>
      </c>
      <c r="L22" s="179">
        <v>199</v>
      </c>
    </row>
    <row r="23" spans="2:12" x14ac:dyDescent="0.2">
      <c r="B23" s="5" t="s">
        <v>361</v>
      </c>
      <c r="C23" s="178">
        <v>146555762.73997691</v>
      </c>
      <c r="D23" s="178">
        <v>62593525.466177426</v>
      </c>
      <c r="E23" s="178">
        <v>32948531.538519263</v>
      </c>
      <c r="F23" s="178">
        <v>23508018.248426568</v>
      </c>
      <c r="H23" s="5" t="s">
        <v>361</v>
      </c>
      <c r="I23" s="179">
        <v>5806</v>
      </c>
      <c r="J23" s="179">
        <v>870</v>
      </c>
      <c r="K23" s="179">
        <v>1634</v>
      </c>
      <c r="L23" s="179">
        <v>1118</v>
      </c>
    </row>
    <row r="24" spans="2:12" x14ac:dyDescent="0.2">
      <c r="B24" s="5" t="s">
        <v>362</v>
      </c>
      <c r="C24" s="178">
        <v>396898272.43772197</v>
      </c>
      <c r="D24" s="178">
        <v>85483600.292461216</v>
      </c>
      <c r="E24" s="178">
        <v>190037513.24252915</v>
      </c>
      <c r="F24" s="178">
        <v>61995551.68663545</v>
      </c>
      <c r="H24" s="5" t="s">
        <v>362</v>
      </c>
      <c r="I24" s="179">
        <v>36157</v>
      </c>
      <c r="J24" s="179">
        <v>4719</v>
      </c>
      <c r="K24" s="179">
        <v>6129</v>
      </c>
      <c r="L24" s="179">
        <v>5929</v>
      </c>
    </row>
    <row r="25" spans="2:12" x14ac:dyDescent="0.2">
      <c r="B25" s="5" t="s">
        <v>363</v>
      </c>
      <c r="C25" s="178">
        <v>133869085.53613722</v>
      </c>
      <c r="D25" s="178">
        <v>3264556.9481670191</v>
      </c>
      <c r="E25" s="178">
        <v>17743884.55854708</v>
      </c>
      <c r="F25" s="178">
        <v>94544914.676743746</v>
      </c>
      <c r="H25" s="5" t="s">
        <v>363</v>
      </c>
      <c r="I25" s="179">
        <v>9623</v>
      </c>
      <c r="J25" s="179">
        <v>879</v>
      </c>
      <c r="K25" s="179">
        <v>1143</v>
      </c>
      <c r="L25" s="179">
        <v>6957</v>
      </c>
    </row>
    <row r="26" spans="2:12" x14ac:dyDescent="0.2">
      <c r="B26" s="5" t="s">
        <v>364</v>
      </c>
      <c r="C26" s="178">
        <v>191658911.01382068</v>
      </c>
      <c r="D26" s="178">
        <v>30795301.70385604</v>
      </c>
      <c r="E26" s="178">
        <v>106201586.55540308</v>
      </c>
      <c r="F26" s="178">
        <v>948222.17040869524</v>
      </c>
      <c r="H26" s="5" t="s">
        <v>364</v>
      </c>
      <c r="I26" s="179">
        <v>4323</v>
      </c>
      <c r="J26" s="179">
        <v>1010</v>
      </c>
      <c r="K26" s="179">
        <v>2798</v>
      </c>
      <c r="L26" s="179">
        <v>46</v>
      </c>
    </row>
    <row r="27" spans="2:12" x14ac:dyDescent="0.2">
      <c r="B27" s="5" t="s">
        <v>365</v>
      </c>
      <c r="C27" s="178">
        <v>3052841833.0218754</v>
      </c>
      <c r="D27" s="178">
        <v>782187283.4418081</v>
      </c>
      <c r="E27" s="178">
        <v>764890992.4790504</v>
      </c>
      <c r="F27" s="178">
        <v>635735625.17036879</v>
      </c>
      <c r="H27" s="5" t="s">
        <v>365</v>
      </c>
      <c r="I27" s="179">
        <v>2271674</v>
      </c>
      <c r="J27" s="179">
        <v>580689</v>
      </c>
      <c r="K27" s="179">
        <v>458375</v>
      </c>
      <c r="L27" s="179">
        <v>545396</v>
      </c>
    </row>
    <row r="28" spans="2:12" x14ac:dyDescent="0.2">
      <c r="B28" s="5" t="s">
        <v>366</v>
      </c>
      <c r="C28" s="178">
        <v>1810389157.7542825</v>
      </c>
      <c r="D28" s="178">
        <v>625103378.33739626</v>
      </c>
      <c r="E28" s="178">
        <v>559114695.6626842</v>
      </c>
      <c r="F28" s="178">
        <v>280535569.71810198</v>
      </c>
      <c r="H28" s="5" t="s">
        <v>366</v>
      </c>
      <c r="I28" s="179">
        <v>40878</v>
      </c>
      <c r="J28" s="179">
        <v>11932</v>
      </c>
      <c r="K28" s="179">
        <v>15743</v>
      </c>
      <c r="L28" s="179">
        <v>6323</v>
      </c>
    </row>
    <row r="29" spans="2:12" x14ac:dyDescent="0.2">
      <c r="C29" s="178"/>
      <c r="D29" s="178"/>
      <c r="E29" s="178"/>
      <c r="F29" s="178"/>
      <c r="I29" s="179"/>
      <c r="J29" s="179"/>
      <c r="K29" s="179"/>
      <c r="L29" s="179"/>
    </row>
    <row r="30" spans="2:12" x14ac:dyDescent="0.2">
      <c r="C30" s="178"/>
      <c r="D30" s="178"/>
      <c r="E30" s="178"/>
      <c r="F30" s="178"/>
      <c r="I30" s="179"/>
      <c r="J30" s="179"/>
      <c r="K30" s="179"/>
      <c r="L30" s="179"/>
    </row>
    <row r="31" spans="2:12" x14ac:dyDescent="0.2">
      <c r="B31" s="181"/>
      <c r="C31" s="276" t="s">
        <v>239</v>
      </c>
      <c r="D31" s="274" t="s">
        <v>173</v>
      </c>
      <c r="E31" s="274" t="s">
        <v>240</v>
      </c>
      <c r="F31" s="274" t="s">
        <v>174</v>
      </c>
      <c r="H31" s="181"/>
      <c r="I31" s="276" t="s">
        <v>239</v>
      </c>
      <c r="J31" s="274" t="s">
        <v>173</v>
      </c>
      <c r="K31" s="274" t="s">
        <v>240</v>
      </c>
      <c r="L31" s="274" t="s">
        <v>174</v>
      </c>
    </row>
    <row r="32" spans="2:12" x14ac:dyDescent="0.2">
      <c r="B32" s="182"/>
      <c r="C32" s="277"/>
      <c r="D32" s="275"/>
      <c r="E32" s="275"/>
      <c r="F32" s="275"/>
      <c r="H32" s="182"/>
      <c r="I32" s="277"/>
      <c r="J32" s="275"/>
      <c r="K32" s="275"/>
      <c r="L32" s="275"/>
    </row>
    <row r="33" spans="2:12" x14ac:dyDescent="0.2">
      <c r="B33" s="183" t="s">
        <v>367</v>
      </c>
      <c r="C33" s="186">
        <v>0.17284111096118659</v>
      </c>
      <c r="D33" s="186">
        <v>0.17347123253373301</v>
      </c>
      <c r="E33" s="186">
        <v>0.13583346994390685</v>
      </c>
      <c r="F33" s="186">
        <v>0.18757434259943045</v>
      </c>
      <c r="H33" s="183" t="s">
        <v>368</v>
      </c>
      <c r="I33" s="186">
        <v>8.3760931114337286E-2</v>
      </c>
      <c r="J33" s="186">
        <v>6.1866638009695489E-2</v>
      </c>
      <c r="K33" s="186">
        <v>8.4152160140512244E-2</v>
      </c>
      <c r="L33" s="186">
        <v>9.1078418840190828E-2</v>
      </c>
    </row>
    <row r="34" spans="2:12" x14ac:dyDescent="0.2">
      <c r="B34" s="5" t="s">
        <v>348</v>
      </c>
      <c r="C34" s="180">
        <v>0.14331648531455746</v>
      </c>
      <c r="D34" s="180">
        <v>0.14715127850893484</v>
      </c>
      <c r="E34" s="180">
        <v>0.12299359899594112</v>
      </c>
      <c r="F34" s="180">
        <v>0.14165836833256029</v>
      </c>
      <c r="H34" s="5" t="s">
        <v>348</v>
      </c>
      <c r="I34" s="180">
        <v>6.1003843663413354E-2</v>
      </c>
      <c r="J34" s="180">
        <v>5.4238517615291186E-2</v>
      </c>
      <c r="K34" s="180">
        <v>8.4720066736717767E-2</v>
      </c>
      <c r="L34" s="180">
        <v>6.7073754235471295E-2</v>
      </c>
    </row>
    <row r="35" spans="2:12" x14ac:dyDescent="0.2">
      <c r="B35" s="5" t="s">
        <v>349</v>
      </c>
      <c r="C35" s="180">
        <v>0.1482627171979902</v>
      </c>
      <c r="D35" s="180">
        <v>0.11703559655215785</v>
      </c>
      <c r="E35" s="180">
        <v>0.14465585584068211</v>
      </c>
      <c r="F35" s="180">
        <v>0.11821252630798444</v>
      </c>
      <c r="H35" s="5" t="s">
        <v>349</v>
      </c>
      <c r="I35" s="180">
        <v>0.48</v>
      </c>
      <c r="J35" s="180">
        <v>0</v>
      </c>
      <c r="K35" s="180">
        <v>0</v>
      </c>
      <c r="L35" s="180">
        <v>0.48</v>
      </c>
    </row>
    <row r="36" spans="2:12" x14ac:dyDescent="0.2">
      <c r="B36" s="5" t="s">
        <v>350</v>
      </c>
      <c r="C36" s="180">
        <v>0.1486503545632176</v>
      </c>
      <c r="D36" s="180">
        <v>0.1540075776622194</v>
      </c>
      <c r="E36" s="180">
        <v>0.15608181524528711</v>
      </c>
      <c r="F36" s="180">
        <v>0.16992445039203244</v>
      </c>
      <c r="H36" s="5" t="s">
        <v>350</v>
      </c>
      <c r="I36" s="180">
        <v>8.0008799392139396E-2</v>
      </c>
      <c r="J36" s="180">
        <v>7.0000000000000007E-2</v>
      </c>
      <c r="K36" s="180">
        <v>8.4100532611729506E-2</v>
      </c>
      <c r="L36" s="180">
        <v>7.1895180063603834E-2</v>
      </c>
    </row>
    <row r="37" spans="2:12" x14ac:dyDescent="0.2">
      <c r="B37" s="5" t="s">
        <v>351</v>
      </c>
      <c r="C37" s="180">
        <v>0.12069851453285903</v>
      </c>
      <c r="D37" s="180">
        <v>0.1198123803095751</v>
      </c>
      <c r="E37" s="180">
        <v>0.10989605716399777</v>
      </c>
      <c r="F37" s="180">
        <v>0.12944234418643458</v>
      </c>
      <c r="H37" s="5" t="s">
        <v>351</v>
      </c>
      <c r="I37" s="180">
        <v>5.9173537422938571E-2</v>
      </c>
      <c r="J37" s="180">
        <v>4.7827028946659175E-2</v>
      </c>
      <c r="K37" s="180">
        <v>6.8518100148662067E-2</v>
      </c>
      <c r="L37" s="180">
        <v>6.6663324082659348E-2</v>
      </c>
    </row>
    <row r="38" spans="2:12" x14ac:dyDescent="0.2">
      <c r="B38" s="5" t="s">
        <v>352</v>
      </c>
      <c r="C38" s="180">
        <v>0.15015179397151932</v>
      </c>
      <c r="D38" s="180">
        <v>0.17463152623617639</v>
      </c>
      <c r="E38" s="180">
        <v>0.15374408454376326</v>
      </c>
      <c r="F38" s="180">
        <v>0.1619549340366303</v>
      </c>
      <c r="H38" s="5" t="s">
        <v>352</v>
      </c>
      <c r="I38" s="180">
        <v>7.0905159793824571E-2</v>
      </c>
      <c r="J38" s="180">
        <v>6.8195777196371765E-2</v>
      </c>
      <c r="K38" s="180">
        <v>7.1506812647489051E-2</v>
      </c>
      <c r="L38" s="180">
        <v>7.1605543137633842E-2</v>
      </c>
    </row>
    <row r="39" spans="2:12" x14ac:dyDescent="0.2">
      <c r="B39" s="5" t="s">
        <v>353</v>
      </c>
      <c r="C39" s="180">
        <v>0.13988188564523715</v>
      </c>
      <c r="D39" s="180">
        <v>0.15853466731888138</v>
      </c>
      <c r="E39" s="180">
        <v>0.1249271099570381</v>
      </c>
      <c r="F39" s="180">
        <v>0.14306287938108853</v>
      </c>
      <c r="H39" s="5" t="s">
        <v>353</v>
      </c>
      <c r="I39" s="180">
        <v>7.3153088910703504E-2</v>
      </c>
      <c r="J39" s="180">
        <v>5.0930990569004395E-2</v>
      </c>
      <c r="K39" s="180">
        <v>8.9033638475210897E-2</v>
      </c>
      <c r="L39" s="180">
        <v>6.822392094319002E-2</v>
      </c>
    </row>
    <row r="40" spans="2:12" x14ac:dyDescent="0.2">
      <c r="B40" s="5" t="s">
        <v>354</v>
      </c>
      <c r="C40" s="180">
        <v>0.14651462720065841</v>
      </c>
      <c r="D40" s="180">
        <v>0.13806260520858568</v>
      </c>
      <c r="E40" s="180">
        <v>0.13380834167110639</v>
      </c>
      <c r="F40" s="180">
        <v>0.13277442920966517</v>
      </c>
      <c r="H40" s="5" t="s">
        <v>354</v>
      </c>
      <c r="I40" s="180">
        <v>5.8641222113421945E-2</v>
      </c>
      <c r="J40" s="180">
        <v>4.5194172221107595E-2</v>
      </c>
      <c r="K40" s="180">
        <v>8.3787438776527043E-2</v>
      </c>
      <c r="L40" s="180">
        <v>6.3382438337251726E-2</v>
      </c>
    </row>
    <row r="41" spans="2:12" x14ac:dyDescent="0.2">
      <c r="B41" s="5" t="s">
        <v>355</v>
      </c>
      <c r="C41" s="180">
        <v>0.17506865587300055</v>
      </c>
      <c r="D41" s="180">
        <v>0.16352625768371262</v>
      </c>
      <c r="E41" s="180">
        <v>0.13072955219461418</v>
      </c>
      <c r="F41" s="180">
        <v>0.16833526154735279</v>
      </c>
      <c r="H41" s="5" t="s">
        <v>355</v>
      </c>
      <c r="I41" s="180">
        <v>5.3081439708167144E-2</v>
      </c>
      <c r="J41" s="180">
        <v>4.705612501824042E-2</v>
      </c>
      <c r="K41" s="180">
        <v>7.4199657589903947E-2</v>
      </c>
      <c r="L41" s="180">
        <v>5.9957139518431068E-2</v>
      </c>
    </row>
    <row r="42" spans="2:12" x14ac:dyDescent="0.2">
      <c r="B42" s="5" t="s">
        <v>356</v>
      </c>
      <c r="C42" s="180">
        <v>0.17963480384455521</v>
      </c>
      <c r="D42" s="180">
        <v>0.1727104011713316</v>
      </c>
      <c r="E42" s="180">
        <v>0.15397205132267114</v>
      </c>
      <c r="F42" s="180">
        <v>0.16686654387582769</v>
      </c>
      <c r="H42" s="5" t="s">
        <v>356</v>
      </c>
      <c r="I42" s="180">
        <v>5.8908206083349596E-2</v>
      </c>
      <c r="J42" s="180">
        <v>4.9358892623876001E-2</v>
      </c>
      <c r="K42" s="180">
        <v>6.654190457215281E-2</v>
      </c>
      <c r="L42" s="180">
        <v>5.8355128791041537E-2</v>
      </c>
    </row>
    <row r="43" spans="2:12" x14ac:dyDescent="0.2">
      <c r="B43" s="5" t="s">
        <v>357</v>
      </c>
      <c r="C43" s="180">
        <v>0.11110323375555672</v>
      </c>
      <c r="D43" s="180">
        <v>0.102941604157611</v>
      </c>
      <c r="E43" s="180">
        <v>0.11487840551815097</v>
      </c>
      <c r="F43" s="180">
        <v>0.11446953089130747</v>
      </c>
      <c r="H43" s="5" t="s">
        <v>357</v>
      </c>
      <c r="I43" s="180">
        <v>7.7668278945927843E-2</v>
      </c>
      <c r="J43" s="180">
        <v>4.0170564512938399E-2</v>
      </c>
      <c r="K43" s="180">
        <v>8.051724004597817E-2</v>
      </c>
      <c r="L43" s="180">
        <v>7.735059960475503E-2</v>
      </c>
    </row>
    <row r="44" spans="2:12" x14ac:dyDescent="0.2">
      <c r="B44" s="5" t="s">
        <v>358</v>
      </c>
      <c r="C44" s="180">
        <v>0.13820145357145494</v>
      </c>
      <c r="D44" s="180">
        <v>0.14755539364717085</v>
      </c>
      <c r="E44" s="180">
        <v>0.11399249780807111</v>
      </c>
      <c r="F44" s="180">
        <v>0.13905316489361605</v>
      </c>
      <c r="H44" s="5" t="s">
        <v>358</v>
      </c>
      <c r="I44" s="180">
        <v>7.2144420264579207E-2</v>
      </c>
      <c r="J44" s="180">
        <v>5.8027062770825262E-2</v>
      </c>
      <c r="K44" s="180">
        <v>8.5804718239282152E-2</v>
      </c>
      <c r="L44" s="180">
        <v>6.6020037250043892E-2</v>
      </c>
    </row>
    <row r="45" spans="2:12" x14ac:dyDescent="0.2">
      <c r="B45" s="5" t="s">
        <v>359</v>
      </c>
      <c r="C45" s="180">
        <v>0.12416296868433539</v>
      </c>
      <c r="D45" s="180">
        <v>0.13275103438774799</v>
      </c>
      <c r="E45" s="180">
        <v>0.1239134353852412</v>
      </c>
      <c r="F45" s="180">
        <v>0.20429791925320243</v>
      </c>
      <c r="H45" s="5" t="s">
        <v>359</v>
      </c>
      <c r="I45" s="180">
        <v>8.4641522621666715E-2</v>
      </c>
      <c r="J45" s="180">
        <v>0</v>
      </c>
      <c r="K45" s="180">
        <v>8.4633976264341618E-2</v>
      </c>
      <c r="L45" s="180">
        <v>0.66</v>
      </c>
    </row>
    <row r="46" spans="2:12" x14ac:dyDescent="0.2">
      <c r="B46" s="5" t="s">
        <v>360</v>
      </c>
      <c r="C46" s="180">
        <v>0.14449108473274197</v>
      </c>
      <c r="D46" s="180">
        <v>0.13625182622351351</v>
      </c>
      <c r="E46" s="180">
        <v>0.15992672126664031</v>
      </c>
      <c r="F46" s="180">
        <v>0.13850502840770271</v>
      </c>
      <c r="H46" s="5" t="s">
        <v>360</v>
      </c>
      <c r="I46" s="180">
        <v>6.4804081631690991E-2</v>
      </c>
      <c r="J46" s="180">
        <v>7.9907547632548995E-2</v>
      </c>
      <c r="K46" s="180">
        <v>7.9249184746858742E-2</v>
      </c>
      <c r="L46" s="180">
        <v>6.3536465212941443E-2</v>
      </c>
    </row>
    <row r="47" spans="2:12" x14ac:dyDescent="0.2">
      <c r="B47" s="5" t="s">
        <v>361</v>
      </c>
      <c r="C47" s="180">
        <v>0.14790219062987317</v>
      </c>
      <c r="D47" s="180">
        <v>0.13897100770247137</v>
      </c>
      <c r="E47" s="180">
        <v>0.15478824955315174</v>
      </c>
      <c r="F47" s="180">
        <v>0.1431656762201757</v>
      </c>
      <c r="H47" s="5" t="s">
        <v>361</v>
      </c>
      <c r="I47" s="180">
        <v>6.5479569380031966E-2</v>
      </c>
      <c r="J47" s="180">
        <v>6.0763732449401732E-2</v>
      </c>
      <c r="K47" s="180">
        <v>8.2194097881770373E-2</v>
      </c>
      <c r="L47" s="180">
        <v>0.1090123891647016</v>
      </c>
    </row>
    <row r="48" spans="2:12" x14ac:dyDescent="0.2">
      <c r="B48" s="5" t="s">
        <v>362</v>
      </c>
      <c r="C48" s="180">
        <v>0.17312923956914317</v>
      </c>
      <c r="D48" s="180">
        <v>0.14917286260364193</v>
      </c>
      <c r="E48" s="180">
        <v>0.14428320539525458</v>
      </c>
      <c r="F48" s="180">
        <v>0.18279639427199537</v>
      </c>
      <c r="H48" s="5" t="s">
        <v>362</v>
      </c>
      <c r="I48" s="180">
        <v>7.2466366620886152E-2</v>
      </c>
      <c r="J48" s="180">
        <v>5.521621736466982E-2</v>
      </c>
      <c r="K48" s="180">
        <v>7.5214806827521963E-2</v>
      </c>
      <c r="L48" s="180">
        <v>0.11069588460391809</v>
      </c>
    </row>
    <row r="49" spans="2:12" x14ac:dyDescent="0.2">
      <c r="B49" s="5" t="s">
        <v>363</v>
      </c>
      <c r="C49" s="180">
        <v>0.1683268835968123</v>
      </c>
      <c r="D49" s="180">
        <v>0.16756137082125075</v>
      </c>
      <c r="E49" s="180">
        <v>0.13923627484160123</v>
      </c>
      <c r="F49" s="180">
        <v>0.17572353922557635</v>
      </c>
      <c r="H49" s="5" t="s">
        <v>363</v>
      </c>
      <c r="I49" s="180">
        <v>8.094590269658887E-2</v>
      </c>
      <c r="J49" s="180">
        <v>6.9500000000000006E-2</v>
      </c>
      <c r="K49" s="180">
        <v>6.0367821908669191E-2</v>
      </c>
      <c r="L49" s="180">
        <v>8.3565947961060219E-2</v>
      </c>
    </row>
    <row r="50" spans="2:12" x14ac:dyDescent="0.2">
      <c r="B50" s="5" t="s">
        <v>364</v>
      </c>
      <c r="C50" s="180">
        <v>0.13017483627820478</v>
      </c>
      <c r="D50" s="180">
        <v>0.17311675186601502</v>
      </c>
      <c r="E50" s="180">
        <v>0.1185402215655377</v>
      </c>
      <c r="F50" s="180">
        <v>0.21145060401798696</v>
      </c>
      <c r="H50" s="5" t="s">
        <v>364</v>
      </c>
      <c r="I50" s="180">
        <v>7.5037724401950612E-2</v>
      </c>
      <c r="J50" s="180">
        <v>7.6742091855549602E-2</v>
      </c>
      <c r="K50" s="180">
        <v>7.9196300010877421E-2</v>
      </c>
      <c r="L50" s="180">
        <v>0.09</v>
      </c>
    </row>
    <row r="51" spans="2:12" x14ac:dyDescent="0.2">
      <c r="B51" s="5" t="s">
        <v>365</v>
      </c>
      <c r="C51" s="180">
        <v>0.26911756892074484</v>
      </c>
      <c r="D51" s="180">
        <v>0.29358878710042252</v>
      </c>
      <c r="E51" s="180">
        <v>0.19034710912907246</v>
      </c>
      <c r="F51" s="180">
        <v>0.2777236089961797</v>
      </c>
      <c r="H51" s="5" t="s">
        <v>365</v>
      </c>
      <c r="I51" s="180">
        <v>0.47050320142029056</v>
      </c>
      <c r="J51" s="180">
        <v>0.40102888268059189</v>
      </c>
      <c r="K51" s="180">
        <v>0.36073700805776832</v>
      </c>
      <c r="L51" s="180">
        <v>0.52600024229772779</v>
      </c>
    </row>
    <row r="52" spans="2:12" x14ac:dyDescent="0.2">
      <c r="B52" s="5" t="s">
        <v>366</v>
      </c>
      <c r="C52" s="180">
        <v>0.11634407117183077</v>
      </c>
      <c r="D52" s="180">
        <v>0.12163725233938508</v>
      </c>
      <c r="E52" s="180">
        <v>0.1037106993591181</v>
      </c>
      <c r="F52" s="180">
        <v>0.11890635127723855</v>
      </c>
      <c r="H52" s="5" t="s">
        <v>366</v>
      </c>
      <c r="I52" s="180">
        <v>7.6435913647534645E-2</v>
      </c>
      <c r="J52" s="180">
        <v>7.4308917107624009E-2</v>
      </c>
      <c r="K52" s="180">
        <v>9.3237359144123941E-2</v>
      </c>
      <c r="L52" s="180">
        <v>8.022588291192724E-2</v>
      </c>
    </row>
  </sheetData>
  <mergeCells count="16">
    <mergeCell ref="K7:K8"/>
    <mergeCell ref="L7:L8"/>
    <mergeCell ref="C31:C32"/>
    <mergeCell ref="D31:D32"/>
    <mergeCell ref="E31:E32"/>
    <mergeCell ref="F31:F32"/>
    <mergeCell ref="I31:I32"/>
    <mergeCell ref="J31:J32"/>
    <mergeCell ref="K31:K32"/>
    <mergeCell ref="L31:L32"/>
    <mergeCell ref="C7:C8"/>
    <mergeCell ref="D7:D8"/>
    <mergeCell ref="E7:E8"/>
    <mergeCell ref="F7:F8"/>
    <mergeCell ref="I7:I8"/>
    <mergeCell ref="J7:J8"/>
  </mergeCells>
  <phoneticPr fontId="8" type="noConversion"/>
  <pageMargins left="0.75" right="0.75" top="1" bottom="1" header="0.5" footer="0.5"/>
  <pageSetup scale="4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L34"/>
  <sheetViews>
    <sheetView showGridLines="0" workbookViewId="0">
      <selection activeCell="B4" sqref="B4"/>
    </sheetView>
  </sheetViews>
  <sheetFormatPr baseColWidth="10" defaultColWidth="15.83203125" defaultRowHeight="16" x14ac:dyDescent="0.2"/>
  <cols>
    <col min="1" max="1" width="3.83203125" customWidth="1"/>
    <col min="2" max="2" width="20.83203125" customWidth="1"/>
    <col min="7" max="7" width="4.83203125" customWidth="1"/>
    <col min="8" max="8" width="20.83203125" customWidth="1"/>
  </cols>
  <sheetData>
    <row r="1" spans="2:12" s="175" customFormat="1" x14ac:dyDescent="0.2"/>
    <row r="2" spans="2:12" s="175" customFormat="1" x14ac:dyDescent="0.2">
      <c r="B2" s="51" t="s">
        <v>383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</row>
    <row r="3" spans="2:12" s="175" customFormat="1" x14ac:dyDescent="0.2">
      <c r="B3" s="51" t="s">
        <v>346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</row>
    <row r="4" spans="2:12" x14ac:dyDescent="0.2">
      <c r="B4" s="51" t="s">
        <v>301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6" spans="2:12" ht="15" customHeight="1" x14ac:dyDescent="0.2">
      <c r="B6" s="282" t="s">
        <v>386</v>
      </c>
      <c r="C6" s="280" t="s">
        <v>239</v>
      </c>
      <c r="D6" s="284" t="s">
        <v>173</v>
      </c>
      <c r="E6" s="284" t="s">
        <v>240</v>
      </c>
      <c r="F6" s="284" t="s">
        <v>174</v>
      </c>
      <c r="H6" s="282" t="s">
        <v>385</v>
      </c>
      <c r="I6" s="280" t="s">
        <v>239</v>
      </c>
      <c r="J6" s="274" t="s">
        <v>173</v>
      </c>
      <c r="K6" s="274" t="s">
        <v>240</v>
      </c>
      <c r="L6" s="278" t="s">
        <v>174</v>
      </c>
    </row>
    <row r="7" spans="2:12" x14ac:dyDescent="0.2">
      <c r="B7" s="283"/>
      <c r="C7" s="281"/>
      <c r="D7" s="285"/>
      <c r="E7" s="285"/>
      <c r="F7" s="285"/>
      <c r="H7" s="283"/>
      <c r="I7" s="281"/>
      <c r="J7" s="275"/>
      <c r="K7" s="275"/>
      <c r="L7" s="279"/>
    </row>
    <row r="8" spans="2:12" x14ac:dyDescent="0.2">
      <c r="B8" s="199" t="s">
        <v>372</v>
      </c>
      <c r="C8" s="198">
        <f>I8+C23+I23</f>
        <v>8949058077.0293636</v>
      </c>
      <c r="D8" s="198">
        <f>J8+D23+J23</f>
        <v>2217013480.2294264</v>
      </c>
      <c r="E8" s="198">
        <f>K8+E23+K23</f>
        <v>3714335508.0251031</v>
      </c>
      <c r="F8" s="198">
        <f>L8+F23+L23</f>
        <v>1256038460.3783886</v>
      </c>
      <c r="H8" s="199" t="s">
        <v>372</v>
      </c>
      <c r="I8" s="193">
        <v>4409859958.5398502</v>
      </c>
      <c r="J8" s="200">
        <v>881685834.26306248</v>
      </c>
      <c r="K8" s="200">
        <v>2449150868.5987129</v>
      </c>
      <c r="L8" s="201">
        <v>432549658.26566529</v>
      </c>
    </row>
    <row r="9" spans="2:12" x14ac:dyDescent="0.2">
      <c r="B9" s="199"/>
      <c r="C9" s="196">
        <f>C8/C18</f>
        <v>0.63910811336094275</v>
      </c>
      <c r="D9" s="196">
        <f>D8/D18</f>
        <v>0.56232279695599507</v>
      </c>
      <c r="E9" s="196">
        <f>E8/E18</f>
        <v>0.72921565780824305</v>
      </c>
      <c r="F9" s="196">
        <f>F8/F18</f>
        <v>0.54509225439871389</v>
      </c>
      <c r="H9" s="199"/>
      <c r="I9" s="194">
        <f>I8/I8</f>
        <v>1</v>
      </c>
      <c r="J9" s="189">
        <f>J8/I8</f>
        <v>0.19993510962987535</v>
      </c>
      <c r="K9" s="189">
        <f>K8/I8</f>
        <v>0.55538064510548579</v>
      </c>
      <c r="L9" s="202">
        <f>L8/I8</f>
        <v>9.8086937529165197E-2</v>
      </c>
    </row>
    <row r="10" spans="2:12" x14ac:dyDescent="0.2">
      <c r="B10" s="203" t="s">
        <v>373</v>
      </c>
      <c r="C10" s="197">
        <f>I10+C25+I25</f>
        <v>2243257316.2951322</v>
      </c>
      <c r="D10" s="197">
        <f>J10+D25+J25</f>
        <v>770722113.34589052</v>
      </c>
      <c r="E10" s="197">
        <f>K10+E25+K25</f>
        <v>576355528.93692291</v>
      </c>
      <c r="F10" s="197">
        <f>L10+F25+L25</f>
        <v>464681337.95188659</v>
      </c>
      <c r="H10" s="203" t="s">
        <v>373</v>
      </c>
      <c r="I10" s="195">
        <v>2111552622.6377311</v>
      </c>
      <c r="J10" s="192">
        <v>738051315.45268893</v>
      </c>
      <c r="K10" s="192">
        <v>552151143.52812171</v>
      </c>
      <c r="L10" s="204">
        <v>428648214.95446676</v>
      </c>
    </row>
    <row r="11" spans="2:12" x14ac:dyDescent="0.2">
      <c r="B11" s="205"/>
      <c r="C11" s="196">
        <f>C10/C18</f>
        <v>0.160205011394498</v>
      </c>
      <c r="D11" s="196">
        <f>D10/D18</f>
        <v>0.1954857822549852</v>
      </c>
      <c r="E11" s="196">
        <f>E10/E18</f>
        <v>0.11315280357875404</v>
      </c>
      <c r="F11" s="196">
        <f>F10/F18</f>
        <v>0.20166118002859418</v>
      </c>
      <c r="H11" s="205"/>
      <c r="I11" s="194">
        <f>I10/I10</f>
        <v>1</v>
      </c>
      <c r="J11" s="189">
        <f>J10/I10</f>
        <v>0.34953015498648687</v>
      </c>
      <c r="K11" s="189">
        <f>K10/I10</f>
        <v>0.26149059114538187</v>
      </c>
      <c r="L11" s="202">
        <f>L10/I10</f>
        <v>0.20300143617496189</v>
      </c>
    </row>
    <row r="12" spans="2:12" x14ac:dyDescent="0.2">
      <c r="B12" s="203" t="s">
        <v>371</v>
      </c>
      <c r="C12" s="197">
        <f>I12+C27+I27</f>
        <v>1146669178.4827034</v>
      </c>
      <c r="D12" s="197">
        <f>J12+D27+J27</f>
        <v>334066167.72798038</v>
      </c>
      <c r="E12" s="197">
        <f>K12+E27+K27</f>
        <v>273885434.45224118</v>
      </c>
      <c r="F12" s="197">
        <f>L12+F27+L27</f>
        <v>290182350.69919401</v>
      </c>
      <c r="H12" s="203" t="s">
        <v>371</v>
      </c>
      <c r="I12" s="195">
        <v>1062441487.7463744</v>
      </c>
      <c r="J12" s="192">
        <v>317039782.44509149</v>
      </c>
      <c r="K12" s="192">
        <v>248697548.4470115</v>
      </c>
      <c r="L12" s="204">
        <v>270337912.56786734</v>
      </c>
    </row>
    <row r="13" spans="2:12" x14ac:dyDescent="0.2">
      <c r="B13" s="205"/>
      <c r="C13" s="196">
        <f>C12/C18</f>
        <v>8.1890805602246194E-2</v>
      </c>
      <c r="D13" s="196">
        <f>D12/D18</f>
        <v>8.4732467114150625E-2</v>
      </c>
      <c r="E13" s="196">
        <f>E12/E18</f>
        <v>5.3770464950372403E-2</v>
      </c>
      <c r="F13" s="196">
        <f>F12/F18</f>
        <v>0.12593257031451921</v>
      </c>
      <c r="H13" s="205"/>
      <c r="I13" s="194">
        <f>I12/I12</f>
        <v>1</v>
      </c>
      <c r="J13" s="189">
        <f>J12/I12</f>
        <v>0.29840681684747528</v>
      </c>
      <c r="K13" s="189">
        <f>K12/I12</f>
        <v>0.234081171824853</v>
      </c>
      <c r="L13" s="202">
        <f>L12/I12</f>
        <v>0.25444969505219689</v>
      </c>
    </row>
    <row r="14" spans="2:12" x14ac:dyDescent="0.2">
      <c r="B14" s="203" t="s">
        <v>374</v>
      </c>
      <c r="C14" s="197">
        <f>I14+C29+I29</f>
        <v>1155799278.5540097</v>
      </c>
      <c r="D14" s="197">
        <f>J14+D29+J29</f>
        <v>430940506.47974819</v>
      </c>
      <c r="E14" s="197">
        <f>K14+E29+K29</f>
        <v>365490110.32961494</v>
      </c>
      <c r="F14" s="197">
        <f>L14+F29+L29</f>
        <v>195484664.60814995</v>
      </c>
      <c r="H14" s="203" t="s">
        <v>374</v>
      </c>
      <c r="I14" s="195">
        <v>1091521260.8481755</v>
      </c>
      <c r="J14" s="192">
        <v>411676538.39535004</v>
      </c>
      <c r="K14" s="192">
        <v>360340884.49435914</v>
      </c>
      <c r="L14" s="204">
        <v>173023155.59422535</v>
      </c>
    </row>
    <row r="15" spans="2:12" x14ac:dyDescent="0.2">
      <c r="B15" s="205"/>
      <c r="C15" s="196">
        <f>C14/C18</f>
        <v>8.2542843054807469E-2</v>
      </c>
      <c r="D15" s="196">
        <f>D14/D18</f>
        <v>0.10930365245241899</v>
      </c>
      <c r="E15" s="196">
        <f>E14/E18</f>
        <v>7.1754721847441735E-2</v>
      </c>
      <c r="F15" s="196">
        <f>F14/F18</f>
        <v>8.4835918559000162E-2</v>
      </c>
      <c r="H15" s="205"/>
      <c r="I15" s="196">
        <f>I14/I14</f>
        <v>1</v>
      </c>
      <c r="J15" s="191">
        <f>J14/I14</f>
        <v>0.37715851551572471</v>
      </c>
      <c r="K15" s="191">
        <f>K14/I14</f>
        <v>0.33012722465373995</v>
      </c>
      <c r="L15" s="206">
        <f>L14/I14</f>
        <v>0.15851560734582146</v>
      </c>
    </row>
    <row r="16" spans="2:12" x14ac:dyDescent="0.2">
      <c r="B16" s="199" t="s">
        <v>375</v>
      </c>
      <c r="C16" s="198">
        <f>I16+C31+I31</f>
        <v>507632782.98121911</v>
      </c>
      <c r="D16" s="198">
        <f>J16+D31+J31</f>
        <v>189857058.13921553</v>
      </c>
      <c r="E16" s="198">
        <f>K16+E31+K31</f>
        <v>163537029.55136064</v>
      </c>
      <c r="F16" s="198">
        <f>L16+F31+L31</f>
        <v>97880858.930784822</v>
      </c>
      <c r="H16" s="199" t="s">
        <v>375</v>
      </c>
      <c r="I16" s="193">
        <v>463810312.79414016</v>
      </c>
      <c r="J16" s="200">
        <v>186855193.58686402</v>
      </c>
      <c r="K16" s="200">
        <v>159257478.08530247</v>
      </c>
      <c r="L16" s="201">
        <v>83437536.297710165</v>
      </c>
    </row>
    <row r="17" spans="2:12" x14ac:dyDescent="0.2">
      <c r="B17" s="207"/>
      <c r="C17" s="194">
        <f>C16/C18</f>
        <v>3.6253226587505509E-2</v>
      </c>
      <c r="D17" s="194">
        <f>D16/D18</f>
        <v>4.8155301222450188E-2</v>
      </c>
      <c r="E17" s="194">
        <f>E16/E18</f>
        <v>3.2106351815188679E-2</v>
      </c>
      <c r="F17" s="194">
        <f>F16/F18</f>
        <v>4.2478076699172702E-2</v>
      </c>
      <c r="H17" s="207"/>
      <c r="I17" s="194">
        <f>I16/I16</f>
        <v>1</v>
      </c>
      <c r="J17" s="189">
        <f>J16/I16</f>
        <v>0.40286985526731645</v>
      </c>
      <c r="K17" s="189">
        <f>K16/I16</f>
        <v>0.34336769513787868</v>
      </c>
      <c r="L17" s="202">
        <f>L16/I16</f>
        <v>0.17989581946778205</v>
      </c>
    </row>
    <row r="18" spans="2:12" x14ac:dyDescent="0.2">
      <c r="B18" s="208" t="s">
        <v>233</v>
      </c>
      <c r="C18" s="197">
        <f>C8+C10+C12+C14+C16</f>
        <v>14002416633.342428</v>
      </c>
      <c r="D18" s="197">
        <f>D8+D10+D12+D14+D16</f>
        <v>3942599325.9222608</v>
      </c>
      <c r="E18" s="197">
        <f>E8+E10+E12+E14+E16</f>
        <v>5093603611.2952433</v>
      </c>
      <c r="F18" s="197">
        <f>F8+F10+F12+F14+F16</f>
        <v>2304267672.5684037</v>
      </c>
      <c r="H18" s="208" t="s">
        <v>233</v>
      </c>
      <c r="I18" s="197">
        <f>I8+I10+I12+I14+I16</f>
        <v>9139185642.5662708</v>
      </c>
      <c r="J18" s="190">
        <f>J8+J10+J12+J14+J16</f>
        <v>2535308664.1430569</v>
      </c>
      <c r="K18" s="190">
        <f>K8+K10+K12+K14+K16</f>
        <v>3769597923.1535077</v>
      </c>
      <c r="L18" s="209">
        <f>L8+L10+L12+L14+L16</f>
        <v>1387996477.679935</v>
      </c>
    </row>
    <row r="19" spans="2:12" x14ac:dyDescent="0.2">
      <c r="B19" s="210"/>
      <c r="C19" s="196">
        <f>C18/C18</f>
        <v>1</v>
      </c>
      <c r="D19" s="196">
        <f>D18/D18</f>
        <v>1</v>
      </c>
      <c r="E19" s="196">
        <f>E18/E18</f>
        <v>1</v>
      </c>
      <c r="F19" s="196">
        <f>F18/F18</f>
        <v>1</v>
      </c>
      <c r="H19" s="210"/>
      <c r="I19" s="196">
        <f>I18/I18</f>
        <v>1</v>
      </c>
      <c r="J19" s="191">
        <f>J18/I18</f>
        <v>0.27741078508512995</v>
      </c>
      <c r="K19" s="191">
        <f>K18/I18</f>
        <v>0.41246540672030924</v>
      </c>
      <c r="L19" s="206">
        <f>L18/I18</f>
        <v>0.15187310248029795</v>
      </c>
    </row>
    <row r="20" spans="2:12" x14ac:dyDescent="0.2">
      <c r="C20" s="187"/>
      <c r="D20" s="187"/>
      <c r="E20" s="187"/>
      <c r="F20" s="187"/>
    </row>
    <row r="21" spans="2:12" ht="15" customHeight="1" x14ac:dyDescent="0.2">
      <c r="B21" s="282" t="s">
        <v>384</v>
      </c>
      <c r="C21" s="276" t="s">
        <v>239</v>
      </c>
      <c r="D21" s="274" t="s">
        <v>173</v>
      </c>
      <c r="E21" s="274" t="s">
        <v>240</v>
      </c>
      <c r="F21" s="274" t="s">
        <v>174</v>
      </c>
      <c r="H21" s="282" t="str">
        <f>UPPER("Créditos Hipotecarios")</f>
        <v>CRÉDITOS HIPOTECARIOS</v>
      </c>
      <c r="I21" s="280" t="s">
        <v>239</v>
      </c>
      <c r="J21" s="274" t="s">
        <v>173</v>
      </c>
      <c r="K21" s="274" t="s">
        <v>240</v>
      </c>
      <c r="L21" s="278" t="s">
        <v>174</v>
      </c>
    </row>
    <row r="22" spans="2:12" ht="15" customHeight="1" x14ac:dyDescent="0.2">
      <c r="B22" s="283"/>
      <c r="C22" s="277"/>
      <c r="D22" s="275"/>
      <c r="E22" s="275"/>
      <c r="F22" s="275"/>
      <c r="H22" s="283"/>
      <c r="I22" s="281"/>
      <c r="J22" s="275"/>
      <c r="K22" s="275"/>
      <c r="L22" s="279"/>
    </row>
    <row r="23" spans="2:12" x14ac:dyDescent="0.2">
      <c r="B23" s="199" t="s">
        <v>372</v>
      </c>
      <c r="C23" s="160">
        <v>2841191694.3345246</v>
      </c>
      <c r="D23" s="160">
        <v>740620385.97325194</v>
      </c>
      <c r="E23" s="200">
        <v>736727674.58785033</v>
      </c>
      <c r="F23" s="201">
        <v>568106296.30340409</v>
      </c>
      <c r="H23" s="199" t="s">
        <v>372</v>
      </c>
      <c r="I23" s="193">
        <v>1698006424.1549885</v>
      </c>
      <c r="J23" s="200">
        <v>594707259.99311197</v>
      </c>
      <c r="K23" s="200">
        <v>528456964.83853978</v>
      </c>
      <c r="L23" s="201">
        <v>255382505.80931917</v>
      </c>
    </row>
    <row r="24" spans="2:12" x14ac:dyDescent="0.2">
      <c r="B24" s="199"/>
      <c r="C24" s="211">
        <f>C23/C23</f>
        <v>1</v>
      </c>
      <c r="D24" s="211">
        <f>D23/C23</f>
        <v>0.26067244510466692</v>
      </c>
      <c r="E24" s="189">
        <f>E23/C23</f>
        <v>0.2593023469894416</v>
      </c>
      <c r="F24" s="202">
        <f>F23/C23</f>
        <v>0.19995352564074992</v>
      </c>
      <c r="H24" s="199"/>
      <c r="I24" s="194">
        <f>I23/I23</f>
        <v>1</v>
      </c>
      <c r="J24" s="189">
        <f>J23/I23</f>
        <v>0.35023852179420789</v>
      </c>
      <c r="K24" s="189">
        <f>K23/I23</f>
        <v>0.31122200559489988</v>
      </c>
      <c r="L24" s="202">
        <f>L23/I23</f>
        <v>0.15040137786075225</v>
      </c>
    </row>
    <row r="25" spans="2:12" x14ac:dyDescent="0.2">
      <c r="B25" s="203" t="s">
        <v>373</v>
      </c>
      <c r="C25" s="212">
        <v>81182103.842825174</v>
      </c>
      <c r="D25" s="212">
        <v>18062791.485145099</v>
      </c>
      <c r="E25" s="192">
        <v>13290307.144096801</v>
      </c>
      <c r="F25" s="204">
        <v>22771121.08349191</v>
      </c>
      <c r="H25" s="203" t="s">
        <v>373</v>
      </c>
      <c r="I25" s="195">
        <v>50522589.814575732</v>
      </c>
      <c r="J25" s="192">
        <v>14608006.40805654</v>
      </c>
      <c r="K25" s="192">
        <v>10914078.264704354</v>
      </c>
      <c r="L25" s="204">
        <v>13262001.913927894</v>
      </c>
    </row>
    <row r="26" spans="2:12" x14ac:dyDescent="0.2">
      <c r="B26" s="205"/>
      <c r="C26" s="211">
        <f>C25/C25</f>
        <v>1</v>
      </c>
      <c r="D26" s="211">
        <f>D25/C25</f>
        <v>0.22249720849949958</v>
      </c>
      <c r="E26" s="189">
        <f>E25/C25</f>
        <v>0.16370981429389736</v>
      </c>
      <c r="F26" s="202">
        <f>F25/C25</f>
        <v>0.28049434549735935</v>
      </c>
      <c r="H26" s="205"/>
      <c r="I26" s="194">
        <f>I25/I25</f>
        <v>1</v>
      </c>
      <c r="J26" s="189">
        <f>J25/I25</f>
        <v>0.28913811547804186</v>
      </c>
      <c r="K26" s="189">
        <f>K25/I25</f>
        <v>0.21602372928150351</v>
      </c>
      <c r="L26" s="202">
        <f>L25/I25</f>
        <v>0.26249647855743563</v>
      </c>
    </row>
    <row r="27" spans="2:12" x14ac:dyDescent="0.2">
      <c r="B27" s="203" t="s">
        <v>371</v>
      </c>
      <c r="C27" s="212">
        <v>51657222.81713286</v>
      </c>
      <c r="D27" s="212">
        <v>9931924.5852534212</v>
      </c>
      <c r="E27" s="192">
        <v>10296002.578353632</v>
      </c>
      <c r="F27" s="204">
        <v>13484912.897271078</v>
      </c>
      <c r="H27" s="203" t="s">
        <v>371</v>
      </c>
      <c r="I27" s="195">
        <v>32570467.919196047</v>
      </c>
      <c r="J27" s="192">
        <v>7094460.6976354904</v>
      </c>
      <c r="K27" s="192">
        <v>14891883.426876036</v>
      </c>
      <c r="L27" s="204">
        <v>6359525.2340555731</v>
      </c>
    </row>
    <row r="28" spans="2:12" x14ac:dyDescent="0.2">
      <c r="B28" s="205"/>
      <c r="C28" s="211">
        <f>C27/C27</f>
        <v>1</v>
      </c>
      <c r="D28" s="211">
        <f>D27/C27</f>
        <v>0.19226594159760668</v>
      </c>
      <c r="E28" s="189">
        <f>E27/C27</f>
        <v>0.19931390068725907</v>
      </c>
      <c r="F28" s="202">
        <f>F27/C27</f>
        <v>0.26104602922630626</v>
      </c>
      <c r="H28" s="205"/>
      <c r="I28" s="194">
        <f>I27/I27</f>
        <v>1</v>
      </c>
      <c r="J28" s="189">
        <f>J27/I27</f>
        <v>0.21781881412438137</v>
      </c>
      <c r="K28" s="189">
        <f>K27/I27</f>
        <v>0.45722043244270405</v>
      </c>
      <c r="L28" s="202">
        <f>L27/I27</f>
        <v>0.19525434052199975</v>
      </c>
    </row>
    <row r="29" spans="2:12" x14ac:dyDescent="0.2">
      <c r="B29" s="203" t="s">
        <v>374</v>
      </c>
      <c r="C29" s="212">
        <v>46656715.333011352</v>
      </c>
      <c r="D29" s="212">
        <v>10890071.908752095</v>
      </c>
      <c r="E29" s="192">
        <v>2507714.5277424487</v>
      </c>
      <c r="F29" s="204">
        <v>18373374.210537434</v>
      </c>
      <c r="H29" s="203" t="s">
        <v>374</v>
      </c>
      <c r="I29" s="195">
        <v>17621302.372822654</v>
      </c>
      <c r="J29" s="192">
        <v>8373896.1756460601</v>
      </c>
      <c r="K29" s="192">
        <v>2641511.3075133674</v>
      </c>
      <c r="L29" s="204">
        <v>4088134.8033871613</v>
      </c>
    </row>
    <row r="30" spans="2:12" x14ac:dyDescent="0.2">
      <c r="B30" s="205"/>
      <c r="C30" s="213">
        <f>C29/C29</f>
        <v>1</v>
      </c>
      <c r="D30" s="213">
        <f>D29/C29</f>
        <v>0.2334084564467179</v>
      </c>
      <c r="E30" s="191">
        <f>E29/C29</f>
        <v>5.3748201300577794E-2</v>
      </c>
      <c r="F30" s="206">
        <f>F29/C29</f>
        <v>0.39379913651010046</v>
      </c>
      <c r="H30" s="205"/>
      <c r="I30" s="196">
        <f>I29/I29</f>
        <v>1</v>
      </c>
      <c r="J30" s="191">
        <f>J29/I29</f>
        <v>0.47521437397051458</v>
      </c>
      <c r="K30" s="191">
        <f>K29/I29</f>
        <v>0.14990443110421692</v>
      </c>
      <c r="L30" s="206">
        <f>L29/I29</f>
        <v>0.23199958305535318</v>
      </c>
    </row>
    <row r="31" spans="2:12" x14ac:dyDescent="0.2">
      <c r="B31" s="199" t="s">
        <v>375</v>
      </c>
      <c r="C31" s="160">
        <v>32154096.694379922</v>
      </c>
      <c r="D31" s="160">
        <v>2682109.4894050155</v>
      </c>
      <c r="E31" s="200">
        <v>2069293.6410076849</v>
      </c>
      <c r="F31" s="201">
        <v>12999920.675662396</v>
      </c>
      <c r="H31" s="199" t="s">
        <v>375</v>
      </c>
      <c r="I31" s="193">
        <v>11668373.492699051</v>
      </c>
      <c r="J31" s="200">
        <v>319755.06294650846</v>
      </c>
      <c r="K31" s="200">
        <v>2210257.8250504588</v>
      </c>
      <c r="L31" s="201">
        <v>1443401.9574122566</v>
      </c>
    </row>
    <row r="32" spans="2:12" ht="15" customHeight="1" x14ac:dyDescent="0.2">
      <c r="B32" s="207"/>
      <c r="C32" s="211">
        <f>C31/C31</f>
        <v>1</v>
      </c>
      <c r="D32" s="211">
        <f>D31/C31</f>
        <v>8.3414238468524915E-2</v>
      </c>
      <c r="E32" s="189">
        <f>E31/C31</f>
        <v>6.43555208742458E-2</v>
      </c>
      <c r="F32" s="202">
        <f>F31/C31</f>
        <v>0.40430060278865171</v>
      </c>
      <c r="H32" s="207"/>
      <c r="I32" s="194">
        <f>I31/I31</f>
        <v>1</v>
      </c>
      <c r="J32" s="189">
        <f>J31/I31</f>
        <v>2.7403567699181081E-2</v>
      </c>
      <c r="K32" s="189">
        <f>K31/I31</f>
        <v>0.18942295825835762</v>
      </c>
      <c r="L32" s="202">
        <f>L31/I31</f>
        <v>0.12370207024272913</v>
      </c>
    </row>
    <row r="33" spans="2:12" x14ac:dyDescent="0.2">
      <c r="B33" s="208" t="s">
        <v>233</v>
      </c>
      <c r="C33" s="214">
        <f>C23+C25+C27+C29+C31</f>
        <v>3052841833.021874</v>
      </c>
      <c r="D33" s="214">
        <f>D23+D25+D27+D29+D31</f>
        <v>782187283.44180763</v>
      </c>
      <c r="E33" s="190">
        <f>E23+E25+E27+E29+E31</f>
        <v>764890992.47905099</v>
      </c>
      <c r="F33" s="209">
        <f>F23+F25+F27+F29+F31</f>
        <v>635735625.17036688</v>
      </c>
      <c r="H33" s="208" t="s">
        <v>233</v>
      </c>
      <c r="I33" s="197">
        <f>I23+I25+I27+I29+I31</f>
        <v>1810389157.7542822</v>
      </c>
      <c r="J33" s="190">
        <f>J23+J25+J27+J29+J31</f>
        <v>625103378.33739662</v>
      </c>
      <c r="K33" s="190">
        <f>K23+K25+K27+K29+K31</f>
        <v>559114695.66268408</v>
      </c>
      <c r="L33" s="209">
        <f>L23+L25+L27+L29+L31</f>
        <v>280535569.71810204</v>
      </c>
    </row>
    <row r="34" spans="2:12" s="188" customFormat="1" x14ac:dyDescent="0.2">
      <c r="B34" s="210"/>
      <c r="C34" s="213">
        <f>C33/C33</f>
        <v>1</v>
      </c>
      <c r="D34" s="213">
        <f>D33/C33</f>
        <v>0.25621611803830491</v>
      </c>
      <c r="E34" s="191">
        <f>E33/C33</f>
        <v>0.25055048191668644</v>
      </c>
      <c r="F34" s="206">
        <f>F33/C33</f>
        <v>0.20824387896345095</v>
      </c>
      <c r="H34" s="210"/>
      <c r="I34" s="196">
        <f>I33/I33</f>
        <v>1</v>
      </c>
      <c r="J34" s="191">
        <f>J33/I33</f>
        <v>0.34528674437755319</v>
      </c>
      <c r="K34" s="191">
        <f>K33/I33</f>
        <v>0.30883674555157203</v>
      </c>
      <c r="L34" s="206">
        <f>L33/I33</f>
        <v>0.1549587106819042</v>
      </c>
    </row>
  </sheetData>
  <mergeCells count="20">
    <mergeCell ref="B21:B22"/>
    <mergeCell ref="H21:H22"/>
    <mergeCell ref="H6:H7"/>
    <mergeCell ref="B6:B7"/>
    <mergeCell ref="E21:E22"/>
    <mergeCell ref="F21:F22"/>
    <mergeCell ref="C21:C22"/>
    <mergeCell ref="D21:D22"/>
    <mergeCell ref="C6:C7"/>
    <mergeCell ref="D6:D7"/>
    <mergeCell ref="E6:E7"/>
    <mergeCell ref="F6:F7"/>
    <mergeCell ref="K6:K7"/>
    <mergeCell ref="L6:L7"/>
    <mergeCell ref="I21:I22"/>
    <mergeCell ref="J21:J22"/>
    <mergeCell ref="K21:K22"/>
    <mergeCell ref="L21:L22"/>
    <mergeCell ref="I6:I7"/>
    <mergeCell ref="J6:J7"/>
  </mergeCells>
  <phoneticPr fontId="8" type="noConversion"/>
  <pageMargins left="0.75" right="0.75" top="1" bottom="1" header="0.5" footer="0.5"/>
  <pageSetup scale="6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2:F36"/>
  <sheetViews>
    <sheetView showGridLines="0" workbookViewId="0">
      <selection activeCell="D18" sqref="D18"/>
    </sheetView>
  </sheetViews>
  <sheetFormatPr baseColWidth="10" defaultRowHeight="16" x14ac:dyDescent="0.2"/>
  <cols>
    <col min="1" max="1" width="10.83203125" style="219"/>
    <col min="2" max="2" width="61.5" style="5" customWidth="1"/>
    <col min="3" max="6" width="15.83203125" style="5" customWidth="1"/>
    <col min="7" max="16384" width="10.83203125" style="219"/>
  </cols>
  <sheetData>
    <row r="2" spans="2:6" x14ac:dyDescent="0.2">
      <c r="B2" s="220" t="s">
        <v>395</v>
      </c>
      <c r="C2" s="177"/>
      <c r="D2" s="177"/>
      <c r="E2" s="177"/>
      <c r="F2" s="177"/>
    </row>
    <row r="3" spans="2:6" x14ac:dyDescent="0.2">
      <c r="B3" s="220" t="s">
        <v>393</v>
      </c>
      <c r="C3" s="177"/>
      <c r="D3" s="177"/>
      <c r="E3" s="177"/>
      <c r="F3" s="177"/>
    </row>
    <row r="4" spans="2:6" x14ac:dyDescent="0.2">
      <c r="B4" s="51" t="s">
        <v>301</v>
      </c>
      <c r="C4" s="177"/>
      <c r="D4" s="177"/>
      <c r="E4" s="177"/>
      <c r="F4" s="177"/>
    </row>
    <row r="6" spans="2:6" ht="15" customHeight="1" x14ac:dyDescent="0.2">
      <c r="B6" s="222"/>
      <c r="C6" s="286" t="s">
        <v>239</v>
      </c>
      <c r="D6" s="286" t="s">
        <v>173</v>
      </c>
      <c r="E6" s="286" t="s">
        <v>240</v>
      </c>
      <c r="F6" s="286" t="s">
        <v>174</v>
      </c>
    </row>
    <row r="7" spans="2:6" x14ac:dyDescent="0.2">
      <c r="B7" s="223"/>
      <c r="C7" s="287"/>
      <c r="D7" s="287"/>
      <c r="E7" s="287"/>
      <c r="F7" s="287"/>
    </row>
    <row r="8" spans="2:6" x14ac:dyDescent="0.2">
      <c r="C8" s="221"/>
      <c r="D8" s="221"/>
      <c r="E8" s="221"/>
      <c r="F8" s="221"/>
    </row>
    <row r="9" spans="2:6" ht="17" thickBot="1" x14ac:dyDescent="0.25">
      <c r="B9" s="226" t="s">
        <v>394</v>
      </c>
      <c r="C9" s="227">
        <f>C11+C26</f>
        <v>3524533711.8910503</v>
      </c>
      <c r="D9" s="227">
        <f>D11+D26</f>
        <v>571659351.58265769</v>
      </c>
      <c r="E9" s="227">
        <f>E11+E26</f>
        <v>1030971520.8946234</v>
      </c>
      <c r="F9" s="227">
        <f>F11+F26</f>
        <v>1058349846.6233234</v>
      </c>
    </row>
    <row r="10" spans="2:6" ht="17" thickTop="1" x14ac:dyDescent="0.2">
      <c r="C10" s="11"/>
      <c r="D10" s="11"/>
      <c r="E10" s="11"/>
      <c r="F10" s="11"/>
    </row>
    <row r="11" spans="2:6" x14ac:dyDescent="0.2">
      <c r="B11" s="224" t="s">
        <v>306</v>
      </c>
      <c r="C11" s="225">
        <f>C12+C19</f>
        <v>3322822927.9756489</v>
      </c>
      <c r="D11" s="225">
        <f>D12+D19</f>
        <v>566131097.24913263</v>
      </c>
      <c r="E11" s="225">
        <f>E12+E19</f>
        <v>1004944253.117502</v>
      </c>
      <c r="F11" s="225">
        <f>F12+F19</f>
        <v>992161490.05150783</v>
      </c>
    </row>
    <row r="12" spans="2:6" x14ac:dyDescent="0.2">
      <c r="B12" s="218" t="s">
        <v>390</v>
      </c>
      <c r="C12" s="217">
        <f>SUM(C13:C18)</f>
        <v>3175410021.1611099</v>
      </c>
      <c r="D12" s="217">
        <f>SUM(D13:D18)</f>
        <v>550674907.1339376</v>
      </c>
      <c r="E12" s="217">
        <f>SUM(E13:E18)</f>
        <v>911640818.99150884</v>
      </c>
      <c r="F12" s="217">
        <f>SUM(F13:F18)</f>
        <v>977162676.11265147</v>
      </c>
    </row>
    <row r="13" spans="2:6" x14ac:dyDescent="0.2">
      <c r="B13" s="215" t="s">
        <v>263</v>
      </c>
      <c r="C13" s="178">
        <v>2152446098.2092524</v>
      </c>
      <c r="D13" s="178">
        <v>524189097.36842608</v>
      </c>
      <c r="E13" s="178">
        <v>422784201.17484754</v>
      </c>
      <c r="F13" s="178">
        <v>647545058.77123952</v>
      </c>
    </row>
    <row r="14" spans="2:6" x14ac:dyDescent="0.2">
      <c r="B14" s="215" t="s">
        <v>392</v>
      </c>
      <c r="C14" s="178">
        <v>1235.2638981619195</v>
      </c>
      <c r="D14" s="178">
        <v>0</v>
      </c>
      <c r="E14" s="178">
        <v>0</v>
      </c>
      <c r="F14" s="178">
        <v>0</v>
      </c>
    </row>
    <row r="15" spans="2:6" x14ac:dyDescent="0.2">
      <c r="B15" s="215" t="s">
        <v>267</v>
      </c>
      <c r="C15" s="178">
        <v>4339859.8571942579</v>
      </c>
      <c r="D15" s="178">
        <v>0</v>
      </c>
      <c r="E15" s="178">
        <v>0</v>
      </c>
      <c r="F15" s="178">
        <v>0</v>
      </c>
    </row>
    <row r="16" spans="2:6" x14ac:dyDescent="0.2">
      <c r="B16" s="215" t="s">
        <v>273</v>
      </c>
      <c r="C16" s="178">
        <v>979005490.29009461</v>
      </c>
      <c r="D16" s="178">
        <v>26485809.765511509</v>
      </c>
      <c r="E16" s="178">
        <v>452217767.0584749</v>
      </c>
      <c r="F16" s="178">
        <v>329617617.34141195</v>
      </c>
    </row>
    <row r="17" spans="2:6" x14ac:dyDescent="0.2">
      <c r="B17" s="215" t="s">
        <v>274</v>
      </c>
      <c r="C17" s="178">
        <v>2978486.7824838809</v>
      </c>
      <c r="D17" s="178">
        <v>0</v>
      </c>
      <c r="E17" s="178">
        <v>0</v>
      </c>
      <c r="F17" s="178">
        <v>0</v>
      </c>
    </row>
    <row r="18" spans="2:6" x14ac:dyDescent="0.2">
      <c r="B18" s="215" t="s">
        <v>262</v>
      </c>
      <c r="C18" s="178">
        <v>36638850.758186512</v>
      </c>
      <c r="D18" s="178">
        <v>0</v>
      </c>
      <c r="E18" s="178">
        <v>36638850.758186512</v>
      </c>
      <c r="F18" s="178">
        <v>0</v>
      </c>
    </row>
    <row r="19" spans="2:6" x14ac:dyDescent="0.2">
      <c r="B19" s="218" t="s">
        <v>388</v>
      </c>
      <c r="C19" s="217">
        <f>SUM(C20:C24)</f>
        <v>147412906.81453916</v>
      </c>
      <c r="D19" s="217">
        <f>SUM(D20:D24)</f>
        <v>15456190.115195092</v>
      </c>
      <c r="E19" s="217">
        <f>SUM(E20:E24)</f>
        <v>93303434.125993073</v>
      </c>
      <c r="F19" s="217">
        <f>SUM(F20:F24)</f>
        <v>14998813.938856361</v>
      </c>
    </row>
    <row r="20" spans="2:6" x14ac:dyDescent="0.2">
      <c r="B20" s="215" t="s">
        <v>283</v>
      </c>
      <c r="C20" s="178">
        <v>4844150.7791590588</v>
      </c>
      <c r="D20" s="178">
        <v>3231145.3051313478</v>
      </c>
      <c r="E20" s="178">
        <v>69267.13447636932</v>
      </c>
      <c r="F20" s="178">
        <v>1487442.0763208377</v>
      </c>
    </row>
    <row r="21" spans="2:6" x14ac:dyDescent="0.2">
      <c r="B21" s="215" t="s">
        <v>391</v>
      </c>
      <c r="C21" s="178">
        <v>52251.062577083736</v>
      </c>
      <c r="D21" s="178">
        <v>0</v>
      </c>
      <c r="E21" s="178">
        <v>0</v>
      </c>
      <c r="F21" s="178">
        <v>0</v>
      </c>
    </row>
    <row r="22" spans="2:6" x14ac:dyDescent="0.2">
      <c r="B22" s="215" t="s">
        <v>285</v>
      </c>
      <c r="C22" s="178">
        <v>16234562.152822539</v>
      </c>
      <c r="D22" s="178">
        <v>5781994.277765057</v>
      </c>
      <c r="E22" s="178">
        <v>4633.5326046174241</v>
      </c>
      <c r="F22" s="178">
        <v>3197431.0974800233</v>
      </c>
    </row>
    <row r="23" spans="2:6" x14ac:dyDescent="0.2">
      <c r="B23" s="215" t="s">
        <v>290</v>
      </c>
      <c r="C23" s="178">
        <v>823450.5115185472</v>
      </c>
      <c r="D23" s="178">
        <v>91478.795598458426</v>
      </c>
      <c r="E23" s="178">
        <v>616769.25001010147</v>
      </c>
      <c r="F23" s="178">
        <v>103215.211062731</v>
      </c>
    </row>
    <row r="24" spans="2:6" x14ac:dyDescent="0.2">
      <c r="B24" s="215" t="s">
        <v>267</v>
      </c>
      <c r="C24" s="178">
        <v>125458492.30846193</v>
      </c>
      <c r="D24" s="178">
        <v>6351571.7367002293</v>
      </c>
      <c r="E24" s="178">
        <v>92612764.208901986</v>
      </c>
      <c r="F24" s="178">
        <v>10210725.553992769</v>
      </c>
    </row>
    <row r="25" spans="2:6" x14ac:dyDescent="0.2">
      <c r="B25" s="215"/>
      <c r="C25" s="178"/>
      <c r="D25" s="178"/>
      <c r="E25" s="178"/>
      <c r="F25" s="178"/>
    </row>
    <row r="26" spans="2:6" x14ac:dyDescent="0.2">
      <c r="B26" s="224" t="s">
        <v>307</v>
      </c>
      <c r="C26" s="225">
        <f>+C27+C32</f>
        <v>201710783.9154017</v>
      </c>
      <c r="D26" s="225">
        <f>+D27+D32</f>
        <v>5528254.3335251007</v>
      </c>
      <c r="E26" s="225">
        <f>+E27+E32</f>
        <v>26027267.777121454</v>
      </c>
      <c r="F26" s="225">
        <f>+F27+F32</f>
        <v>66188356.571815595</v>
      </c>
    </row>
    <row r="27" spans="2:6" x14ac:dyDescent="0.2">
      <c r="B27" s="218" t="s">
        <v>390</v>
      </c>
      <c r="C27" s="217">
        <f>SUM(C28:C31)</f>
        <v>108353329.69039513</v>
      </c>
      <c r="D27" s="217">
        <f>SUM(D28:D31)</f>
        <v>2624279.4774949155</v>
      </c>
      <c r="E27" s="217">
        <f>SUM(E28:E31)</f>
        <v>2959146.959846227</v>
      </c>
      <c r="F27" s="217">
        <f>SUM(F28:F31)</f>
        <v>30016709.333938781</v>
      </c>
    </row>
    <row r="28" spans="2:6" x14ac:dyDescent="0.2">
      <c r="B28" s="215" t="s">
        <v>389</v>
      </c>
      <c r="C28" s="178">
        <v>1189686.4238340512</v>
      </c>
      <c r="D28" s="178">
        <v>0</v>
      </c>
      <c r="E28" s="178">
        <v>0</v>
      </c>
      <c r="F28" s="178">
        <v>1189686.4238340512</v>
      </c>
    </row>
    <row r="29" spans="2:6" x14ac:dyDescent="0.2">
      <c r="B29" s="215" t="s">
        <v>263</v>
      </c>
      <c r="C29" s="178">
        <v>2833139.3058278672</v>
      </c>
      <c r="D29" s="178">
        <v>0</v>
      </c>
      <c r="E29" s="178">
        <v>0</v>
      </c>
      <c r="F29" s="178">
        <v>0</v>
      </c>
    </row>
    <row r="30" spans="2:6" x14ac:dyDescent="0.2">
      <c r="B30" s="215" t="s">
        <v>273</v>
      </c>
      <c r="C30" s="178">
        <v>100450680.5534444</v>
      </c>
      <c r="D30" s="178">
        <v>2624279.4774949155</v>
      </c>
      <c r="E30" s="178">
        <v>55572.675654718725</v>
      </c>
      <c r="F30" s="178">
        <v>28827022.910104729</v>
      </c>
    </row>
    <row r="31" spans="2:6" x14ac:dyDescent="0.2">
      <c r="B31" s="215" t="s">
        <v>270</v>
      </c>
      <c r="C31" s="178">
        <v>3879823.4072888265</v>
      </c>
      <c r="D31" s="178">
        <v>0</v>
      </c>
      <c r="E31" s="178">
        <v>2903574.2841915083</v>
      </c>
      <c r="F31" s="178">
        <v>0</v>
      </c>
    </row>
    <row r="32" spans="2:6" x14ac:dyDescent="0.2">
      <c r="B32" s="218" t="s">
        <v>388</v>
      </c>
      <c r="C32" s="217">
        <f>SUM(C33:C36)</f>
        <v>93357454.22500658</v>
      </c>
      <c r="D32" s="217">
        <f>SUM(D33:D36)</f>
        <v>2903974.8560301848</v>
      </c>
      <c r="E32" s="217">
        <f>SUM(E33:E36)</f>
        <v>23068120.817275226</v>
      </c>
      <c r="F32" s="217">
        <f>SUM(F33:F36)</f>
        <v>36171647.23787681</v>
      </c>
    </row>
    <row r="33" spans="2:6" x14ac:dyDescent="0.2">
      <c r="B33" s="215" t="s">
        <v>285</v>
      </c>
      <c r="C33" s="178">
        <v>9939224.8238017261</v>
      </c>
      <c r="D33" s="178">
        <v>0</v>
      </c>
      <c r="E33" s="178">
        <v>14498.303917248862</v>
      </c>
      <c r="F33" s="178">
        <v>258001.05055153955</v>
      </c>
    </row>
    <row r="34" spans="2:6" x14ac:dyDescent="0.2">
      <c r="B34" s="215" t="s">
        <v>290</v>
      </c>
      <c r="C34" s="178">
        <v>43772801.174462743</v>
      </c>
      <c r="D34" s="178">
        <v>300025.92899733898</v>
      </c>
      <c r="E34" s="178">
        <v>16412483.515384039</v>
      </c>
      <c r="F34" s="178">
        <v>22477321.870905302</v>
      </c>
    </row>
    <row r="35" spans="2:6" x14ac:dyDescent="0.2">
      <c r="B35" s="215" t="s">
        <v>267</v>
      </c>
      <c r="C35" s="178">
        <v>39923964.743028551</v>
      </c>
      <c r="D35" s="178">
        <v>2603948.927032846</v>
      </c>
      <c r="E35" s="178">
        <v>6641138.9979739366</v>
      </c>
      <c r="F35" s="178">
        <v>13646736.629037937</v>
      </c>
    </row>
    <row r="36" spans="2:6" x14ac:dyDescent="0.2">
      <c r="B36" s="215" t="s">
        <v>387</v>
      </c>
      <c r="C36" s="178">
        <v>-278536.51628643501</v>
      </c>
      <c r="D36" s="178">
        <v>0</v>
      </c>
      <c r="E36" s="178">
        <v>0</v>
      </c>
      <c r="F36" s="178">
        <v>-210412.31261797057</v>
      </c>
    </row>
  </sheetData>
  <mergeCells count="4">
    <mergeCell ref="C6:C7"/>
    <mergeCell ref="D6:D7"/>
    <mergeCell ref="E6:E7"/>
    <mergeCell ref="F6:F7"/>
  </mergeCells>
  <phoneticPr fontId="8" type="noConversion"/>
  <pageMargins left="0.75" right="0.75" top="1" bottom="1" header="0.5" footer="0.5"/>
  <pageSetup scale="8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86"/>
  <sheetViews>
    <sheetView showGridLines="0" workbookViewId="0">
      <selection activeCell="D25" sqref="D25"/>
    </sheetView>
  </sheetViews>
  <sheetFormatPr baseColWidth="10" defaultRowHeight="16" x14ac:dyDescent="0.2"/>
  <cols>
    <col min="1" max="1" width="82.83203125" bestFit="1" customWidth="1"/>
    <col min="2" max="5" width="15.83203125" customWidth="1"/>
    <col min="8" max="8" width="12.33203125" bestFit="1" customWidth="1"/>
    <col min="9" max="9" width="21.83203125" bestFit="1" customWidth="1"/>
    <col min="10" max="13" width="15.1640625" bestFit="1" customWidth="1"/>
    <col min="14" max="14" width="13.6640625" bestFit="1" customWidth="1"/>
  </cols>
  <sheetData>
    <row r="1" spans="1:19" ht="17" thickBot="1" x14ac:dyDescent="0.25">
      <c r="A1" s="42" t="s">
        <v>81</v>
      </c>
      <c r="B1" s="38" t="s">
        <v>239</v>
      </c>
      <c r="C1" s="6" t="s">
        <v>173</v>
      </c>
      <c r="D1" s="6" t="s">
        <v>240</v>
      </c>
      <c r="E1" s="6" t="s">
        <v>174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">
      <c r="A2" s="43"/>
      <c r="B2" s="3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44" t="s">
        <v>1</v>
      </c>
      <c r="B3" s="34" t="s">
        <v>0</v>
      </c>
      <c r="C3" s="3" t="s">
        <v>0</v>
      </c>
      <c r="D3" s="3" t="s">
        <v>0</v>
      </c>
      <c r="E3" s="3" t="s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">
      <c r="A4" s="43" t="s">
        <v>218</v>
      </c>
      <c r="B4" s="40">
        <v>22873.827424936553</v>
      </c>
      <c r="C4" s="2">
        <v>5961.8419623379195</v>
      </c>
      <c r="D4" s="2">
        <v>7525.4183251129916</v>
      </c>
      <c r="E4" s="2">
        <v>4364.1283186211222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">
      <c r="A5" s="43" t="s">
        <v>219</v>
      </c>
      <c r="B5" s="40">
        <v>20629.79985380017</v>
      </c>
      <c r="C5" s="2">
        <v>5435.4009057832291</v>
      </c>
      <c r="D5" s="2">
        <v>7011.9562168369157</v>
      </c>
      <c r="E5" s="2">
        <v>3882.3998866712714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">
      <c r="A6" s="43" t="s">
        <v>220</v>
      </c>
      <c r="B6" s="40">
        <v>2244.0275711363847</v>
      </c>
      <c r="C6" s="2">
        <v>526.44105655469116</v>
      </c>
      <c r="D6" s="2">
        <v>513.4621082760757</v>
      </c>
      <c r="E6" s="2">
        <v>481.72843194985063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">
      <c r="A7" s="44" t="s">
        <v>2</v>
      </c>
      <c r="B7" s="34" t="s">
        <v>0</v>
      </c>
      <c r="C7" s="3" t="s">
        <v>0</v>
      </c>
      <c r="D7" s="3" t="s">
        <v>0</v>
      </c>
      <c r="E7" s="3" t="s"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">
      <c r="A8" s="43" t="s">
        <v>3</v>
      </c>
      <c r="B8" s="41">
        <v>2.6405920345878715</v>
      </c>
      <c r="C8" s="1">
        <v>2.8942087863800063</v>
      </c>
      <c r="D8" s="1">
        <v>2.5778335878129974</v>
      </c>
      <c r="E8" s="1">
        <v>4.4941797230239855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">
      <c r="A9" s="43" t="s">
        <v>4</v>
      </c>
      <c r="B9" s="41">
        <v>27.599750867317312</v>
      </c>
      <c r="C9" s="1">
        <v>34.007736793731254</v>
      </c>
      <c r="D9" s="1">
        <v>38.164993289642105</v>
      </c>
      <c r="E9" s="1">
        <v>41.835098574319076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">
      <c r="A10" s="43" t="s">
        <v>5</v>
      </c>
      <c r="B10" s="41">
        <v>14.018717642761235</v>
      </c>
      <c r="C10" s="1">
        <v>13.857376900408344</v>
      </c>
      <c r="D10" s="1">
        <v>12.06306540082849</v>
      </c>
      <c r="E10" s="1">
        <v>15.059421080710326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">
      <c r="A11" s="43" t="s">
        <v>6</v>
      </c>
      <c r="B11" s="41">
        <v>79.521428983200494</v>
      </c>
      <c r="C11" s="1">
        <v>75.155267806010201</v>
      </c>
      <c r="D11" s="1">
        <v>87.123596000301788</v>
      </c>
      <c r="E11" s="1">
        <v>79.054475040714735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">
      <c r="A12" s="43" t="s">
        <v>7</v>
      </c>
      <c r="B12" s="41">
        <v>72.603523879938919</v>
      </c>
      <c r="C12" s="1">
        <v>72.603983848162088</v>
      </c>
      <c r="D12" s="1">
        <v>77.292757310864829</v>
      </c>
      <c r="E12" s="1">
        <v>72.320925839496411</v>
      </c>
    </row>
    <row r="13" spans="1:19" x14ac:dyDescent="0.2">
      <c r="A13" s="43" t="s">
        <v>8</v>
      </c>
      <c r="B13" s="41">
        <v>9.9418341770651324</v>
      </c>
      <c r="C13" s="1">
        <v>10.595634555639617</v>
      </c>
      <c r="D13" s="1">
        <v>8.2778310570131595</v>
      </c>
      <c r="E13" s="1">
        <v>10.985492857568001</v>
      </c>
    </row>
    <row r="14" spans="1:19" x14ac:dyDescent="0.2">
      <c r="A14" s="44" t="s">
        <v>9</v>
      </c>
      <c r="B14" s="34" t="s">
        <v>0</v>
      </c>
      <c r="C14" s="3" t="s">
        <v>0</v>
      </c>
      <c r="D14" s="3" t="s">
        <v>0</v>
      </c>
      <c r="E14" s="3" t="s">
        <v>0</v>
      </c>
    </row>
    <row r="15" spans="1:19" x14ac:dyDescent="0.2">
      <c r="A15" s="43" t="s">
        <v>10</v>
      </c>
      <c r="B15" s="41">
        <v>22.228728207078387</v>
      </c>
      <c r="C15" s="1">
        <v>21.22407450107233</v>
      </c>
      <c r="D15" s="1">
        <v>17.550554079337523</v>
      </c>
      <c r="E15" s="1">
        <v>22.803380859487163</v>
      </c>
    </row>
    <row r="16" spans="1:19" x14ac:dyDescent="0.2">
      <c r="A16" s="43" t="s">
        <v>11</v>
      </c>
      <c r="B16" s="41">
        <v>23.555493008022282</v>
      </c>
      <c r="C16" s="1">
        <v>22.231413140515158</v>
      </c>
      <c r="D16" s="1">
        <v>19.338635629291534</v>
      </c>
      <c r="E16" s="1">
        <v>23.589486688515855</v>
      </c>
    </row>
    <row r="17" spans="1:5" x14ac:dyDescent="0.2">
      <c r="A17" s="43" t="s">
        <v>12</v>
      </c>
      <c r="B17" s="41">
        <v>32.067731032097392</v>
      </c>
      <c r="C17" s="1">
        <v>26.866237080038687</v>
      </c>
      <c r="D17" s="1">
        <v>28.595117150372811</v>
      </c>
      <c r="E17" s="1">
        <v>41.643293135585601</v>
      </c>
    </row>
    <row r="18" spans="1:5" x14ac:dyDescent="0.2">
      <c r="A18" s="43" t="s">
        <v>13</v>
      </c>
      <c r="B18" s="41">
        <v>34.254615971886345</v>
      </c>
      <c r="C18" s="1">
        <v>28.34731635937413</v>
      </c>
      <c r="D18" s="1">
        <v>28.367288475021095</v>
      </c>
      <c r="E18" s="1">
        <v>43.340687914275314</v>
      </c>
    </row>
    <row r="19" spans="1:5" x14ac:dyDescent="0.2">
      <c r="A19" s="43" t="s">
        <v>14</v>
      </c>
      <c r="B19" s="41">
        <v>86.653709609062176</v>
      </c>
      <c r="C19" s="1">
        <v>84.81414676273603</v>
      </c>
      <c r="D19" s="1">
        <v>88.809742859349768</v>
      </c>
      <c r="E19" s="1">
        <v>89.325654628005495</v>
      </c>
    </row>
    <row r="20" spans="1:5" x14ac:dyDescent="0.2">
      <c r="A20" s="44" t="s">
        <v>15</v>
      </c>
      <c r="B20" s="34" t="s">
        <v>0</v>
      </c>
      <c r="C20" s="3" t="s">
        <v>0</v>
      </c>
      <c r="D20" s="3" t="s">
        <v>0</v>
      </c>
      <c r="E20" s="3" t="s">
        <v>0</v>
      </c>
    </row>
    <row r="21" spans="1:5" x14ac:dyDescent="0.2">
      <c r="A21" s="43" t="s">
        <v>16</v>
      </c>
      <c r="B21" s="41">
        <v>1.6768200895021692</v>
      </c>
      <c r="C21" s="1">
        <v>1.0833084716962305</v>
      </c>
      <c r="D21" s="1">
        <v>1.0605830986444036</v>
      </c>
      <c r="E21" s="1">
        <v>2.7812249274435663</v>
      </c>
    </row>
    <row r="22" spans="1:5" x14ac:dyDescent="0.2">
      <c r="A22" s="43" t="s">
        <v>17</v>
      </c>
      <c r="B22" s="41">
        <v>1.8662239877794191</v>
      </c>
      <c r="C22" s="1">
        <v>1.1947322013082053</v>
      </c>
      <c r="D22" s="1">
        <v>1.2545104328809724</v>
      </c>
      <c r="E22" s="1">
        <v>2.9973904753570402</v>
      </c>
    </row>
    <row r="23" spans="1:5" x14ac:dyDescent="0.2">
      <c r="A23" s="43" t="s">
        <v>18</v>
      </c>
      <c r="B23" s="41">
        <v>97.379314183753195</v>
      </c>
      <c r="C23" s="1">
        <v>98.159748781431176</v>
      </c>
      <c r="D23" s="1">
        <v>98.111176160786158</v>
      </c>
      <c r="E23" s="1">
        <v>96.257514771782326</v>
      </c>
    </row>
    <row r="24" spans="1:5" x14ac:dyDescent="0.2">
      <c r="A24" s="43" t="s">
        <v>19</v>
      </c>
      <c r="B24" s="41">
        <v>98.133776012220579</v>
      </c>
      <c r="C24" s="1">
        <v>98.805267798691801</v>
      </c>
      <c r="D24" s="1">
        <v>98.745489567119023</v>
      </c>
      <c r="E24" s="1">
        <v>97.002609524642963</v>
      </c>
    </row>
    <row r="25" spans="1:5" x14ac:dyDescent="0.2">
      <c r="A25" s="43" t="s">
        <v>20</v>
      </c>
      <c r="B25" s="41">
        <v>71.454841114927547</v>
      </c>
      <c r="C25" s="1">
        <v>73.51976092902423</v>
      </c>
      <c r="D25" s="1">
        <v>65.964359035626003</v>
      </c>
      <c r="E25" s="1">
        <v>71.178689756103068</v>
      </c>
    </row>
    <row r="26" spans="1:5" x14ac:dyDescent="0.2">
      <c r="A26" s="43" t="s">
        <v>21</v>
      </c>
      <c r="B26" s="41">
        <v>26.67893489729304</v>
      </c>
      <c r="C26" s="1">
        <v>25.285506869667568</v>
      </c>
      <c r="D26" s="1">
        <v>32.781130531493034</v>
      </c>
      <c r="E26" s="1">
        <v>25.823919768539898</v>
      </c>
    </row>
    <row r="27" spans="1:5" x14ac:dyDescent="0.2">
      <c r="A27" s="43" t="s">
        <v>22</v>
      </c>
      <c r="B27" s="41">
        <v>167.33857639381145</v>
      </c>
      <c r="C27" s="1">
        <v>205.44765106523951</v>
      </c>
      <c r="D27" s="1">
        <v>171.95539975708743</v>
      </c>
      <c r="E27" s="1">
        <v>172.77595185936394</v>
      </c>
    </row>
    <row r="28" spans="1:5" x14ac:dyDescent="0.2">
      <c r="A28" s="43" t="s">
        <v>23</v>
      </c>
      <c r="B28" s="41">
        <v>3.1229126534698981</v>
      </c>
      <c r="C28" s="1">
        <v>2.4545492441077368</v>
      </c>
      <c r="D28" s="1">
        <v>2.1571984298548439</v>
      </c>
      <c r="E28" s="1">
        <v>5.1787699247400401</v>
      </c>
    </row>
    <row r="29" spans="1:5" x14ac:dyDescent="0.2">
      <c r="A29" s="44" t="s">
        <v>24</v>
      </c>
      <c r="B29" s="34" t="s">
        <v>0</v>
      </c>
      <c r="C29" s="3" t="s">
        <v>0</v>
      </c>
      <c r="D29" s="3" t="s">
        <v>0</v>
      </c>
      <c r="E29" s="3" t="s">
        <v>0</v>
      </c>
    </row>
    <row r="30" spans="1:5" x14ac:dyDescent="0.2">
      <c r="A30" s="43" t="s">
        <v>25</v>
      </c>
      <c r="B30" s="41">
        <v>19.401470300152788</v>
      </c>
      <c r="C30" s="1">
        <v>18.764952970278735</v>
      </c>
      <c r="D30" s="1">
        <v>15.939220431509863</v>
      </c>
      <c r="E30" s="1">
        <v>19.364553940734279</v>
      </c>
    </row>
    <row r="31" spans="1:5" x14ac:dyDescent="0.2">
      <c r="A31" s="43" t="s">
        <v>26</v>
      </c>
      <c r="B31" s="41">
        <v>23.794278493510209</v>
      </c>
      <c r="C31" s="1">
        <v>18.507052713501135</v>
      </c>
      <c r="D31" s="1">
        <v>13.072275392408805</v>
      </c>
      <c r="E31" s="1">
        <v>28.124466286326992</v>
      </c>
    </row>
    <row r="32" spans="1:5" x14ac:dyDescent="0.2">
      <c r="A32" s="43" t="s">
        <v>27</v>
      </c>
      <c r="B32" s="41">
        <v>59.304169528056065</v>
      </c>
      <c r="C32" s="1">
        <v>64.50735038512903</v>
      </c>
      <c r="D32" s="1">
        <v>66.225215114600715</v>
      </c>
      <c r="E32" s="1">
        <v>50.065781592721201</v>
      </c>
    </row>
    <row r="33" spans="1:5" x14ac:dyDescent="0.2">
      <c r="A33" s="43" t="s">
        <v>28</v>
      </c>
      <c r="B33" s="41">
        <v>15.376166054602855</v>
      </c>
      <c r="C33" s="1">
        <v>9.585041428347493</v>
      </c>
      <c r="D33" s="1">
        <v>13.628713501579535</v>
      </c>
      <c r="E33" s="1">
        <v>24.230430074013899</v>
      </c>
    </row>
    <row r="34" spans="1:5" x14ac:dyDescent="0.2">
      <c r="A34" s="43" t="s">
        <v>29</v>
      </c>
      <c r="B34" s="41">
        <v>28.730444871554024</v>
      </c>
      <c r="C34" s="1">
        <v>43.922763413003231</v>
      </c>
      <c r="D34" s="1">
        <v>25.655630024509058</v>
      </c>
      <c r="E34" s="1">
        <v>22.66079112222161</v>
      </c>
    </row>
    <row r="35" spans="1:5" x14ac:dyDescent="0.2">
      <c r="A35" s="43" t="s">
        <v>30</v>
      </c>
      <c r="B35" s="41">
        <v>2.808079180635116</v>
      </c>
      <c r="C35" s="1">
        <v>4.4396305542697228</v>
      </c>
      <c r="D35" s="1">
        <v>1.8873943123327501</v>
      </c>
      <c r="E35" s="1">
        <v>2.4517435848727285</v>
      </c>
    </row>
    <row r="36" spans="1:5" x14ac:dyDescent="0.2">
      <c r="A36" s="43" t="s">
        <v>31</v>
      </c>
      <c r="B36" s="41">
        <v>3.8298078439351504</v>
      </c>
      <c r="C36" s="1">
        <v>5.4026566944355006</v>
      </c>
      <c r="D36" s="1">
        <v>3.0426138657123558</v>
      </c>
      <c r="E36" s="1">
        <v>3.1663308717749685</v>
      </c>
    </row>
    <row r="37" spans="1:5" x14ac:dyDescent="0.2">
      <c r="A37" s="43" t="s">
        <v>32</v>
      </c>
      <c r="B37" s="41">
        <v>1.0477351113580118</v>
      </c>
      <c r="C37" s="1">
        <v>0.45216879261546006</v>
      </c>
      <c r="D37" s="1">
        <v>0.96114304487834712</v>
      </c>
      <c r="E37" s="1">
        <v>0.79315734227106471</v>
      </c>
    </row>
    <row r="38" spans="1:5" x14ac:dyDescent="0.2">
      <c r="A38" s="43" t="s">
        <v>33</v>
      </c>
      <c r="B38" s="41">
        <v>1.4126732958371251</v>
      </c>
      <c r="C38" s="1">
        <v>1.5387358179710764</v>
      </c>
      <c r="D38" s="1">
        <v>0.88890992702838256</v>
      </c>
      <c r="E38" s="1">
        <v>2.1786874807748489</v>
      </c>
    </row>
    <row r="39" spans="1:5" x14ac:dyDescent="0.2">
      <c r="A39" s="44" t="s">
        <v>34</v>
      </c>
      <c r="B39" s="34" t="s">
        <v>0</v>
      </c>
      <c r="C39" s="3" t="s">
        <v>0</v>
      </c>
      <c r="D39" s="3" t="s">
        <v>0</v>
      </c>
      <c r="E39" s="3" t="s">
        <v>0</v>
      </c>
    </row>
    <row r="40" spans="1:5" x14ac:dyDescent="0.2">
      <c r="A40" s="43" t="s">
        <v>35</v>
      </c>
      <c r="B40" s="41">
        <v>90.189540519615903</v>
      </c>
      <c r="C40" s="1">
        <v>91.16982536806043</v>
      </c>
      <c r="D40" s="1">
        <v>93.176962580769668</v>
      </c>
      <c r="E40" s="1">
        <v>88.961634562980578</v>
      </c>
    </row>
    <row r="41" spans="1:5" x14ac:dyDescent="0.2">
      <c r="A41" s="43" t="s">
        <v>36</v>
      </c>
      <c r="B41" s="41">
        <v>74.322739735678354</v>
      </c>
      <c r="C41" s="1">
        <v>78.346892047501001</v>
      </c>
      <c r="D41" s="1">
        <v>82.120815232905315</v>
      </c>
      <c r="E41" s="1">
        <v>64.320055229116491</v>
      </c>
    </row>
    <row r="42" spans="1:5" x14ac:dyDescent="0.2">
      <c r="A42" s="43" t="s">
        <v>37</v>
      </c>
      <c r="B42" s="41">
        <v>83.859257465441999</v>
      </c>
      <c r="C42" s="1">
        <v>82.249997482991233</v>
      </c>
      <c r="D42" s="1">
        <v>86.562204544875797</v>
      </c>
      <c r="E42" s="1">
        <v>85.267142767742769</v>
      </c>
    </row>
    <row r="43" spans="1:5" x14ac:dyDescent="0.2">
      <c r="A43" s="43" t="s">
        <v>38</v>
      </c>
      <c r="B43" s="41">
        <v>0.26563619838564723</v>
      </c>
      <c r="C43" s="1">
        <v>0.26575280124062689</v>
      </c>
      <c r="D43" s="1">
        <v>0.16052472657291811</v>
      </c>
      <c r="E43" s="1">
        <v>0.40469190202158417</v>
      </c>
    </row>
    <row r="44" spans="1:5" x14ac:dyDescent="0.2">
      <c r="A44" s="43" t="s">
        <v>39</v>
      </c>
      <c r="B44" s="41">
        <v>91.324282879211637</v>
      </c>
      <c r="C44" s="1">
        <v>92.582581864400296</v>
      </c>
      <c r="D44" s="1">
        <v>88.457099955519496</v>
      </c>
      <c r="E44" s="1">
        <v>92.275467237071524</v>
      </c>
    </row>
    <row r="45" spans="1:5" x14ac:dyDescent="0.2">
      <c r="A45" s="43" t="s">
        <v>40</v>
      </c>
      <c r="B45" s="41">
        <v>26.544559749347396</v>
      </c>
      <c r="C45" s="1">
        <v>17.251481574124679</v>
      </c>
      <c r="D45" s="1">
        <v>32.370846646314924</v>
      </c>
      <c r="E45" s="1">
        <v>43.353455232968017</v>
      </c>
    </row>
    <row r="46" spans="1:5" x14ac:dyDescent="0.2">
      <c r="A46" s="43" t="s">
        <v>41</v>
      </c>
      <c r="B46" s="41">
        <v>73.4554402506526</v>
      </c>
      <c r="C46" s="1">
        <v>82.748518425875318</v>
      </c>
      <c r="D46" s="1">
        <v>67.629153353685084</v>
      </c>
      <c r="E46" s="1">
        <v>56.646544767031983</v>
      </c>
    </row>
    <row r="47" spans="1:5" x14ac:dyDescent="0.2">
      <c r="A47" s="43" t="s">
        <v>42</v>
      </c>
      <c r="B47" s="41">
        <v>25.334370049032213</v>
      </c>
      <c r="C47" s="1">
        <v>27.231318502409625</v>
      </c>
      <c r="D47" s="1">
        <v>30.927606916331442</v>
      </c>
      <c r="E47" s="1">
        <v>32.068301143072325</v>
      </c>
    </row>
    <row r="48" spans="1:5" x14ac:dyDescent="0.2">
      <c r="A48" s="43" t="s">
        <v>43</v>
      </c>
      <c r="B48" s="41">
        <v>44.56697923194649</v>
      </c>
      <c r="C48" s="1">
        <v>51.667669079465028</v>
      </c>
      <c r="D48" s="1">
        <v>45.022297184373947</v>
      </c>
      <c r="E48" s="1">
        <v>55.303949652466677</v>
      </c>
    </row>
    <row r="49" spans="1:5" x14ac:dyDescent="0.2">
      <c r="A49" s="43" t="s">
        <v>44</v>
      </c>
      <c r="B49" s="41">
        <v>30.093644539681797</v>
      </c>
      <c r="C49" s="1">
        <v>21.101012418125354</v>
      </c>
      <c r="D49" s="1">
        <v>24.050095899294618</v>
      </c>
      <c r="E49" s="1">
        <v>12.627749204460997</v>
      </c>
    </row>
    <row r="50" spans="1:5" x14ac:dyDescent="0.2">
      <c r="A50" s="44" t="s">
        <v>45</v>
      </c>
      <c r="B50" s="34" t="s">
        <v>0</v>
      </c>
      <c r="C50" s="3" t="s">
        <v>0</v>
      </c>
      <c r="D50" s="3" t="s">
        <v>0</v>
      </c>
      <c r="E50" s="3" t="s">
        <v>0</v>
      </c>
    </row>
    <row r="51" spans="1:5" x14ac:dyDescent="0.2">
      <c r="A51" s="43" t="s">
        <v>46</v>
      </c>
      <c r="B51" s="41">
        <v>15.372568122874739</v>
      </c>
      <c r="C51" s="1">
        <v>13.38</v>
      </c>
      <c r="D51" s="1">
        <v>16.010000000000002</v>
      </c>
      <c r="E51" s="1">
        <v>15.28</v>
      </c>
    </row>
    <row r="52" spans="1:5" x14ac:dyDescent="0.2">
      <c r="A52" s="43" t="s">
        <v>47</v>
      </c>
      <c r="B52" s="41">
        <v>9.1932024896437206</v>
      </c>
      <c r="C52" s="1">
        <v>10.324804340594875</v>
      </c>
      <c r="D52" s="1">
        <v>13.656229162419056</v>
      </c>
      <c r="E52" s="1">
        <v>8.0593123203395258</v>
      </c>
    </row>
    <row r="53" spans="1:5" x14ac:dyDescent="0.2">
      <c r="A53" s="43" t="s">
        <v>48</v>
      </c>
      <c r="B53" s="41">
        <v>10.193202489643721</v>
      </c>
      <c r="C53" s="1">
        <v>11.324804340594875</v>
      </c>
      <c r="D53" s="1">
        <v>14.656229162419056</v>
      </c>
      <c r="E53" s="1">
        <v>9.0593123203395258</v>
      </c>
    </row>
    <row r="54" spans="1:5" x14ac:dyDescent="0.2">
      <c r="A54" s="43" t="s">
        <v>49</v>
      </c>
      <c r="B54" s="41">
        <v>10.463121672981787</v>
      </c>
      <c r="C54" s="1">
        <v>8.1130664054205806</v>
      </c>
      <c r="D54" s="1">
        <v>10.521107232964479</v>
      </c>
      <c r="E54" s="1">
        <v>13.303525946457365</v>
      </c>
    </row>
    <row r="55" spans="1:5" x14ac:dyDescent="0.2">
      <c r="A55" s="43" t="s">
        <v>50</v>
      </c>
      <c r="B55" s="41">
        <v>6.2398594449617919</v>
      </c>
      <c r="C55" s="1">
        <v>7.489156244404926</v>
      </c>
      <c r="D55" s="1">
        <v>9.9201158743828302</v>
      </c>
      <c r="E55" s="1">
        <v>4.7833333489807455</v>
      </c>
    </row>
    <row r="56" spans="1:5" x14ac:dyDescent="0.2">
      <c r="A56" s="43" t="s">
        <v>51</v>
      </c>
      <c r="B56" s="41">
        <v>2.9090745013523946</v>
      </c>
      <c r="C56" s="1">
        <v>3.2043849679979721</v>
      </c>
      <c r="D56" s="1">
        <v>3.4728394444744324</v>
      </c>
      <c r="E56" s="1">
        <v>2.6300698248538952</v>
      </c>
    </row>
    <row r="57" spans="1:5" x14ac:dyDescent="0.2">
      <c r="A57" s="43" t="s">
        <v>52</v>
      </c>
      <c r="B57" s="41">
        <v>0.14399664956180186</v>
      </c>
      <c r="C57" s="1">
        <v>0.17425882070387652</v>
      </c>
      <c r="D57" s="1">
        <v>0.13028067595277176</v>
      </c>
      <c r="E57" s="1">
        <v>0.1973741033675307</v>
      </c>
    </row>
    <row r="58" spans="1:5" x14ac:dyDescent="0.2">
      <c r="A58" s="43" t="s">
        <v>53</v>
      </c>
      <c r="B58" s="41">
        <v>9.810459480384095</v>
      </c>
      <c r="C58" s="1">
        <v>8.8301746319395686</v>
      </c>
      <c r="D58" s="1">
        <v>6.823037419230328</v>
      </c>
      <c r="E58" s="1">
        <v>11.038365437019419</v>
      </c>
    </row>
    <row r="59" spans="1:5" x14ac:dyDescent="0.2">
      <c r="A59" s="43" t="s">
        <v>54</v>
      </c>
      <c r="B59" s="41">
        <v>10.877602240639373</v>
      </c>
      <c r="C59" s="1">
        <v>9.6854135634146434</v>
      </c>
      <c r="D59" s="1">
        <v>7.3226656356348121</v>
      </c>
      <c r="E59" s="1">
        <v>12.408006542645957</v>
      </c>
    </row>
    <row r="60" spans="1:5" x14ac:dyDescent="0.2">
      <c r="A60" s="43" t="s">
        <v>55</v>
      </c>
      <c r="B60" s="41">
        <v>11.910963763084162</v>
      </c>
      <c r="C60" s="1">
        <v>10.461377689380321</v>
      </c>
      <c r="D60" s="1">
        <v>8.2782112903509191</v>
      </c>
      <c r="E60" s="1">
        <v>13.446701397639806</v>
      </c>
    </row>
    <row r="61" spans="1:5" x14ac:dyDescent="0.2">
      <c r="A61" s="43" t="s">
        <v>56</v>
      </c>
      <c r="B61" s="41">
        <v>12.172007996819193</v>
      </c>
      <c r="C61" s="1">
        <v>10.869907699701209</v>
      </c>
      <c r="D61" s="1">
        <v>8.116790558278284</v>
      </c>
      <c r="E61" s="1">
        <v>13.689222266974751</v>
      </c>
    </row>
    <row r="62" spans="1:5" x14ac:dyDescent="0.2">
      <c r="A62" s="44" t="s">
        <v>57</v>
      </c>
      <c r="B62" s="34" t="s">
        <v>0</v>
      </c>
      <c r="C62" s="3" t="s">
        <v>0</v>
      </c>
      <c r="D62" s="3" t="s">
        <v>0</v>
      </c>
      <c r="E62" s="3" t="s">
        <v>0</v>
      </c>
    </row>
    <row r="63" spans="1:5" x14ac:dyDescent="0.2">
      <c r="A63" s="43" t="s">
        <v>58</v>
      </c>
      <c r="B63" s="41">
        <v>7.6000110916015595</v>
      </c>
      <c r="C63" s="1">
        <v>8.5430080818924115</v>
      </c>
      <c r="D63" s="1">
        <v>6.1716088411186396</v>
      </c>
      <c r="E63" s="1">
        <v>7.1401763166756407</v>
      </c>
    </row>
    <row r="64" spans="1:5" x14ac:dyDescent="0.2">
      <c r="A64" s="43" t="s">
        <v>59</v>
      </c>
      <c r="B64" s="41">
        <v>66.273209868651918</v>
      </c>
      <c r="C64" s="1">
        <v>68.447779635728878</v>
      </c>
      <c r="D64" s="1">
        <v>66.752130820558662</v>
      </c>
      <c r="E64" s="1">
        <v>55.773922016796817</v>
      </c>
    </row>
    <row r="65" spans="1:5" x14ac:dyDescent="0.2">
      <c r="A65" s="43" t="s">
        <v>60</v>
      </c>
      <c r="B65" s="41">
        <v>4.1102537821924701</v>
      </c>
      <c r="C65" s="1">
        <v>3.480836995699975</v>
      </c>
      <c r="D65" s="1">
        <v>4.152893387720602</v>
      </c>
      <c r="E65" s="1">
        <v>4.0997649363882154</v>
      </c>
    </row>
    <row r="66" spans="1:5" x14ac:dyDescent="0.2">
      <c r="A66" s="43" t="s">
        <v>61</v>
      </c>
      <c r="B66" s="41">
        <v>3.5327707594641717</v>
      </c>
      <c r="C66" s="1">
        <v>2.7664189393144576</v>
      </c>
      <c r="D66" s="1">
        <v>3.3616568873661912</v>
      </c>
      <c r="E66" s="1">
        <v>3.6390630543969524</v>
      </c>
    </row>
    <row r="67" spans="1:5" x14ac:dyDescent="0.2">
      <c r="A67" s="43" t="s">
        <v>62</v>
      </c>
      <c r="B67" s="41">
        <v>3.0050458480410969</v>
      </c>
      <c r="C67" s="1">
        <v>2.2766540659956545</v>
      </c>
      <c r="D67" s="1">
        <v>2.8253456931797727</v>
      </c>
      <c r="E67" s="1">
        <v>3.0954882822982621</v>
      </c>
    </row>
    <row r="68" spans="1:5" x14ac:dyDescent="0.2">
      <c r="A68" s="43" t="s">
        <v>63</v>
      </c>
      <c r="B68" s="41">
        <v>7.1719399321617612</v>
      </c>
      <c r="C68" s="1">
        <v>8.1559115854362645</v>
      </c>
      <c r="D68" s="1">
        <v>5.6009718988918342</v>
      </c>
      <c r="E68" s="1">
        <v>6.9022341224708015</v>
      </c>
    </row>
    <row r="69" spans="1:5" x14ac:dyDescent="0.2">
      <c r="A69" s="43" t="s">
        <v>5</v>
      </c>
      <c r="B69" s="41">
        <v>14.018717642761235</v>
      </c>
      <c r="C69" s="1">
        <v>13.857376900408344</v>
      </c>
      <c r="D69" s="1">
        <v>12.06306540082849</v>
      </c>
      <c r="E69" s="1">
        <v>15.059421080710326</v>
      </c>
    </row>
    <row r="70" spans="1:5" x14ac:dyDescent="0.2">
      <c r="A70" s="43" t="s">
        <v>64</v>
      </c>
      <c r="B70" s="41">
        <v>4.0768834656961035</v>
      </c>
      <c r="C70" s="1">
        <v>3.261742344768729</v>
      </c>
      <c r="D70" s="1">
        <v>3.7852343438153309</v>
      </c>
      <c r="E70" s="1">
        <v>4.0739282231423219</v>
      </c>
    </row>
    <row r="71" spans="1:5" x14ac:dyDescent="0.2">
      <c r="A71" s="43" t="s">
        <v>65</v>
      </c>
      <c r="B71" s="41">
        <v>3.2774029452239688</v>
      </c>
      <c r="C71" s="1">
        <v>2.6340281197844462</v>
      </c>
      <c r="D71" s="1">
        <v>3.1870962479824771</v>
      </c>
      <c r="E71" s="1">
        <v>3.2994392306824909</v>
      </c>
    </row>
    <row r="72" spans="1:5" x14ac:dyDescent="0.2">
      <c r="A72" s="43" t="s">
        <v>66</v>
      </c>
      <c r="B72" s="41">
        <v>29.081714673105353</v>
      </c>
      <c r="C72" s="1">
        <v>23.537949268541674</v>
      </c>
      <c r="D72" s="1">
        <v>31.378710286652023</v>
      </c>
      <c r="E72" s="1">
        <v>27.052356138448335</v>
      </c>
    </row>
    <row r="73" spans="1:5" x14ac:dyDescent="0.2">
      <c r="A73" s="43" t="s">
        <v>67</v>
      </c>
      <c r="B73" s="41">
        <v>83.644374721783763</v>
      </c>
      <c r="C73" s="1">
        <v>83.818249630887536</v>
      </c>
      <c r="D73" s="1">
        <v>81.006996455334274</v>
      </c>
      <c r="E73" s="1">
        <v>77.767845853566442</v>
      </c>
    </row>
    <row r="74" spans="1:5" x14ac:dyDescent="0.2">
      <c r="A74" s="43" t="s">
        <v>68</v>
      </c>
      <c r="B74" s="41">
        <v>6.2597454200734388</v>
      </c>
      <c r="C74" s="1">
        <v>7.2109291419388137</v>
      </c>
      <c r="D74" s="1">
        <v>5.0867411549264983</v>
      </c>
      <c r="E74" s="1">
        <v>5.8613538843103141</v>
      </c>
    </row>
    <row r="75" spans="1:5" x14ac:dyDescent="0.2">
      <c r="A75" s="43" t="s">
        <v>69</v>
      </c>
      <c r="B75" s="41">
        <v>8.2765526883014431</v>
      </c>
      <c r="C75" s="1">
        <v>9.616216040293466</v>
      </c>
      <c r="D75" s="1">
        <v>6.3067088345951356</v>
      </c>
      <c r="E75" s="1">
        <v>7.7270456636617846</v>
      </c>
    </row>
    <row r="76" spans="1:5" x14ac:dyDescent="0.2">
      <c r="A76" s="43" t="s">
        <v>70</v>
      </c>
      <c r="B76" s="41">
        <v>52.094959672406205</v>
      </c>
      <c r="C76" s="1">
        <v>47.530285291497805</v>
      </c>
      <c r="D76" s="1">
        <v>61.489446666821536</v>
      </c>
      <c r="E76" s="1">
        <v>50.11465899380709</v>
      </c>
    </row>
    <row r="77" spans="1:5" x14ac:dyDescent="0.2">
      <c r="A77" s="43" t="s">
        <v>71</v>
      </c>
      <c r="B77" s="41">
        <v>27.493228657725751</v>
      </c>
      <c r="C77" s="1">
        <v>26.582239815485998</v>
      </c>
      <c r="D77" s="1">
        <v>31.657323679431599</v>
      </c>
      <c r="E77" s="1">
        <v>43.017057051905191</v>
      </c>
    </row>
    <row r="78" spans="1:5" x14ac:dyDescent="0.2">
      <c r="A78" s="43" t="s">
        <v>72</v>
      </c>
      <c r="B78" s="41">
        <v>34.673027989821882</v>
      </c>
      <c r="C78" s="1">
        <v>36.238805970149251</v>
      </c>
      <c r="D78" s="1">
        <v>47.724137931034484</v>
      </c>
      <c r="E78" s="1">
        <v>32.359223300970875</v>
      </c>
    </row>
    <row r="79" spans="1:5" x14ac:dyDescent="0.2">
      <c r="A79" s="43" t="s">
        <v>73</v>
      </c>
      <c r="B79" s="41">
        <v>1312.9851498066159</v>
      </c>
      <c r="C79" s="1">
        <v>1326.7985857910446</v>
      </c>
      <c r="D79" s="1">
        <v>1954.6701843333333</v>
      </c>
      <c r="E79" s="1">
        <v>1924.7521222038836</v>
      </c>
    </row>
    <row r="80" spans="1:5" x14ac:dyDescent="0.2">
      <c r="A80" s="43" t="s">
        <v>74</v>
      </c>
      <c r="B80" s="41">
        <v>37.867622931347007</v>
      </c>
      <c r="C80" s="1">
        <v>36.612646313014821</v>
      </c>
      <c r="D80" s="1">
        <v>40.957684498314066</v>
      </c>
      <c r="E80" s="1">
        <v>59.480788654965501</v>
      </c>
    </row>
    <row r="81" spans="1:5" x14ac:dyDescent="0.2">
      <c r="A81" s="43" t="s">
        <v>75</v>
      </c>
      <c r="B81" s="41">
        <v>1.7066186666788976</v>
      </c>
      <c r="C81" s="1">
        <v>1.9171542067545304</v>
      </c>
      <c r="D81" s="1">
        <v>1.497401421965318</v>
      </c>
      <c r="E81" s="1">
        <v>2.4929607311731172</v>
      </c>
    </row>
    <row r="82" spans="1:5" x14ac:dyDescent="0.2">
      <c r="A82" s="43" t="s">
        <v>76</v>
      </c>
      <c r="B82" s="41">
        <v>0.88906230616812831</v>
      </c>
      <c r="C82" s="1">
        <v>0.9112288639483801</v>
      </c>
      <c r="D82" s="1">
        <v>0.92074384874759152</v>
      </c>
      <c r="E82" s="1">
        <v>1.2493387692769278</v>
      </c>
    </row>
    <row r="83" spans="1:5" x14ac:dyDescent="0.2">
      <c r="A83" s="44" t="s">
        <v>77</v>
      </c>
      <c r="B83" s="34" t="s">
        <v>0</v>
      </c>
      <c r="C83" s="3" t="s">
        <v>0</v>
      </c>
      <c r="D83" s="3" t="s">
        <v>0</v>
      </c>
      <c r="E83" s="3" t="s">
        <v>0</v>
      </c>
    </row>
    <row r="84" spans="1:5" x14ac:dyDescent="0.2">
      <c r="A84" s="43" t="s">
        <v>78</v>
      </c>
      <c r="B84" s="41">
        <v>52.094959672406205</v>
      </c>
      <c r="C84" s="1">
        <v>47.530285291497805</v>
      </c>
      <c r="D84" s="1">
        <v>61.489446666821536</v>
      </c>
      <c r="E84" s="1">
        <v>50.11465899380709</v>
      </c>
    </row>
    <row r="85" spans="1:5" x14ac:dyDescent="0.2">
      <c r="A85" s="43" t="s">
        <v>79</v>
      </c>
      <c r="B85" s="41">
        <v>47.905040327593795</v>
      </c>
      <c r="C85" s="1">
        <v>52.469714708502188</v>
      </c>
      <c r="D85" s="1">
        <v>38.510553333178457</v>
      </c>
      <c r="E85" s="1">
        <v>49.88534100619291</v>
      </c>
    </row>
    <row r="86" spans="1:5" x14ac:dyDescent="0.2">
      <c r="A86" s="43" t="s">
        <v>80</v>
      </c>
      <c r="B86" s="41">
        <v>23.916889374879119</v>
      </c>
      <c r="C86" s="1">
        <v>53.731624133869801</v>
      </c>
      <c r="D86" s="1">
        <v>46.958569031170796</v>
      </c>
      <c r="E86" s="1">
        <v>31.418380416109713</v>
      </c>
    </row>
  </sheetData>
  <phoneticPr fontId="8" type="noConversion"/>
  <pageMargins left="0.75" right="0.75" top="1" bottom="1" header="0.5" footer="0.5"/>
  <pageSetup scale="5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G37"/>
  <sheetViews>
    <sheetView showGridLines="0" topLeftCell="A15" workbookViewId="0">
      <selection activeCell="D47" sqref="D47"/>
    </sheetView>
  </sheetViews>
  <sheetFormatPr baseColWidth="10" defaultRowHeight="16" x14ac:dyDescent="0.2"/>
  <cols>
    <col min="1" max="1" width="82.83203125" bestFit="1" customWidth="1"/>
    <col min="2" max="5" width="15.83203125" customWidth="1"/>
    <col min="7" max="7" width="16.1640625" bestFit="1" customWidth="1"/>
    <col min="8" max="8" width="12.33203125" bestFit="1" customWidth="1"/>
    <col min="9" max="9" width="21.83203125" bestFit="1" customWidth="1"/>
    <col min="10" max="13" width="15.1640625" bestFit="1" customWidth="1"/>
    <col min="14" max="14" width="13.6640625" bestFit="1" customWidth="1"/>
  </cols>
  <sheetData>
    <row r="1" spans="1:5" ht="17" thickBot="1" x14ac:dyDescent="0.25">
      <c r="A1" s="7" t="s">
        <v>207</v>
      </c>
      <c r="B1" s="8" t="s">
        <v>209</v>
      </c>
      <c r="C1" s="8">
        <v>2013</v>
      </c>
      <c r="D1" s="8">
        <v>2012</v>
      </c>
      <c r="E1" s="8">
        <v>2011</v>
      </c>
    </row>
    <row r="2" spans="1:5" x14ac:dyDescent="0.2">
      <c r="A2" t="s">
        <v>201</v>
      </c>
      <c r="B2" s="13">
        <v>378552047.26327473</v>
      </c>
      <c r="C2" s="13">
        <v>534228028.62387544</v>
      </c>
      <c r="D2" s="13">
        <v>563159390.85454273</v>
      </c>
      <c r="E2" s="13">
        <v>496423727.98221982</v>
      </c>
    </row>
    <row r="3" spans="1:5" x14ac:dyDescent="0.2">
      <c r="A3" t="s">
        <v>202</v>
      </c>
      <c r="B3" s="13">
        <v>54222089.550860353</v>
      </c>
      <c r="C3" s="13">
        <v>60367672.978842378</v>
      </c>
      <c r="D3" s="13">
        <v>65712719.663993508</v>
      </c>
      <c r="E3" s="13">
        <v>55583368.057232179</v>
      </c>
    </row>
    <row r="4" spans="1:5" x14ac:dyDescent="0.2">
      <c r="A4" t="s">
        <v>203</v>
      </c>
      <c r="B4" s="13">
        <v>31858560.028630417</v>
      </c>
      <c r="C4" s="13">
        <v>43510712.556953795</v>
      </c>
      <c r="D4" s="13">
        <v>34771608.851362452</v>
      </c>
      <c r="E4" s="13">
        <v>26769617.800605126</v>
      </c>
    </row>
    <row r="5" spans="1:5" x14ac:dyDescent="0.2">
      <c r="A5" s="16" t="s">
        <v>175</v>
      </c>
      <c r="B5" s="17">
        <v>464632696.84276551</v>
      </c>
      <c r="C5" s="17">
        <v>638106414.15967166</v>
      </c>
      <c r="D5" s="17">
        <v>663643719.36989868</v>
      </c>
      <c r="E5" s="17">
        <v>578776713.84005713</v>
      </c>
    </row>
    <row r="6" spans="1:5" x14ac:dyDescent="0.2">
      <c r="A6" t="s">
        <v>204</v>
      </c>
      <c r="B6" s="13">
        <v>-103519338.34493878</v>
      </c>
      <c r="C6" s="13">
        <v>-126005036.04340483</v>
      </c>
      <c r="D6" s="13">
        <v>-168576345.53466055</v>
      </c>
      <c r="E6" s="13">
        <v>-136431771.07651311</v>
      </c>
    </row>
    <row r="7" spans="1:5" x14ac:dyDescent="0.2">
      <c r="A7" t="s">
        <v>205</v>
      </c>
      <c r="B7" s="13">
        <v>-4249735.1648076782</v>
      </c>
      <c r="C7" s="13">
        <v>-3268947.7074873066</v>
      </c>
      <c r="D7" s="13">
        <v>-2890756.969473978</v>
      </c>
      <c r="E7" s="13">
        <v>-3035312.2900790689</v>
      </c>
    </row>
    <row r="8" spans="1:5" x14ac:dyDescent="0.2">
      <c r="A8" t="s">
        <v>206</v>
      </c>
      <c r="B8" s="13">
        <v>-1595934.9581607266</v>
      </c>
      <c r="C8" s="13">
        <v>-2362688.3776679146</v>
      </c>
      <c r="D8" s="13">
        <v>-1604164.7643867743</v>
      </c>
      <c r="E8" s="13">
        <v>-1491805.0744653698</v>
      </c>
    </row>
    <row r="9" spans="1:5" x14ac:dyDescent="0.2">
      <c r="A9" s="16" t="s">
        <v>176</v>
      </c>
      <c r="B9" s="17">
        <v>-109365008.46790719</v>
      </c>
      <c r="C9" s="17">
        <v>-131636672.12856005</v>
      </c>
      <c r="D9" s="17">
        <v>-173071267.26852131</v>
      </c>
      <c r="E9" s="17">
        <v>-140958888.44105756</v>
      </c>
    </row>
    <row r="10" spans="1:5" ht="17" thickBot="1" x14ac:dyDescent="0.25">
      <c r="A10" s="20" t="s">
        <v>177</v>
      </c>
      <c r="B10" s="21">
        <v>355267688.37485832</v>
      </c>
      <c r="C10" s="21">
        <v>506469742.03111154</v>
      </c>
      <c r="D10" s="21">
        <v>490572452.10137743</v>
      </c>
      <c r="E10" s="21">
        <v>437817825.39899957</v>
      </c>
    </row>
    <row r="11" spans="1:5" ht="17" thickTop="1" x14ac:dyDescent="0.2">
      <c r="A11" t="s">
        <v>178</v>
      </c>
      <c r="B11" s="13">
        <v>-46073501.934669547</v>
      </c>
      <c r="C11" s="13">
        <v>-82557095.442768276</v>
      </c>
      <c r="D11" s="13">
        <v>-73041874.797093689</v>
      </c>
      <c r="E11" s="13">
        <v>-60167387.942256689</v>
      </c>
    </row>
    <row r="12" spans="1:5" x14ac:dyDescent="0.2">
      <c r="A12" t="s">
        <v>103</v>
      </c>
      <c r="B12" s="13">
        <v>0</v>
      </c>
      <c r="C12" s="13">
        <v>0</v>
      </c>
      <c r="D12" s="13">
        <v>-173279.48809679921</v>
      </c>
      <c r="E12" s="13">
        <v>-293343.21409085364</v>
      </c>
    </row>
    <row r="13" spans="1:5" x14ac:dyDescent="0.2">
      <c r="A13" s="16" t="s">
        <v>179</v>
      </c>
      <c r="B13" s="17">
        <v>-46073501.934669547</v>
      </c>
      <c r="C13" s="17">
        <v>-82557095.442768276</v>
      </c>
      <c r="D13" s="17">
        <v>-73215154.285190478</v>
      </c>
      <c r="E13" s="17">
        <v>-60460731.156347543</v>
      </c>
    </row>
    <row r="14" spans="1:5" ht="17" thickBot="1" x14ac:dyDescent="0.25">
      <c r="A14" s="24" t="s">
        <v>180</v>
      </c>
      <c r="B14" s="25">
        <v>309194186.44018877</v>
      </c>
      <c r="C14" s="25">
        <v>423912646.58834326</v>
      </c>
      <c r="D14" s="25">
        <v>417357297.81618696</v>
      </c>
      <c r="E14" s="25">
        <v>377357094.24265206</v>
      </c>
    </row>
    <row r="15" spans="1:5" ht="17" thickTop="1" x14ac:dyDescent="0.2">
      <c r="A15" s="16" t="s">
        <v>181</v>
      </c>
      <c r="B15" s="17">
        <v>-1654491.0616535218</v>
      </c>
      <c r="C15" s="17">
        <v>-3779877.7378476867</v>
      </c>
      <c r="D15" s="17">
        <v>-841241.18193010229</v>
      </c>
      <c r="E15" s="17">
        <v>-3529660.0697500012</v>
      </c>
    </row>
    <row r="16" spans="1:5" x14ac:dyDescent="0.2">
      <c r="A16" t="s">
        <v>182</v>
      </c>
      <c r="B16" s="13">
        <v>118745201.80017586</v>
      </c>
      <c r="C16" s="13">
        <v>144457971.94337881</v>
      </c>
      <c r="D16" s="13">
        <v>145549041.87477162</v>
      </c>
      <c r="E16" s="13">
        <v>128741906.45405956</v>
      </c>
    </row>
    <row r="17" spans="1:7" x14ac:dyDescent="0.2">
      <c r="A17" t="s">
        <v>183</v>
      </c>
      <c r="B17" s="13">
        <v>16293330.398459191</v>
      </c>
      <c r="C17" s="13">
        <v>22461351.005468585</v>
      </c>
      <c r="D17" s="13">
        <v>21665586.655480031</v>
      </c>
      <c r="E17" s="13">
        <v>17324435.290728476</v>
      </c>
    </row>
    <row r="18" spans="1:7" x14ac:dyDescent="0.2">
      <c r="A18" t="s">
        <v>184</v>
      </c>
      <c r="B18" s="13">
        <v>334102.40376197506</v>
      </c>
      <c r="C18" s="13">
        <v>437949.77434124087</v>
      </c>
      <c r="D18" s="13">
        <v>740927.8118200649</v>
      </c>
      <c r="E18" s="13">
        <v>836126.51968382881</v>
      </c>
    </row>
    <row r="19" spans="1:7" x14ac:dyDescent="0.2">
      <c r="A19" s="16" t="s">
        <v>185</v>
      </c>
      <c r="B19" s="17">
        <v>135372634.60239702</v>
      </c>
      <c r="C19" s="17">
        <v>167357272.72318864</v>
      </c>
      <c r="D19" s="17">
        <v>167955556.34207174</v>
      </c>
      <c r="E19" s="17">
        <v>146902468.26447186</v>
      </c>
    </row>
    <row r="20" spans="1:7" x14ac:dyDescent="0.2">
      <c r="A20" t="s">
        <v>182</v>
      </c>
      <c r="B20" s="13">
        <v>-15274819.410959985</v>
      </c>
      <c r="C20" s="13">
        <v>-19079001.692478132</v>
      </c>
      <c r="D20" s="13">
        <v>-19029675.973727532</v>
      </c>
      <c r="E20" s="13">
        <v>-16062850.158377899</v>
      </c>
    </row>
    <row r="21" spans="1:7" x14ac:dyDescent="0.2">
      <c r="A21" t="s">
        <v>186</v>
      </c>
      <c r="B21" s="13">
        <v>-2653877.6934813852</v>
      </c>
      <c r="C21" s="13">
        <v>-3425559.9239388169</v>
      </c>
      <c r="D21" s="13">
        <v>-3062647.5407435889</v>
      </c>
      <c r="E21" s="13">
        <v>-3059205.9589376999</v>
      </c>
    </row>
    <row r="22" spans="1:7" x14ac:dyDescent="0.2">
      <c r="A22" t="s">
        <v>187</v>
      </c>
      <c r="B22" s="13">
        <v>-17928697.104441371</v>
      </c>
      <c r="C22" s="13">
        <v>-22504561.61641695</v>
      </c>
      <c r="D22" s="13">
        <v>-22092323.514471121</v>
      </c>
      <c r="E22" s="13">
        <v>-19122056.117315598</v>
      </c>
    </row>
    <row r="23" spans="1:7" x14ac:dyDescent="0.2">
      <c r="A23" s="16" t="s">
        <v>188</v>
      </c>
      <c r="B23" s="17" t="s">
        <v>0</v>
      </c>
      <c r="C23" s="17" t="s">
        <v>0</v>
      </c>
      <c r="D23" s="17" t="s">
        <v>0</v>
      </c>
      <c r="E23" s="17" t="s">
        <v>0</v>
      </c>
    </row>
    <row r="24" spans="1:7" x14ac:dyDescent="0.2">
      <c r="A24" t="s">
        <v>189</v>
      </c>
      <c r="B24" s="13">
        <v>-153251019.36208817</v>
      </c>
      <c r="C24" s="13">
        <v>-200249084.23785025</v>
      </c>
      <c r="D24" s="13">
        <v>-182108503.36299321</v>
      </c>
      <c r="E24" s="13">
        <v>-167177768.58464387</v>
      </c>
    </row>
    <row r="25" spans="1:7" x14ac:dyDescent="0.2">
      <c r="A25" t="s">
        <v>190</v>
      </c>
      <c r="B25" s="13">
        <v>-40262738.314538211</v>
      </c>
      <c r="C25" s="13">
        <v>-50615019.490004316</v>
      </c>
      <c r="D25" s="13">
        <v>-47755791.770692624</v>
      </c>
      <c r="E25" s="13">
        <v>-44664535.629032731</v>
      </c>
    </row>
    <row r="26" spans="1:7" x14ac:dyDescent="0.2">
      <c r="A26" t="s">
        <v>191</v>
      </c>
      <c r="B26" s="13">
        <v>-21744469.377192255</v>
      </c>
      <c r="C26" s="13">
        <v>-25207489.912069608</v>
      </c>
      <c r="D26" s="13">
        <v>-20821470.754117645</v>
      </c>
      <c r="E26" s="13">
        <v>-18329741.428327881</v>
      </c>
    </row>
    <row r="27" spans="1:7" x14ac:dyDescent="0.2">
      <c r="A27" t="s">
        <v>192</v>
      </c>
      <c r="B27" s="13">
        <v>-7118609.4084009491</v>
      </c>
      <c r="C27" s="13">
        <v>-14542123.789006591</v>
      </c>
      <c r="D27" s="13">
        <v>-9979825.1472702026</v>
      </c>
      <c r="E27" s="13">
        <v>-6761772.1112334151</v>
      </c>
    </row>
    <row r="28" spans="1:7" x14ac:dyDescent="0.2">
      <c r="A28" t="s">
        <v>193</v>
      </c>
      <c r="B28" s="13">
        <v>-107169922.54010278</v>
      </c>
      <c r="C28" s="13">
        <v>-160308183.62144798</v>
      </c>
      <c r="D28" s="13">
        <v>-172599943.80370256</v>
      </c>
      <c r="E28" s="13">
        <v>-144075144.00185788</v>
      </c>
    </row>
    <row r="29" spans="1:7" x14ac:dyDescent="0.2">
      <c r="A29" s="16" t="s">
        <v>194</v>
      </c>
      <c r="B29" s="17">
        <v>-329546759.00232238</v>
      </c>
      <c r="C29" s="17">
        <v>-450921901.05037874</v>
      </c>
      <c r="D29" s="17">
        <v>-433265534.83877623</v>
      </c>
      <c r="E29" s="17">
        <v>-381008961.75509578</v>
      </c>
      <c r="G29" s="216"/>
    </row>
    <row r="30" spans="1:7" ht="17" thickBot="1" x14ac:dyDescent="0.25">
      <c r="A30" s="20" t="s">
        <v>195</v>
      </c>
      <c r="B30" s="21">
        <v>95436873.87416856</v>
      </c>
      <c r="C30" s="21">
        <v>114063578.90688854</v>
      </c>
      <c r="D30" s="21">
        <v>129113754.62308122</v>
      </c>
      <c r="E30" s="21">
        <v>120598884.56496252</v>
      </c>
    </row>
    <row r="31" spans="1:7" ht="17" thickTop="1" x14ac:dyDescent="0.2">
      <c r="A31" t="s">
        <v>196</v>
      </c>
      <c r="B31" s="13">
        <v>50605881.179927155</v>
      </c>
      <c r="C31" s="13">
        <v>53889010.884152852</v>
      </c>
      <c r="D31" s="13">
        <v>43649742.43151474</v>
      </c>
      <c r="E31" s="13">
        <v>34399802.411128201</v>
      </c>
    </row>
    <row r="32" spans="1:7" x14ac:dyDescent="0.2">
      <c r="A32" t="s">
        <v>193</v>
      </c>
      <c r="B32" s="13">
        <v>-17784328.603285957</v>
      </c>
      <c r="C32" s="13">
        <v>-22747073.300685767</v>
      </c>
      <c r="D32" s="13">
        <v>-22403444.499472287</v>
      </c>
      <c r="E32" s="13">
        <v>-17315563.027440451</v>
      </c>
    </row>
    <row r="33" spans="1:5" x14ac:dyDescent="0.2">
      <c r="A33" t="s">
        <v>197</v>
      </c>
      <c r="B33" s="13">
        <v>32821552.576641198</v>
      </c>
      <c r="C33" s="13">
        <v>31141937.583467085</v>
      </c>
      <c r="D33" s="13">
        <v>21246297.932042457</v>
      </c>
      <c r="E33" s="13">
        <v>17084239.383687746</v>
      </c>
    </row>
    <row r="34" spans="1:5" ht="17" thickBot="1" x14ac:dyDescent="0.25">
      <c r="A34" s="14" t="s">
        <v>198</v>
      </c>
      <c r="B34" s="15">
        <v>128258426.45080975</v>
      </c>
      <c r="C34" s="15">
        <v>145205516.49035564</v>
      </c>
      <c r="D34" s="15">
        <v>150360052.55512369</v>
      </c>
      <c r="E34" s="15">
        <v>137683123.94865027</v>
      </c>
    </row>
    <row r="35" spans="1:5" ht="17" thickTop="1" x14ac:dyDescent="0.2">
      <c r="A35" t="s">
        <v>199</v>
      </c>
      <c r="B35" s="13">
        <v>-35135222.522593595</v>
      </c>
      <c r="C35" s="13">
        <v>-41057284.23000332</v>
      </c>
      <c r="D35" s="13">
        <v>-44670147.798553973</v>
      </c>
      <c r="E35" s="13">
        <v>-34400244.548748627</v>
      </c>
    </row>
    <row r="36" spans="1:5" ht="17" thickBot="1" x14ac:dyDescent="0.25">
      <c r="A36" s="20" t="s">
        <v>200</v>
      </c>
      <c r="B36" s="21">
        <v>93123203.928216159</v>
      </c>
      <c r="C36" s="21">
        <v>104148232.26035231</v>
      </c>
      <c r="D36" s="21">
        <v>105689904.75656971</v>
      </c>
      <c r="E36" s="21">
        <v>103282879.39990164</v>
      </c>
    </row>
    <row r="37" spans="1:5" ht="17" thickTop="1" x14ac:dyDescent="0.2">
      <c r="A37" t="s">
        <v>0</v>
      </c>
      <c r="B37" t="s">
        <v>0</v>
      </c>
      <c r="C37" t="s">
        <v>0</v>
      </c>
      <c r="D37" t="s">
        <v>0</v>
      </c>
      <c r="E37" t="s">
        <v>0</v>
      </c>
    </row>
  </sheetData>
  <phoneticPr fontId="8" type="noConversion"/>
  <pageMargins left="0.75" right="0.75" top="1" bottom="1" header="0.5" footer="0.5"/>
  <pageSetup scale="7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89"/>
  <sheetViews>
    <sheetView showGridLines="0" topLeftCell="A22" workbookViewId="0">
      <selection activeCell="E54" sqref="E54"/>
    </sheetView>
  </sheetViews>
  <sheetFormatPr baseColWidth="10" defaultRowHeight="16" x14ac:dyDescent="0.2"/>
  <cols>
    <col min="1" max="1" width="82.83203125" bestFit="1" customWidth="1"/>
    <col min="2" max="5" width="15.83203125" customWidth="1"/>
    <col min="7" max="7" width="16.1640625" bestFit="1" customWidth="1"/>
    <col min="8" max="8" width="12.33203125" bestFit="1" customWidth="1"/>
    <col min="9" max="9" width="21.83203125" bestFit="1" customWidth="1"/>
    <col min="10" max="13" width="15.1640625" bestFit="1" customWidth="1"/>
    <col min="14" max="14" width="13.6640625" bestFit="1" customWidth="1"/>
  </cols>
  <sheetData>
    <row r="1" spans="1:5" ht="17" thickBot="1" x14ac:dyDescent="0.25">
      <c r="A1" s="7" t="s">
        <v>208</v>
      </c>
      <c r="B1" s="8" t="s">
        <v>209</v>
      </c>
      <c r="C1" s="7">
        <v>2013</v>
      </c>
      <c r="D1" s="7">
        <v>2012</v>
      </c>
      <c r="E1" s="7">
        <v>2011</v>
      </c>
    </row>
    <row r="2" spans="1:5" x14ac:dyDescent="0.2">
      <c r="A2" s="4" t="s">
        <v>86</v>
      </c>
      <c r="B2" s="4" t="s">
        <v>0</v>
      </c>
      <c r="C2" s="4" t="s">
        <v>0</v>
      </c>
      <c r="D2" s="4" t="s">
        <v>0</v>
      </c>
      <c r="E2" s="4" t="s">
        <v>0</v>
      </c>
    </row>
    <row r="3" spans="1:5" x14ac:dyDescent="0.2">
      <c r="A3" t="s">
        <v>87</v>
      </c>
      <c r="B3" s="13">
        <v>159776988.54206151</v>
      </c>
      <c r="C3" s="13">
        <v>172361880.85205537</v>
      </c>
      <c r="D3" s="13">
        <v>193727557.59993178</v>
      </c>
      <c r="E3" s="13">
        <v>155378000.24373409</v>
      </c>
    </row>
    <row r="4" spans="1:5" x14ac:dyDescent="0.2">
      <c r="A4" t="s">
        <v>88</v>
      </c>
      <c r="B4" s="13">
        <v>704824342.1026808</v>
      </c>
      <c r="C4" s="13">
        <v>723950334.35952234</v>
      </c>
      <c r="D4" s="13">
        <v>771188378.97744131</v>
      </c>
      <c r="E4" s="13">
        <v>799241348.97304821</v>
      </c>
    </row>
    <row r="5" spans="1:5" x14ac:dyDescent="0.2">
      <c r="A5" t="s">
        <v>89</v>
      </c>
      <c r="B5" s="13">
        <v>2036992.6519114843</v>
      </c>
      <c r="C5" s="13">
        <v>18056665.521575876</v>
      </c>
      <c r="D5" s="13">
        <v>49311603.758811705</v>
      </c>
      <c r="E5" s="13">
        <v>34838.026857396813</v>
      </c>
    </row>
    <row r="6" spans="1:5" x14ac:dyDescent="0.2">
      <c r="A6" t="s">
        <v>90</v>
      </c>
      <c r="B6" s="13">
        <v>207045216.7772696</v>
      </c>
      <c r="C6" s="13">
        <v>152174015.8873111</v>
      </c>
      <c r="D6" s="13">
        <v>163403160.8189331</v>
      </c>
      <c r="E6" s="13">
        <v>142090998.22915012</v>
      </c>
    </row>
    <row r="7" spans="1:5" x14ac:dyDescent="0.2">
      <c r="A7" t="s">
        <v>91</v>
      </c>
      <c r="B7" s="13">
        <v>45053300.321130134</v>
      </c>
      <c r="C7" s="13">
        <v>36796215.773440942</v>
      </c>
      <c r="D7" s="13">
        <v>45657328.167789362</v>
      </c>
      <c r="E7" s="13">
        <v>52452539.325119287</v>
      </c>
    </row>
    <row r="8" spans="1:5" x14ac:dyDescent="0.2">
      <c r="A8" t="s">
        <v>92</v>
      </c>
      <c r="B8" s="13">
        <v>0</v>
      </c>
      <c r="C8" s="13">
        <v>0</v>
      </c>
      <c r="D8" s="13">
        <v>0</v>
      </c>
      <c r="E8" s="13">
        <v>0</v>
      </c>
    </row>
    <row r="9" spans="1:5" x14ac:dyDescent="0.2">
      <c r="A9" s="16" t="s">
        <v>93</v>
      </c>
      <c r="B9" s="17">
        <v>1118736840.3950536</v>
      </c>
      <c r="C9" s="17">
        <v>1103339112.3939056</v>
      </c>
      <c r="D9" s="17">
        <v>1223288029.3229072</v>
      </c>
      <c r="E9" s="17">
        <v>1149197724.797909</v>
      </c>
    </row>
    <row r="10" spans="1:5" x14ac:dyDescent="0.2">
      <c r="A10" t="s">
        <v>94</v>
      </c>
      <c r="B10" s="13">
        <v>0</v>
      </c>
      <c r="C10" s="13">
        <v>0</v>
      </c>
      <c r="D10" s="13">
        <v>0</v>
      </c>
      <c r="E10" s="13">
        <v>0</v>
      </c>
    </row>
    <row r="11" spans="1:5" x14ac:dyDescent="0.2">
      <c r="A11" t="s">
        <v>95</v>
      </c>
      <c r="B11" s="13">
        <v>0</v>
      </c>
      <c r="C11" s="13">
        <v>0</v>
      </c>
      <c r="D11" s="13">
        <v>0</v>
      </c>
      <c r="E11" s="13">
        <v>0</v>
      </c>
    </row>
    <row r="12" spans="1:5" x14ac:dyDescent="0.2">
      <c r="A12" s="16" t="s">
        <v>96</v>
      </c>
      <c r="B12" s="17">
        <v>0</v>
      </c>
      <c r="C12" s="17">
        <v>0</v>
      </c>
      <c r="D12" s="17">
        <v>0</v>
      </c>
      <c r="E12" s="17">
        <v>0</v>
      </c>
    </row>
    <row r="13" spans="1:5" x14ac:dyDescent="0.2">
      <c r="A13" t="s">
        <v>97</v>
      </c>
      <c r="B13" s="13">
        <v>0</v>
      </c>
      <c r="C13" s="13">
        <v>0</v>
      </c>
      <c r="D13" s="13">
        <v>0</v>
      </c>
      <c r="E13" s="13">
        <v>0</v>
      </c>
    </row>
    <row r="14" spans="1:5" x14ac:dyDescent="0.2">
      <c r="A14" t="s">
        <v>98</v>
      </c>
      <c r="B14" s="13">
        <v>0</v>
      </c>
      <c r="C14" s="13">
        <v>0</v>
      </c>
      <c r="D14" s="13">
        <v>0</v>
      </c>
      <c r="E14" s="13">
        <v>0</v>
      </c>
    </row>
    <row r="15" spans="1:5" x14ac:dyDescent="0.2">
      <c r="A15" t="s">
        <v>99</v>
      </c>
      <c r="B15" s="13">
        <v>0</v>
      </c>
      <c r="C15" s="13">
        <v>0</v>
      </c>
      <c r="D15" s="13">
        <v>0</v>
      </c>
      <c r="E15" s="13">
        <v>0</v>
      </c>
    </row>
    <row r="16" spans="1:5" x14ac:dyDescent="0.2">
      <c r="A16" t="s">
        <v>100</v>
      </c>
      <c r="B16" s="13">
        <v>557049374.1291101</v>
      </c>
      <c r="C16" s="13">
        <v>747488409.51082265</v>
      </c>
      <c r="D16" s="13">
        <v>394647220.19298226</v>
      </c>
      <c r="E16" s="13">
        <v>560024507.56347668</v>
      </c>
    </row>
    <row r="17" spans="1:5" x14ac:dyDescent="0.2">
      <c r="A17" t="s">
        <v>101</v>
      </c>
      <c r="B17" s="13">
        <v>0</v>
      </c>
      <c r="C17" s="13">
        <v>0</v>
      </c>
      <c r="D17" s="13">
        <v>0</v>
      </c>
      <c r="E17" s="13">
        <v>0</v>
      </c>
    </row>
    <row r="18" spans="1:5" x14ac:dyDescent="0.2">
      <c r="A18" t="s">
        <v>102</v>
      </c>
      <c r="B18" s="13">
        <v>14444817.429150304</v>
      </c>
      <c r="C18" s="13">
        <v>15812563.393054761</v>
      </c>
      <c r="D18" s="13">
        <v>12683680.819289565</v>
      </c>
      <c r="E18" s="13">
        <v>14598717.853457984</v>
      </c>
    </row>
    <row r="19" spans="1:5" x14ac:dyDescent="0.2">
      <c r="A19" t="s">
        <v>103</v>
      </c>
      <c r="B19" s="13">
        <v>-208830.04346512689</v>
      </c>
      <c r="C19" s="13">
        <v>-200118.71007469247</v>
      </c>
      <c r="D19" s="13">
        <v>-357363.20453848125</v>
      </c>
      <c r="E19" s="13">
        <v>-792965.50505354092</v>
      </c>
    </row>
    <row r="20" spans="1:5" x14ac:dyDescent="0.2">
      <c r="A20" s="16" t="s">
        <v>104</v>
      </c>
      <c r="B20" s="17">
        <v>571285361.5147953</v>
      </c>
      <c r="C20" s="17">
        <v>763100854.19380271</v>
      </c>
      <c r="D20" s="17">
        <v>406973537.8077333</v>
      </c>
      <c r="E20" s="17">
        <v>573830259.91188121</v>
      </c>
    </row>
    <row r="21" spans="1:5" x14ac:dyDescent="0.2">
      <c r="A21" t="s">
        <v>105</v>
      </c>
      <c r="B21" s="13">
        <v>3850011728.0957117</v>
      </c>
      <c r="C21" s="13">
        <v>3726408728.1675262</v>
      </c>
      <c r="D21" s="13">
        <v>3647277089.7345638</v>
      </c>
      <c r="E21" s="13">
        <v>3304328710.6761122</v>
      </c>
    </row>
    <row r="22" spans="1:5" x14ac:dyDescent="0.2">
      <c r="A22" t="s">
        <v>106</v>
      </c>
      <c r="B22" s="13">
        <v>20033865.771837909</v>
      </c>
      <c r="C22" s="13">
        <v>39969196.718311563</v>
      </c>
      <c r="D22" s="13">
        <v>31040028.569209676</v>
      </c>
      <c r="E22" s="13">
        <v>31126637.582814574</v>
      </c>
    </row>
    <row r="23" spans="1:5" x14ac:dyDescent="0.2">
      <c r="A23" t="s">
        <v>107</v>
      </c>
      <c r="B23" s="13">
        <v>31851826.408864655</v>
      </c>
      <c r="C23" s="13">
        <v>43207602.811831832</v>
      </c>
      <c r="D23" s="13">
        <v>25971368.279265299</v>
      </c>
      <c r="E23" s="13">
        <v>25789165.999025717</v>
      </c>
    </row>
    <row r="24" spans="1:5" x14ac:dyDescent="0.2">
      <c r="A24" t="s">
        <v>108</v>
      </c>
      <c r="B24" s="13">
        <v>10858686.094815163</v>
      </c>
      <c r="C24" s="13">
        <v>10719253.572518541</v>
      </c>
      <c r="D24" s="13">
        <v>22642578.740383036</v>
      </c>
      <c r="E24" s="13">
        <v>20144959.437322389</v>
      </c>
    </row>
    <row r="25" spans="1:5" x14ac:dyDescent="0.2">
      <c r="A25" t="s">
        <v>109</v>
      </c>
      <c r="B25" s="13">
        <v>29843219.63646299</v>
      </c>
      <c r="C25" s="13">
        <v>32703787.790616706</v>
      </c>
      <c r="D25" s="13">
        <v>33879740.941943653</v>
      </c>
      <c r="E25" s="13">
        <v>32903319.980514407</v>
      </c>
    </row>
    <row r="26" spans="1:5" x14ac:dyDescent="0.2">
      <c r="A26" t="s">
        <v>110</v>
      </c>
      <c r="B26" s="13">
        <v>-96773041.95471853</v>
      </c>
      <c r="C26" s="13">
        <v>-107256221.54182333</v>
      </c>
      <c r="D26" s="13">
        <v>-97074053.352107882</v>
      </c>
      <c r="E26" s="13">
        <v>-89252305.392929271</v>
      </c>
    </row>
    <row r="27" spans="1:5" x14ac:dyDescent="0.2">
      <c r="A27" s="16" t="s">
        <v>111</v>
      </c>
      <c r="B27" s="17">
        <v>3845826284.0529737</v>
      </c>
      <c r="C27" s="17">
        <v>3745752347.5189819</v>
      </c>
      <c r="D27" s="17">
        <v>3663736752.9132576</v>
      </c>
      <c r="E27" s="17">
        <v>3325040488.2828598</v>
      </c>
    </row>
    <row r="28" spans="1:5" x14ac:dyDescent="0.2">
      <c r="A28" s="16" t="s">
        <v>112</v>
      </c>
      <c r="B28" s="17">
        <v>1890563.7767520256</v>
      </c>
      <c r="C28" s="17">
        <v>1322049.0516162403</v>
      </c>
      <c r="D28" s="17">
        <v>1767177.5428697288</v>
      </c>
      <c r="E28" s="17">
        <v>1493949.593026445</v>
      </c>
    </row>
    <row r="29" spans="1:5" x14ac:dyDescent="0.2">
      <c r="A29" t="s">
        <v>113</v>
      </c>
      <c r="B29" s="13">
        <v>40564908.269148998</v>
      </c>
      <c r="C29" s="13">
        <v>17471538.519825894</v>
      </c>
      <c r="D29" s="13">
        <v>21250714.523063526</v>
      </c>
      <c r="E29" s="13">
        <v>12151553.029743114</v>
      </c>
    </row>
    <row r="30" spans="1:5" x14ac:dyDescent="0.2">
      <c r="A30" t="s">
        <v>114</v>
      </c>
      <c r="B30" s="13">
        <v>0</v>
      </c>
      <c r="C30" s="13">
        <v>0</v>
      </c>
      <c r="D30" s="13">
        <v>0</v>
      </c>
      <c r="E30" s="13">
        <v>0</v>
      </c>
    </row>
    <row r="31" spans="1:5" x14ac:dyDescent="0.2">
      <c r="A31" s="16" t="s">
        <v>115</v>
      </c>
      <c r="B31" s="17">
        <v>40564908.269148998</v>
      </c>
      <c r="C31" s="17">
        <v>17471538.519825894</v>
      </c>
      <c r="D31" s="17">
        <v>21250714.523063526</v>
      </c>
      <c r="E31" s="17">
        <v>12151553.029743114</v>
      </c>
    </row>
    <row r="32" spans="1:5" x14ac:dyDescent="0.2">
      <c r="A32" t="s">
        <v>116</v>
      </c>
      <c r="B32" s="13">
        <v>53790811.083511151</v>
      </c>
      <c r="C32" s="13">
        <v>61272622.005330518</v>
      </c>
      <c r="D32" s="13">
        <v>56696991.473796919</v>
      </c>
      <c r="E32" s="13">
        <v>67440810.143280834</v>
      </c>
    </row>
    <row r="33" spans="1:5" x14ac:dyDescent="0.2">
      <c r="A33" t="s">
        <v>117</v>
      </c>
      <c r="B33" s="13">
        <v>-26833222.264765926</v>
      </c>
      <c r="C33" s="13">
        <v>-28113557.417717442</v>
      </c>
      <c r="D33" s="13">
        <v>-22406227.425677408</v>
      </c>
      <c r="E33" s="13">
        <v>-36501156.93553298</v>
      </c>
    </row>
    <row r="34" spans="1:5" x14ac:dyDescent="0.2">
      <c r="A34" s="16" t="s">
        <v>118</v>
      </c>
      <c r="B34" s="17">
        <v>26957588.818745226</v>
      </c>
      <c r="C34" s="17">
        <v>33159064.587613076</v>
      </c>
      <c r="D34" s="17">
        <v>34290764.048119515</v>
      </c>
      <c r="E34" s="17">
        <v>30939653.207747851</v>
      </c>
    </row>
    <row r="35" spans="1:5" x14ac:dyDescent="0.2">
      <c r="A35" t="s">
        <v>119</v>
      </c>
      <c r="B35" s="13">
        <v>165160.02439742404</v>
      </c>
      <c r="C35" s="13">
        <v>10855037.076682048</v>
      </c>
      <c r="D35" s="13">
        <v>11531350.251635665</v>
      </c>
      <c r="E35" s="13">
        <v>11897879.79572322</v>
      </c>
    </row>
    <row r="36" spans="1:5" x14ac:dyDescent="0.2">
      <c r="A36" t="s">
        <v>120</v>
      </c>
      <c r="B36" s="13">
        <v>-5499.5564979306446</v>
      </c>
      <c r="C36" s="13">
        <v>-113471.97617412488</v>
      </c>
      <c r="D36" s="13">
        <v>-347039.99307413102</v>
      </c>
      <c r="E36" s="13">
        <v>-457929.77764025301</v>
      </c>
    </row>
    <row r="37" spans="1:5" x14ac:dyDescent="0.2">
      <c r="A37" s="16" t="s">
        <v>121</v>
      </c>
      <c r="B37" s="17">
        <v>159660.46789949338</v>
      </c>
      <c r="C37" s="17">
        <v>10741565.100507924</v>
      </c>
      <c r="D37" s="17">
        <v>11184310.258561533</v>
      </c>
      <c r="E37" s="17">
        <v>11439950.018082967</v>
      </c>
    </row>
    <row r="38" spans="1:5" x14ac:dyDescent="0.2">
      <c r="A38" t="s">
        <v>122</v>
      </c>
      <c r="B38" s="13">
        <v>332670580.42395335</v>
      </c>
      <c r="C38" s="13">
        <v>322056518.33498013</v>
      </c>
      <c r="D38" s="13">
        <v>323922662.71654481</v>
      </c>
      <c r="E38" s="13">
        <v>294309779.38121098</v>
      </c>
    </row>
    <row r="39" spans="1:5" x14ac:dyDescent="0.2">
      <c r="A39" t="s">
        <v>123</v>
      </c>
      <c r="B39" s="13">
        <v>-67986823.066725418</v>
      </c>
      <c r="C39" s="13">
        <v>-62955554.212461568</v>
      </c>
      <c r="D39" s="13">
        <v>-54949442.021946348</v>
      </c>
      <c r="E39" s="13">
        <v>-46919997.753178805</v>
      </c>
    </row>
    <row r="40" spans="1:5" x14ac:dyDescent="0.2">
      <c r="A40" s="16" t="s">
        <v>124</v>
      </c>
      <c r="B40" s="17">
        <v>264683757.35722792</v>
      </c>
      <c r="C40" s="17">
        <v>259100964.12251854</v>
      </c>
      <c r="D40" s="17">
        <v>268973220.6945985</v>
      </c>
      <c r="E40" s="17">
        <v>247389781.62803215</v>
      </c>
    </row>
    <row r="41" spans="1:5" x14ac:dyDescent="0.2">
      <c r="A41" t="s">
        <v>125</v>
      </c>
      <c r="B41" s="13">
        <v>53473508.592010804</v>
      </c>
      <c r="C41" s="13">
        <v>55603783.244196951</v>
      </c>
      <c r="D41" s="13">
        <v>40815596.573222607</v>
      </c>
      <c r="E41" s="13">
        <v>37815328.957287729</v>
      </c>
    </row>
    <row r="42" spans="1:5" x14ac:dyDescent="0.2">
      <c r="A42" t="s">
        <v>126</v>
      </c>
      <c r="B42" s="13">
        <v>14136236.154750474</v>
      </c>
      <c r="C42" s="13">
        <v>1912670.6442348673</v>
      </c>
      <c r="D42" s="13">
        <v>2477056.4802071652</v>
      </c>
      <c r="E42" s="13">
        <v>1323022.1058955733</v>
      </c>
    </row>
    <row r="43" spans="1:5" x14ac:dyDescent="0.2">
      <c r="A43" t="s">
        <v>127</v>
      </c>
      <c r="B43" s="13">
        <v>28014790.072480358</v>
      </c>
      <c r="C43" s="13">
        <v>41360527.576371916</v>
      </c>
      <c r="D43" s="13">
        <v>15811799.771089844</v>
      </c>
      <c r="E43" s="13">
        <v>12092065.061897622</v>
      </c>
    </row>
    <row r="44" spans="1:5" x14ac:dyDescent="0.2">
      <c r="A44" t="s">
        <v>128</v>
      </c>
      <c r="B44" s="13">
        <v>-3887537.1339183841</v>
      </c>
      <c r="C44" s="13">
        <v>-1070770.4803780657</v>
      </c>
      <c r="D44" s="13">
        <v>-1055387.8804931117</v>
      </c>
      <c r="E44" s="13">
        <v>-1077744.3886133465</v>
      </c>
    </row>
    <row r="45" spans="1:5" x14ac:dyDescent="0.2">
      <c r="A45" t="s">
        <v>129</v>
      </c>
      <c r="B45" s="13">
        <v>91736997.685323253</v>
      </c>
      <c r="C45" s="13">
        <v>97806210.984425679</v>
      </c>
      <c r="D45" s="13">
        <v>58049064.944026507</v>
      </c>
      <c r="E45" s="13">
        <v>50152671.736467578</v>
      </c>
    </row>
    <row r="46" spans="1:5" ht="17" thickBot="1" x14ac:dyDescent="0.25">
      <c r="A46" s="20" t="s">
        <v>130</v>
      </c>
      <c r="B46" s="21">
        <v>5961841962.3379192</v>
      </c>
      <c r="C46" s="21">
        <v>6031793706.4731979</v>
      </c>
      <c r="D46" s="21">
        <v>5689513572.0551376</v>
      </c>
      <c r="E46" s="21">
        <v>5401636032.2057505</v>
      </c>
    </row>
    <row r="47" spans="1:5" ht="17" thickTop="1" x14ac:dyDescent="0.2">
      <c r="A47" s="4" t="s">
        <v>131</v>
      </c>
      <c r="B47" s="4" t="s">
        <v>0</v>
      </c>
      <c r="C47" s="4" t="s">
        <v>0</v>
      </c>
      <c r="D47" s="4" t="s">
        <v>0</v>
      </c>
      <c r="E47" s="4" t="s">
        <v>0</v>
      </c>
    </row>
    <row r="48" spans="1:5" x14ac:dyDescent="0.2">
      <c r="A48" t="s">
        <v>132</v>
      </c>
      <c r="B48" s="13">
        <v>1066930038.3085735</v>
      </c>
      <c r="C48" s="13">
        <v>1121935154.4689538</v>
      </c>
      <c r="D48" s="13">
        <v>1052387315.9583991</v>
      </c>
      <c r="E48" s="13">
        <v>971364216.84977913</v>
      </c>
    </row>
    <row r="49" spans="1:5" x14ac:dyDescent="0.2">
      <c r="A49" t="s">
        <v>133</v>
      </c>
      <c r="B49" s="13">
        <v>2122238701.9954708</v>
      </c>
      <c r="C49" s="13">
        <v>2096267357.8502564</v>
      </c>
      <c r="D49" s="13">
        <v>1878459952.0027094</v>
      </c>
      <c r="E49" s="13">
        <v>1751157169.9907465</v>
      </c>
    </row>
    <row r="50" spans="1:5" x14ac:dyDescent="0.2">
      <c r="A50" t="s">
        <v>134</v>
      </c>
      <c r="B50" s="13">
        <v>807191042.35877681</v>
      </c>
      <c r="C50" s="13">
        <v>896682250.00456738</v>
      </c>
      <c r="D50" s="13">
        <v>928832269.151492</v>
      </c>
      <c r="E50" s="13">
        <v>907606929.80096245</v>
      </c>
    </row>
    <row r="51" spans="1:5" x14ac:dyDescent="0.2">
      <c r="A51" t="s">
        <v>135</v>
      </c>
      <c r="B51" s="13">
        <v>1614970.5826328052</v>
      </c>
      <c r="C51" s="13">
        <v>1750978.1301635783</v>
      </c>
      <c r="D51" s="13">
        <v>2185895.5186826591</v>
      </c>
      <c r="E51" s="13">
        <v>2671944.2788344515</v>
      </c>
    </row>
    <row r="52" spans="1:5" x14ac:dyDescent="0.2">
      <c r="A52" s="16" t="s">
        <v>136</v>
      </c>
      <c r="B52" s="17">
        <v>3997974753.2454538</v>
      </c>
      <c r="C52" s="17">
        <v>4116635740.4539413</v>
      </c>
      <c r="D52" s="17">
        <v>3861865432.6312828</v>
      </c>
      <c r="E52" s="17">
        <v>3632800260.9203224</v>
      </c>
    </row>
    <row r="53" spans="1:5" x14ac:dyDescent="0.2">
      <c r="A53" t="s">
        <v>137</v>
      </c>
      <c r="B53" s="13">
        <v>0</v>
      </c>
      <c r="C53" s="13">
        <v>0</v>
      </c>
      <c r="D53" s="13">
        <v>0</v>
      </c>
      <c r="E53" s="13">
        <v>0</v>
      </c>
    </row>
    <row r="54" spans="1:5" x14ac:dyDescent="0.2">
      <c r="A54" t="s">
        <v>138</v>
      </c>
      <c r="B54" s="13">
        <v>0</v>
      </c>
      <c r="C54" s="13">
        <v>0</v>
      </c>
      <c r="D54" s="13">
        <v>0</v>
      </c>
      <c r="E54" s="13">
        <v>0</v>
      </c>
    </row>
    <row r="55" spans="1:5" x14ac:dyDescent="0.2">
      <c r="A55" s="16" t="s">
        <v>139</v>
      </c>
      <c r="B55" s="17">
        <v>0</v>
      </c>
      <c r="C55" s="17">
        <v>0</v>
      </c>
      <c r="D55" s="17">
        <v>0</v>
      </c>
      <c r="E55" s="17">
        <v>0</v>
      </c>
    </row>
    <row r="56" spans="1:5" x14ac:dyDescent="0.2">
      <c r="A56" t="s">
        <v>140</v>
      </c>
      <c r="B56" s="13">
        <v>122810931.24659677</v>
      </c>
      <c r="C56" s="13">
        <v>84891966.272633642</v>
      </c>
      <c r="D56" s="13">
        <v>99999516.207679316</v>
      </c>
      <c r="E56" s="13">
        <v>96916142.996372551</v>
      </c>
    </row>
    <row r="57" spans="1:5" x14ac:dyDescent="0.2">
      <c r="A57" t="s">
        <v>141</v>
      </c>
      <c r="B57" s="13">
        <v>43282472.382616259</v>
      </c>
      <c r="C57" s="13">
        <v>40419222.166881159</v>
      </c>
      <c r="D57" s="13">
        <v>38138376.011030465</v>
      </c>
      <c r="E57" s="13">
        <v>30682772.721882623</v>
      </c>
    </row>
    <row r="58" spans="1:5" x14ac:dyDescent="0.2">
      <c r="A58" t="s">
        <v>142</v>
      </c>
      <c r="B58" s="13">
        <v>31330.009793603182</v>
      </c>
      <c r="C58" s="13">
        <v>22964.798790975809</v>
      </c>
      <c r="D58" s="13">
        <v>46134.104685019374</v>
      </c>
      <c r="E58" s="13">
        <v>64724.821888505758</v>
      </c>
    </row>
    <row r="59" spans="1:5" x14ac:dyDescent="0.2">
      <c r="A59" s="16" t="s">
        <v>143</v>
      </c>
      <c r="B59" s="17">
        <v>166124733.63900664</v>
      </c>
      <c r="C59" s="17">
        <v>125334153.23830578</v>
      </c>
      <c r="D59" s="17">
        <v>138184026.32339481</v>
      </c>
      <c r="E59" s="17">
        <v>127663640.54014368</v>
      </c>
    </row>
    <row r="60" spans="1:5" x14ac:dyDescent="0.2">
      <c r="A60" s="16" t="s">
        <v>144</v>
      </c>
      <c r="B60" s="17">
        <v>0</v>
      </c>
      <c r="C60" s="17">
        <v>0</v>
      </c>
      <c r="D60" s="17">
        <v>0</v>
      </c>
      <c r="E60" s="17">
        <v>0</v>
      </c>
    </row>
    <row r="61" spans="1:5" x14ac:dyDescent="0.2">
      <c r="A61" t="s">
        <v>145</v>
      </c>
      <c r="B61" s="13">
        <v>204601.72359719622</v>
      </c>
      <c r="C61" s="13">
        <v>212320.07873272893</v>
      </c>
      <c r="D61" s="13">
        <v>225636.15507326272</v>
      </c>
      <c r="E61" s="13">
        <v>232865.80400558288</v>
      </c>
    </row>
    <row r="62" spans="1:5" x14ac:dyDescent="0.2">
      <c r="A62" t="s">
        <v>146</v>
      </c>
      <c r="B62" s="13">
        <v>0</v>
      </c>
      <c r="C62" s="13">
        <v>0</v>
      </c>
      <c r="D62" s="13">
        <v>0</v>
      </c>
      <c r="E62" s="13">
        <v>0</v>
      </c>
    </row>
    <row r="63" spans="1:5" x14ac:dyDescent="0.2">
      <c r="A63" t="s">
        <v>147</v>
      </c>
      <c r="B63" s="13">
        <v>28168856.388065271</v>
      </c>
      <c r="C63" s="13">
        <v>91867371.12412475</v>
      </c>
      <c r="D63" s="13">
        <v>45181120.004685149</v>
      </c>
      <c r="E63" s="13">
        <v>123491249.04534733</v>
      </c>
    </row>
    <row r="64" spans="1:5" x14ac:dyDescent="0.2">
      <c r="A64" t="s">
        <v>148</v>
      </c>
      <c r="B64" s="13">
        <v>0</v>
      </c>
      <c r="C64" s="13">
        <v>0</v>
      </c>
      <c r="D64" s="13">
        <v>0</v>
      </c>
      <c r="E64" s="13">
        <v>0</v>
      </c>
    </row>
    <row r="65" spans="1:5" x14ac:dyDescent="0.2">
      <c r="A65" t="s">
        <v>149</v>
      </c>
      <c r="B65" s="13">
        <v>195716.5281003296</v>
      </c>
      <c r="C65" s="13">
        <v>368342.20703820523</v>
      </c>
      <c r="D65" s="13">
        <v>203825.57504446435</v>
      </c>
      <c r="E65" s="13">
        <v>225393.3760163663</v>
      </c>
    </row>
    <row r="66" spans="1:5" x14ac:dyDescent="0.2">
      <c r="A66" t="s">
        <v>150</v>
      </c>
      <c r="B66" s="13">
        <v>28569174.6397628</v>
      </c>
      <c r="C66" s="13">
        <v>92448033.409895688</v>
      </c>
      <c r="D66" s="13">
        <v>45610581.734802879</v>
      </c>
      <c r="E66" s="13">
        <v>123949508.22536929</v>
      </c>
    </row>
    <row r="67" spans="1:5" x14ac:dyDescent="0.2">
      <c r="A67" t="s">
        <v>151</v>
      </c>
      <c r="B67" s="13">
        <v>1890563.7767520256</v>
      </c>
      <c r="C67" s="13">
        <v>1322049.0516162403</v>
      </c>
      <c r="D67" s="13">
        <v>1767177.5428697288</v>
      </c>
      <c r="E67" s="13">
        <v>1493949.593026445</v>
      </c>
    </row>
    <row r="68" spans="1:5" x14ac:dyDescent="0.2">
      <c r="A68" t="s">
        <v>152</v>
      </c>
      <c r="B68" s="13">
        <v>865675179.83864605</v>
      </c>
      <c r="C68" s="13">
        <v>832341208.16762221</v>
      </c>
      <c r="D68" s="13">
        <v>795352228.18192124</v>
      </c>
      <c r="E68" s="13">
        <v>834726343.63027823</v>
      </c>
    </row>
    <row r="69" spans="1:5" x14ac:dyDescent="0.2">
      <c r="A69" t="s">
        <v>153</v>
      </c>
      <c r="B69" s="13">
        <v>2459826.5320062265</v>
      </c>
      <c r="C69" s="13">
        <v>2524667.8612748967</v>
      </c>
      <c r="D69" s="13">
        <v>1526833.337364936</v>
      </c>
      <c r="E69" s="13">
        <v>2861714.1077705519</v>
      </c>
    </row>
    <row r="70" spans="1:5" x14ac:dyDescent="0.2">
      <c r="A70" s="16" t="s">
        <v>154</v>
      </c>
      <c r="B70" s="17">
        <v>868135006.37065232</v>
      </c>
      <c r="C70" s="17">
        <v>834865876.02889705</v>
      </c>
      <c r="D70" s="17">
        <v>796879061.51928616</v>
      </c>
      <c r="E70" s="17">
        <v>837588057.73804879</v>
      </c>
    </row>
    <row r="71" spans="1:5" x14ac:dyDescent="0.2">
      <c r="A71" t="s">
        <v>155</v>
      </c>
      <c r="B71" s="13">
        <v>164120429.14068347</v>
      </c>
      <c r="C71" s="13">
        <v>108992199.45784394</v>
      </c>
      <c r="D71" s="13">
        <v>115719575.68867201</v>
      </c>
      <c r="E71" s="13">
        <v>94050564.303595454</v>
      </c>
    </row>
    <row r="72" spans="1:5" x14ac:dyDescent="0.2">
      <c r="A72" t="s">
        <v>156</v>
      </c>
      <c r="B72" s="13">
        <v>0</v>
      </c>
      <c r="C72" s="13">
        <v>0</v>
      </c>
      <c r="D72" s="13">
        <v>0</v>
      </c>
      <c r="E72" s="13">
        <v>0</v>
      </c>
    </row>
    <row r="73" spans="1:5" x14ac:dyDescent="0.2">
      <c r="A73" s="16" t="s">
        <v>157</v>
      </c>
      <c r="B73" s="17">
        <v>164120429.14068347</v>
      </c>
      <c r="C73" s="17">
        <v>108992199.45784394</v>
      </c>
      <c r="D73" s="17">
        <v>115719575.68867201</v>
      </c>
      <c r="E73" s="17">
        <v>94050564.303595454</v>
      </c>
    </row>
    <row r="74" spans="1:5" x14ac:dyDescent="0.2">
      <c r="A74" t="s">
        <v>158</v>
      </c>
      <c r="B74" s="13">
        <v>208380558.13148057</v>
      </c>
      <c r="C74" s="13">
        <v>216060443.8539623</v>
      </c>
      <c r="D74" s="13">
        <v>201674938.13187417</v>
      </c>
      <c r="E74" s="13">
        <v>106290252.98089774</v>
      </c>
    </row>
    <row r="75" spans="1:5" x14ac:dyDescent="0.2">
      <c r="A75" t="s">
        <v>159</v>
      </c>
      <c r="B75" s="13">
        <v>205686.83943685819</v>
      </c>
      <c r="C75" s="13">
        <v>266465.02686071512</v>
      </c>
      <c r="D75" s="13">
        <v>167046.91894314295</v>
      </c>
      <c r="E75" s="13">
        <v>157361.54867734824</v>
      </c>
    </row>
    <row r="76" spans="1:5" x14ac:dyDescent="0.2">
      <c r="A76" t="s">
        <v>160</v>
      </c>
      <c r="B76" s="13">
        <v>208586244.97091743</v>
      </c>
      <c r="C76" s="13">
        <v>216326908.88082302</v>
      </c>
      <c r="D76" s="13">
        <v>201841985.05081731</v>
      </c>
      <c r="E76" s="13">
        <v>106447614.52957508</v>
      </c>
    </row>
    <row r="77" spans="1:5" x14ac:dyDescent="0.2">
      <c r="A77" s="22" t="s">
        <v>161</v>
      </c>
      <c r="B77" s="23">
        <v>5435400905.7832289</v>
      </c>
      <c r="C77" s="23">
        <v>5495924960.5213232</v>
      </c>
      <c r="D77" s="23">
        <v>5161867840.4911261</v>
      </c>
      <c r="E77" s="23">
        <v>4923993595.8500814</v>
      </c>
    </row>
    <row r="78" spans="1:5" x14ac:dyDescent="0.2">
      <c r="A78" t="s">
        <v>162</v>
      </c>
      <c r="B78" s="13">
        <v>0</v>
      </c>
      <c r="C78" s="13">
        <v>0</v>
      </c>
      <c r="D78" s="13">
        <v>0</v>
      </c>
      <c r="E78" s="13" t="s">
        <v>0</v>
      </c>
    </row>
    <row r="79" spans="1:5" x14ac:dyDescent="0.2">
      <c r="A79" t="s">
        <v>163</v>
      </c>
      <c r="B79" s="13">
        <v>309706390.85519898</v>
      </c>
      <c r="C79" s="13">
        <v>304230314.79614043</v>
      </c>
      <c r="D79" s="13">
        <v>305123042.39166558</v>
      </c>
      <c r="E79" s="13">
        <v>272847683.58976328</v>
      </c>
    </row>
    <row r="80" spans="1:5" x14ac:dyDescent="0.2">
      <c r="A80" t="s">
        <v>164</v>
      </c>
      <c r="B80" s="13">
        <v>0</v>
      </c>
      <c r="C80" s="13">
        <v>0</v>
      </c>
      <c r="D80" s="13">
        <v>0</v>
      </c>
      <c r="E80" s="13">
        <v>0</v>
      </c>
    </row>
    <row r="81" spans="1:5" x14ac:dyDescent="0.2">
      <c r="A81" t="s">
        <v>165</v>
      </c>
      <c r="B81" s="13">
        <v>77142321.872829393</v>
      </c>
      <c r="C81" s="13">
        <v>73188672.04709588</v>
      </c>
      <c r="D81" s="13">
        <v>70503772.43427746</v>
      </c>
      <c r="E81" s="13">
        <v>55942051.985004105</v>
      </c>
    </row>
    <row r="82" spans="1:5" x14ac:dyDescent="0.2">
      <c r="A82" t="s">
        <v>166</v>
      </c>
      <c r="B82" s="13">
        <v>29317079.736092217</v>
      </c>
      <c r="C82" s="13">
        <v>28711599.150735978</v>
      </c>
      <c r="D82" s="13">
        <v>26437674.053835902</v>
      </c>
      <c r="E82" s="13">
        <v>24484814.346544575</v>
      </c>
    </row>
    <row r="83" spans="1:5" x14ac:dyDescent="0.2">
      <c r="A83" t="s">
        <v>167</v>
      </c>
      <c r="B83" s="13">
        <v>15566075.751307897</v>
      </c>
      <c r="C83" s="13">
        <v>18221648.038225867</v>
      </c>
      <c r="D83" s="13">
        <v>19858851.298791412</v>
      </c>
      <c r="E83" s="13">
        <v>21006143.873421188</v>
      </c>
    </row>
    <row r="84" spans="1:5" x14ac:dyDescent="0.2">
      <c r="A84" t="s">
        <v>168</v>
      </c>
      <c r="B84" s="13">
        <v>0</v>
      </c>
      <c r="C84" s="13">
        <v>0</v>
      </c>
      <c r="D84" s="13">
        <v>0</v>
      </c>
      <c r="E84" s="13">
        <v>0</v>
      </c>
    </row>
    <row r="85" spans="1:5" x14ac:dyDescent="0.2">
      <c r="A85" s="18" t="s">
        <v>169</v>
      </c>
      <c r="B85" s="19">
        <v>1585984.4110465688</v>
      </c>
      <c r="C85" s="19">
        <v>7368279.659324009</v>
      </c>
      <c r="D85" s="19">
        <v>32486.628871452562</v>
      </c>
      <c r="E85" s="19">
        <v>78863.161034339239</v>
      </c>
    </row>
    <row r="86" spans="1:5" x14ac:dyDescent="0.2">
      <c r="A86" t="s">
        <v>170</v>
      </c>
      <c r="B86" s="13">
        <v>93123203.928216159</v>
      </c>
      <c r="C86" s="13">
        <v>104148232.26035231</v>
      </c>
      <c r="D86" s="13">
        <v>105689904.75656971</v>
      </c>
      <c r="E86" s="13">
        <v>103282879.39990164</v>
      </c>
    </row>
    <row r="87" spans="1:5" x14ac:dyDescent="0.2">
      <c r="A87" s="22" t="s">
        <v>171</v>
      </c>
      <c r="B87" s="23">
        <v>526441056.5546912</v>
      </c>
      <c r="C87" s="23">
        <v>535868745.95187443</v>
      </c>
      <c r="D87" s="23">
        <v>527645731.56401145</v>
      </c>
      <c r="E87" s="23">
        <v>477642436.35566908</v>
      </c>
    </row>
    <row r="88" spans="1:5" ht="17" thickBot="1" x14ac:dyDescent="0.25">
      <c r="A88" s="20" t="s">
        <v>172</v>
      </c>
      <c r="B88" s="21">
        <v>5961841962.3379192</v>
      </c>
      <c r="C88" s="21">
        <v>6031793706.4731979</v>
      </c>
      <c r="D88" s="21">
        <v>5689513572.0551376</v>
      </c>
      <c r="E88" s="21">
        <v>5401636032.2057505</v>
      </c>
    </row>
    <row r="89" spans="1:5" ht="17" thickTop="1" x14ac:dyDescent="0.2"/>
  </sheetData>
  <phoneticPr fontId="8" type="noConversion"/>
  <pageMargins left="0.75" right="0.75" top="1" bottom="1" header="0.5" footer="0.5"/>
  <pageSetup scale="4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E82"/>
  <sheetViews>
    <sheetView showGridLines="0" workbookViewId="0">
      <selection activeCell="E33" sqref="E33"/>
    </sheetView>
  </sheetViews>
  <sheetFormatPr baseColWidth="10" defaultRowHeight="16" x14ac:dyDescent="0.2"/>
  <cols>
    <col min="1" max="1" width="82.83203125" bestFit="1" customWidth="1"/>
    <col min="2" max="5" width="15.83203125" customWidth="1"/>
    <col min="7" max="7" width="16.1640625" bestFit="1" customWidth="1"/>
    <col min="8" max="8" width="12.33203125" bestFit="1" customWidth="1"/>
    <col min="9" max="9" width="21.83203125" bestFit="1" customWidth="1"/>
    <col min="10" max="13" width="15.1640625" bestFit="1" customWidth="1"/>
    <col min="14" max="14" width="13.6640625" bestFit="1" customWidth="1"/>
  </cols>
  <sheetData>
    <row r="1" spans="1:5" ht="17" thickBot="1" x14ac:dyDescent="0.25">
      <c r="A1" s="7" t="s">
        <v>82</v>
      </c>
      <c r="B1" s="8" t="s">
        <v>209</v>
      </c>
      <c r="C1" s="7">
        <v>2013</v>
      </c>
      <c r="D1" s="7">
        <v>2012</v>
      </c>
      <c r="E1" s="7">
        <v>2011</v>
      </c>
    </row>
    <row r="2" spans="1:5" x14ac:dyDescent="0.2">
      <c r="A2" s="5"/>
      <c r="B2" s="5"/>
      <c r="C2" s="5"/>
      <c r="D2" s="5"/>
      <c r="E2" s="5"/>
    </row>
    <row r="3" spans="1:5" x14ac:dyDescent="0.2">
      <c r="A3" s="9" t="s">
        <v>2</v>
      </c>
      <c r="B3" s="10"/>
      <c r="C3" s="10"/>
      <c r="D3" s="10"/>
      <c r="E3" s="10"/>
    </row>
    <row r="4" spans="1:5" x14ac:dyDescent="0.2">
      <c r="A4" s="5" t="s">
        <v>3</v>
      </c>
      <c r="B4" s="12">
        <v>2.8942087863800063</v>
      </c>
      <c r="C4" s="12">
        <v>2.696970137056713</v>
      </c>
      <c r="D4" s="12">
        <v>2.6946748809874581</v>
      </c>
      <c r="E4" s="12">
        <v>2.7054495218356878</v>
      </c>
    </row>
    <row r="5" spans="1:5" x14ac:dyDescent="0.2">
      <c r="A5" s="5" t="s">
        <v>4</v>
      </c>
      <c r="B5" s="12">
        <v>34.007736793731254</v>
      </c>
      <c r="C5" s="12">
        <v>32.159316697371921</v>
      </c>
      <c r="D5" s="12">
        <v>30.706395156352517</v>
      </c>
      <c r="E5" s="12">
        <v>32.133065383063332</v>
      </c>
    </row>
    <row r="6" spans="1:5" x14ac:dyDescent="0.2">
      <c r="A6" s="5" t="s">
        <v>5</v>
      </c>
      <c r="B6" s="12">
        <v>13.857376900408344</v>
      </c>
      <c r="C6" s="12">
        <v>14.428643681780187</v>
      </c>
      <c r="D6" s="12">
        <v>16.084703733816781</v>
      </c>
      <c r="E6" s="12">
        <v>14.640387730589365</v>
      </c>
    </row>
    <row r="7" spans="1:5" x14ac:dyDescent="0.2">
      <c r="A7" s="5" t="s">
        <v>6</v>
      </c>
      <c r="B7" s="12">
        <v>75.155267806010201</v>
      </c>
      <c r="C7" s="12">
        <v>78.419304525669318</v>
      </c>
      <c r="D7" s="12">
        <v>77.081229685623626</v>
      </c>
      <c r="E7" s="12">
        <v>77.407918967086829</v>
      </c>
    </row>
    <row r="8" spans="1:5" x14ac:dyDescent="0.2">
      <c r="A8" s="5" t="s">
        <v>7</v>
      </c>
      <c r="B8" s="12">
        <v>72.603983848162088</v>
      </c>
      <c r="C8" s="12">
        <v>72.857392364322223</v>
      </c>
      <c r="D8" s="12">
        <v>70.339916246363913</v>
      </c>
      <c r="E8" s="12">
        <v>70.890168240532191</v>
      </c>
    </row>
    <row r="9" spans="1:5" x14ac:dyDescent="0.2">
      <c r="A9" s="5" t="s">
        <v>8</v>
      </c>
      <c r="B9" s="12">
        <v>10.595634555639617</v>
      </c>
      <c r="C9" s="12">
        <v>11.494409057578379</v>
      </c>
      <c r="D9" s="12">
        <v>11.88998301605954</v>
      </c>
      <c r="E9" s="12">
        <v>11.074776448204103</v>
      </c>
    </row>
    <row r="10" spans="1:5" x14ac:dyDescent="0.2">
      <c r="A10" s="9" t="s">
        <v>9</v>
      </c>
      <c r="B10" s="10"/>
      <c r="C10" s="10"/>
      <c r="D10" s="10"/>
      <c r="E10" s="10"/>
    </row>
    <row r="11" spans="1:5" x14ac:dyDescent="0.2">
      <c r="A11" s="5" t="s">
        <v>10</v>
      </c>
      <c r="B11" s="12">
        <v>21.22407450107233</v>
      </c>
      <c r="C11" s="12">
        <v>20.359575152805839</v>
      </c>
      <c r="D11" s="12">
        <v>24.242817729630868</v>
      </c>
      <c r="E11" s="12">
        <v>23.793969408137951</v>
      </c>
    </row>
    <row r="12" spans="1:5" x14ac:dyDescent="0.2">
      <c r="A12" s="5" t="s">
        <v>11</v>
      </c>
      <c r="B12" s="12">
        <v>22.231413140515158</v>
      </c>
      <c r="C12" s="12">
        <v>21.613290041491808</v>
      </c>
      <c r="D12" s="12">
        <v>25.501485463077934</v>
      </c>
      <c r="E12" s="12">
        <v>24.993143509370551</v>
      </c>
    </row>
    <row r="13" spans="1:5" x14ac:dyDescent="0.2">
      <c r="A13" s="5" t="s">
        <v>12</v>
      </c>
      <c r="B13" s="12">
        <v>26.866237080038687</v>
      </c>
      <c r="C13" s="12">
        <v>26.480933078331613</v>
      </c>
      <c r="D13" s="12">
        <v>30.581822596828236</v>
      </c>
      <c r="E13" s="12">
        <v>30.55999884353605</v>
      </c>
    </row>
    <row r="14" spans="1:5" x14ac:dyDescent="0.2">
      <c r="A14" s="5" t="s">
        <v>13</v>
      </c>
      <c r="B14" s="12">
        <v>28.34731635937413</v>
      </c>
      <c r="C14" s="12">
        <v>28.828341767834026</v>
      </c>
      <c r="D14" s="12">
        <v>28.653795205584959</v>
      </c>
      <c r="E14" s="12">
        <v>31.898261460726268</v>
      </c>
    </row>
    <row r="15" spans="1:5" x14ac:dyDescent="0.2">
      <c r="A15" s="5" t="s">
        <v>14</v>
      </c>
      <c r="B15" s="12">
        <v>84.81414676273603</v>
      </c>
      <c r="C15" s="12">
        <v>85.453148974712406</v>
      </c>
      <c r="D15" s="12">
        <v>81.766666575826463</v>
      </c>
      <c r="E15" s="12">
        <v>81.852248195373576</v>
      </c>
    </row>
    <row r="16" spans="1:5" x14ac:dyDescent="0.2">
      <c r="A16" s="9" t="s">
        <v>15</v>
      </c>
      <c r="B16" s="10"/>
      <c r="C16" s="10"/>
      <c r="D16" s="10"/>
      <c r="E16" s="10"/>
    </row>
    <row r="17" spans="1:5" x14ac:dyDescent="0.2">
      <c r="A17" s="5" t="s">
        <v>16</v>
      </c>
      <c r="B17" s="12">
        <v>1.0833084716962305</v>
      </c>
      <c r="C17" s="12">
        <v>1.3152625998623606</v>
      </c>
      <c r="D17" s="12">
        <v>1.2926453768602073</v>
      </c>
      <c r="E17" s="12">
        <v>1.3453481646750027</v>
      </c>
    </row>
    <row r="18" spans="1:5" x14ac:dyDescent="0.2">
      <c r="A18" s="5" t="s">
        <v>17</v>
      </c>
      <c r="B18" s="12">
        <v>1.1947322013082053</v>
      </c>
      <c r="C18" s="12">
        <v>1.4642861598992463</v>
      </c>
      <c r="D18" s="12">
        <v>1.4434688690813706</v>
      </c>
      <c r="E18" s="12">
        <v>1.4996483577390589</v>
      </c>
    </row>
    <row r="19" spans="1:5" x14ac:dyDescent="0.2">
      <c r="A19" s="5" t="s">
        <v>18</v>
      </c>
      <c r="B19" s="12">
        <v>98.159748781431176</v>
      </c>
      <c r="C19" s="12">
        <v>97.758227306245075</v>
      </c>
      <c r="D19" s="12">
        <v>97.806491945190103</v>
      </c>
      <c r="E19" s="12">
        <v>97.690958269223685</v>
      </c>
    </row>
    <row r="20" spans="1:5" x14ac:dyDescent="0.2">
      <c r="A20" s="5" t="s">
        <v>19</v>
      </c>
      <c r="B20" s="12">
        <v>98.805267798691801</v>
      </c>
      <c r="C20" s="12">
        <v>98.535713840100755</v>
      </c>
      <c r="D20" s="12">
        <v>98.556531130918628</v>
      </c>
      <c r="E20" s="12">
        <v>98.500351642260938</v>
      </c>
    </row>
    <row r="21" spans="1:5" x14ac:dyDescent="0.2">
      <c r="A21" s="5" t="s">
        <v>20</v>
      </c>
      <c r="B21" s="12">
        <v>73.51976092902423</v>
      </c>
      <c r="C21" s="12">
        <v>73.650687932647983</v>
      </c>
      <c r="D21" s="12">
        <v>76.392850697762412</v>
      </c>
      <c r="E21" s="12">
        <v>77.720743261107117</v>
      </c>
    </row>
    <row r="22" spans="1:5" x14ac:dyDescent="0.2">
      <c r="A22" s="5" t="s">
        <v>21</v>
      </c>
      <c r="B22" s="12">
        <v>25.285506869667568</v>
      </c>
      <c r="C22" s="12">
        <v>24.885025907452771</v>
      </c>
      <c r="D22" s="12">
        <v>22.163680433156209</v>
      </c>
      <c r="E22" s="12">
        <v>20.779608381153825</v>
      </c>
    </row>
    <row r="23" spans="1:5" x14ac:dyDescent="0.2">
      <c r="A23" s="5" t="s">
        <v>22</v>
      </c>
      <c r="B23" s="12">
        <v>205.44765106523951</v>
      </c>
      <c r="C23" s="12">
        <v>186.62727116328364</v>
      </c>
      <c r="D23" s="12">
        <v>178.81924463167988</v>
      </c>
      <c r="E23" s="12">
        <v>174.31278637343493</v>
      </c>
    </row>
    <row r="24" spans="1:5" x14ac:dyDescent="0.2">
      <c r="A24" s="5" t="s">
        <v>23</v>
      </c>
      <c r="B24" s="12">
        <v>2.4545492441077368</v>
      </c>
      <c r="C24" s="12">
        <v>2.7327573022415992</v>
      </c>
      <c r="D24" s="12">
        <v>2.5812001281847587</v>
      </c>
      <c r="E24" s="12">
        <v>2.6140788381784108</v>
      </c>
    </row>
    <row r="25" spans="1:5" x14ac:dyDescent="0.2">
      <c r="A25" s="9" t="s">
        <v>24</v>
      </c>
      <c r="B25" s="10"/>
      <c r="C25" s="10"/>
      <c r="D25" s="10"/>
      <c r="E25" s="10"/>
    </row>
    <row r="26" spans="1:5" x14ac:dyDescent="0.2">
      <c r="A26" s="5" t="s">
        <v>25</v>
      </c>
      <c r="B26" s="12">
        <v>18.764952970278735</v>
      </c>
      <c r="C26" s="12">
        <v>17.939124237148889</v>
      </c>
      <c r="D26" s="12">
        <v>21.500748945063812</v>
      </c>
      <c r="E26" s="12">
        <v>21.274993686100615</v>
      </c>
    </row>
    <row r="27" spans="1:5" x14ac:dyDescent="0.2">
      <c r="A27" s="5" t="s">
        <v>26</v>
      </c>
      <c r="B27" s="12">
        <v>18.507052713501135</v>
      </c>
      <c r="C27" s="12">
        <v>15.255255422954535</v>
      </c>
      <c r="D27" s="12">
        <v>13.35770128555718</v>
      </c>
      <c r="E27" s="12">
        <v>12.364364735767065</v>
      </c>
    </row>
    <row r="28" spans="1:5" x14ac:dyDescent="0.2">
      <c r="A28" s="5" t="s">
        <v>27</v>
      </c>
      <c r="B28" s="12">
        <v>64.50735038512903</v>
      </c>
      <c r="C28" s="12">
        <v>63.318010045617378</v>
      </c>
      <c r="D28" s="12">
        <v>64.39455159942365</v>
      </c>
      <c r="E28" s="12">
        <v>61.556174249028103</v>
      </c>
    </row>
    <row r="29" spans="1:5" x14ac:dyDescent="0.2">
      <c r="A29" s="5" t="s">
        <v>28</v>
      </c>
      <c r="B29" s="12">
        <v>9.585041428347493</v>
      </c>
      <c r="C29" s="12">
        <v>11.071035878714712</v>
      </c>
      <c r="D29" s="12">
        <v>7.3496238785708696</v>
      </c>
      <c r="E29" s="12">
        <v>10.83505453607858</v>
      </c>
    </row>
    <row r="30" spans="1:5" x14ac:dyDescent="0.2">
      <c r="A30" s="5" t="s">
        <v>29</v>
      </c>
      <c r="B30" s="12">
        <v>43.922763413003231</v>
      </c>
      <c r="C30" s="12">
        <v>45.396601049460237</v>
      </c>
      <c r="D30" s="12">
        <v>44.607974555315735</v>
      </c>
      <c r="E30" s="12">
        <v>51.478305812676098</v>
      </c>
    </row>
    <row r="31" spans="1:5" x14ac:dyDescent="0.2">
      <c r="A31" s="5" t="s">
        <v>30</v>
      </c>
      <c r="B31" s="12">
        <v>4.4396305542697228</v>
      </c>
      <c r="C31" s="12">
        <v>4.4070723671483298</v>
      </c>
      <c r="D31" s="12">
        <v>4.7275257768203431</v>
      </c>
      <c r="E31" s="12">
        <v>4.5799046835632664</v>
      </c>
    </row>
    <row r="32" spans="1:5" x14ac:dyDescent="0.2">
      <c r="A32" s="5" t="s">
        <v>31</v>
      </c>
      <c r="B32" s="12">
        <v>5.4026566944355006</v>
      </c>
      <c r="C32" s="12">
        <v>5.274472099311506</v>
      </c>
      <c r="D32" s="12">
        <v>5.5223160458525493</v>
      </c>
      <c r="E32" s="12">
        <v>5.2775484515406363</v>
      </c>
    </row>
    <row r="33" spans="1:5" x14ac:dyDescent="0.2">
      <c r="A33" s="5" t="s">
        <v>32</v>
      </c>
      <c r="B33" s="12">
        <v>0.45216879261546006</v>
      </c>
      <c r="C33" s="12">
        <v>0.53573284175035862</v>
      </c>
      <c r="D33" s="12">
        <v>0.6027011556232772</v>
      </c>
      <c r="E33" s="12">
        <v>0.57278300543166527</v>
      </c>
    </row>
    <row r="34" spans="1:5" x14ac:dyDescent="0.2">
      <c r="A34" s="5" t="s">
        <v>33</v>
      </c>
      <c r="B34" s="12">
        <v>1.5387358179710764</v>
      </c>
      <c r="C34" s="12">
        <v>2.1108506213898734</v>
      </c>
      <c r="D34" s="12">
        <v>1.0202816850484868</v>
      </c>
      <c r="E34" s="12">
        <v>0.92847188217507137</v>
      </c>
    </row>
    <row r="35" spans="1:5" x14ac:dyDescent="0.2">
      <c r="A35" s="9" t="s">
        <v>34</v>
      </c>
      <c r="B35" s="10"/>
      <c r="C35" s="10"/>
      <c r="D35" s="10"/>
      <c r="E35" s="10"/>
    </row>
    <row r="36" spans="1:5" x14ac:dyDescent="0.2">
      <c r="A36" s="5" t="s">
        <v>35</v>
      </c>
      <c r="B36" s="12">
        <v>91.16982536806043</v>
      </c>
      <c r="C36" s="12">
        <v>91.380852474638615</v>
      </c>
      <c r="D36" s="12">
        <v>90.725995730889551</v>
      </c>
      <c r="E36" s="12">
        <v>91.157448715391794</v>
      </c>
    </row>
    <row r="37" spans="1:5" x14ac:dyDescent="0.2">
      <c r="A37" s="5" t="s">
        <v>36</v>
      </c>
      <c r="B37" s="12">
        <v>78.346892047501001</v>
      </c>
      <c r="C37" s="12">
        <v>78.429653552095004</v>
      </c>
      <c r="D37" s="12">
        <v>78.400392880854852</v>
      </c>
      <c r="E37" s="12">
        <v>74.255202506909768</v>
      </c>
    </row>
    <row r="38" spans="1:5" x14ac:dyDescent="0.2">
      <c r="A38" s="5" t="s">
        <v>37</v>
      </c>
      <c r="B38" s="12">
        <v>82.249997482991233</v>
      </c>
      <c r="C38" s="12">
        <v>82.395860258011083</v>
      </c>
      <c r="D38" s="12">
        <v>79.930962306719493</v>
      </c>
      <c r="E38" s="12">
        <v>80.286216400504784</v>
      </c>
    </row>
    <row r="39" spans="1:5" x14ac:dyDescent="0.2">
      <c r="A39" s="5" t="s">
        <v>38</v>
      </c>
      <c r="B39" s="12">
        <v>0.26575280124062689</v>
      </c>
      <c r="C39" s="12">
        <v>0.28608990343692953</v>
      </c>
      <c r="D39" s="12">
        <v>0.25650424652895915</v>
      </c>
      <c r="E39" s="12">
        <v>0.28408343947523917</v>
      </c>
    </row>
    <row r="40" spans="1:5" x14ac:dyDescent="0.2">
      <c r="A40" s="5" t="s">
        <v>39</v>
      </c>
      <c r="B40" s="12">
        <v>92.582581864400296</v>
      </c>
      <c r="C40" s="12">
        <v>90.829129264005346</v>
      </c>
      <c r="D40" s="12">
        <v>92.930091755653322</v>
      </c>
      <c r="E40" s="12">
        <v>93.380543042820591</v>
      </c>
    </row>
    <row r="41" spans="1:5" x14ac:dyDescent="0.2">
      <c r="A41" s="5" t="s">
        <v>40</v>
      </c>
      <c r="B41" s="12">
        <v>17.251481574124679</v>
      </c>
      <c r="C41" s="12">
        <v>18.381690035019275</v>
      </c>
      <c r="D41" s="12">
        <v>16.612277171070915</v>
      </c>
      <c r="E41" s="12">
        <v>18.216150343025888</v>
      </c>
    </row>
    <row r="42" spans="1:5" x14ac:dyDescent="0.2">
      <c r="A42" s="5" t="s">
        <v>41</v>
      </c>
      <c r="B42" s="12">
        <v>82.748518425875318</v>
      </c>
      <c r="C42" s="12">
        <v>81.618309964980725</v>
      </c>
      <c r="D42" s="12">
        <v>83.387722828929071</v>
      </c>
      <c r="E42" s="12">
        <v>81.783849656974112</v>
      </c>
    </row>
    <row r="43" spans="1:5" x14ac:dyDescent="0.2">
      <c r="A43" s="5" t="s">
        <v>42</v>
      </c>
      <c r="B43" s="12">
        <v>27.231318502409625</v>
      </c>
      <c r="C43" s="12">
        <v>25.430907096457666</v>
      </c>
      <c r="D43" s="12">
        <v>27.842631987840623</v>
      </c>
      <c r="E43" s="12">
        <v>26.870981928928533</v>
      </c>
    </row>
    <row r="44" spans="1:5" x14ac:dyDescent="0.2">
      <c r="A44" s="5" t="s">
        <v>43</v>
      </c>
      <c r="B44" s="12">
        <v>51.667669079465028</v>
      </c>
      <c r="C44" s="12">
        <v>50.153596839551675</v>
      </c>
      <c r="D44" s="12">
        <v>47.143850068921637</v>
      </c>
      <c r="E44" s="12">
        <v>46.887112998831064</v>
      </c>
    </row>
    <row r="45" spans="1:5" x14ac:dyDescent="0.2">
      <c r="A45" s="5" t="s">
        <v>44</v>
      </c>
      <c r="B45" s="12">
        <v>21.101012418125354</v>
      </c>
      <c r="C45" s="12">
        <v>24.415496063990656</v>
      </c>
      <c r="D45" s="12">
        <v>25.013517943237751</v>
      </c>
      <c r="E45" s="12">
        <v>26.241905072240399</v>
      </c>
    </row>
    <row r="46" spans="1:5" x14ac:dyDescent="0.2">
      <c r="A46" s="9" t="s">
        <v>45</v>
      </c>
      <c r="B46" s="10"/>
      <c r="C46" s="10"/>
      <c r="D46" s="10"/>
      <c r="E46" s="10"/>
    </row>
    <row r="47" spans="1:5" x14ac:dyDescent="0.2">
      <c r="A47" s="5" t="s">
        <v>46</v>
      </c>
      <c r="B47" s="12">
        <v>13.38</v>
      </c>
      <c r="C47" s="12">
        <v>12.73</v>
      </c>
      <c r="D47" s="12">
        <v>14.39</v>
      </c>
      <c r="E47" s="12">
        <v>12.47</v>
      </c>
    </row>
    <row r="48" spans="1:5" x14ac:dyDescent="0.2">
      <c r="A48" s="5" t="s">
        <v>47</v>
      </c>
      <c r="B48" s="12">
        <v>10.324804340594875</v>
      </c>
      <c r="C48" s="12">
        <v>10.602075461146869</v>
      </c>
      <c r="D48" s="12">
        <v>9.7828287650326846</v>
      </c>
      <c r="E48" s="12">
        <v>10.308953353096761</v>
      </c>
    </row>
    <row r="49" spans="1:5" x14ac:dyDescent="0.2">
      <c r="A49" s="5" t="s">
        <v>48</v>
      </c>
      <c r="B49" s="12">
        <v>11.324804340594875</v>
      </c>
      <c r="C49" s="12">
        <v>11.602075461146869</v>
      </c>
      <c r="D49" s="12">
        <v>10.782828765032685</v>
      </c>
      <c r="E49" s="12">
        <v>11.308953353096761</v>
      </c>
    </row>
    <row r="50" spans="1:5" x14ac:dyDescent="0.2">
      <c r="A50" s="5" t="s">
        <v>49</v>
      </c>
      <c r="B50" s="12">
        <v>8.1130664054205806</v>
      </c>
      <c r="C50" s="12">
        <v>9.9336489771549221</v>
      </c>
      <c r="D50" s="12">
        <v>9.2133687645970692</v>
      </c>
      <c r="E50" s="12">
        <v>9.6168434670122078</v>
      </c>
    </row>
    <row r="51" spans="1:5" x14ac:dyDescent="0.2">
      <c r="A51" s="5" t="s">
        <v>50</v>
      </c>
      <c r="B51" s="12">
        <v>7.489156244404926</v>
      </c>
      <c r="C51" s="12">
        <v>7.5525974647149976</v>
      </c>
      <c r="D51" s="12">
        <v>7.1275300477042176</v>
      </c>
      <c r="E51" s="12">
        <v>7.1482191149644594</v>
      </c>
    </row>
    <row r="52" spans="1:5" x14ac:dyDescent="0.2">
      <c r="A52" s="5" t="s">
        <v>51</v>
      </c>
      <c r="B52" s="12">
        <v>3.2043849679979721</v>
      </c>
      <c r="C52" s="12">
        <v>3.2544247101249377</v>
      </c>
      <c r="D52" s="12">
        <v>3.2972358989248756</v>
      </c>
      <c r="E52" s="12">
        <v>3.3986720075238521</v>
      </c>
    </row>
    <row r="53" spans="1:5" x14ac:dyDescent="0.2">
      <c r="A53" s="5" t="s">
        <v>52</v>
      </c>
      <c r="B53" s="12">
        <v>0.17425882070387652</v>
      </c>
      <c r="C53" s="12">
        <v>0.24490248196574074</v>
      </c>
      <c r="D53" s="12">
        <v>0.1100152270197684</v>
      </c>
      <c r="E53" s="12">
        <v>0.10500045205179835</v>
      </c>
    </row>
    <row r="54" spans="1:5" x14ac:dyDescent="0.2">
      <c r="A54" s="5" t="s">
        <v>53</v>
      </c>
      <c r="B54" s="12">
        <v>8.8301746319395686</v>
      </c>
      <c r="C54" s="12">
        <v>8.6191475253613774</v>
      </c>
      <c r="D54" s="12">
        <v>9.2740042691104438</v>
      </c>
      <c r="E54" s="12">
        <v>8.8425512846082022</v>
      </c>
    </row>
    <row r="55" spans="1:5" x14ac:dyDescent="0.2">
      <c r="A55" s="5" t="s">
        <v>54</v>
      </c>
      <c r="B55" s="12">
        <v>9.6854135634146434</v>
      </c>
      <c r="C55" s="12">
        <v>9.4321154727173191</v>
      </c>
      <c r="D55" s="12">
        <v>10.221992268477154</v>
      </c>
      <c r="E55" s="12">
        <v>9.7003057997115167</v>
      </c>
    </row>
    <row r="56" spans="1:5" x14ac:dyDescent="0.2">
      <c r="A56" s="5" t="s">
        <v>55</v>
      </c>
      <c r="B56" s="12">
        <v>10.461377689380321</v>
      </c>
      <c r="C56" s="12">
        <v>10.384460964391486</v>
      </c>
      <c r="D56" s="12">
        <v>10.999657995985253</v>
      </c>
      <c r="E56" s="12">
        <v>10.387930379954359</v>
      </c>
    </row>
    <row r="57" spans="1:5" x14ac:dyDescent="0.2">
      <c r="A57" s="5" t="s">
        <v>56</v>
      </c>
      <c r="B57" s="12">
        <v>10.869907699701209</v>
      </c>
      <c r="C57" s="12">
        <v>10.503357958633019</v>
      </c>
      <c r="D57" s="12">
        <v>11.814130892306487</v>
      </c>
      <c r="E57" s="12">
        <v>11.232201429556438</v>
      </c>
    </row>
    <row r="58" spans="1:5" x14ac:dyDescent="0.2">
      <c r="A58" s="9" t="s">
        <v>57</v>
      </c>
      <c r="B58" s="10"/>
      <c r="C58" s="10"/>
      <c r="D58" s="10"/>
      <c r="E58" s="10"/>
    </row>
    <row r="59" spans="1:5" x14ac:dyDescent="0.2">
      <c r="A59" s="5" t="s">
        <v>58</v>
      </c>
      <c r="B59" s="12">
        <v>8.5430080818924115</v>
      </c>
      <c r="C59" s="12">
        <v>8.7118341024035235</v>
      </c>
      <c r="D59" s="12">
        <v>8.8240987516254048</v>
      </c>
      <c r="E59" s="12">
        <v>8.1392553404093615</v>
      </c>
    </row>
    <row r="60" spans="1:5" x14ac:dyDescent="0.2">
      <c r="A60" s="5" t="s">
        <v>59</v>
      </c>
      <c r="B60" s="12">
        <v>68.447779635728878</v>
      </c>
      <c r="C60" s="12">
        <v>65.797216312906542</v>
      </c>
      <c r="D60" s="12">
        <v>66.596823470653888</v>
      </c>
      <c r="E60" s="12">
        <v>66.583901794362859</v>
      </c>
    </row>
    <row r="61" spans="1:5" x14ac:dyDescent="0.2">
      <c r="A61" s="5" t="s">
        <v>60</v>
      </c>
      <c r="B61" s="12">
        <v>3.480836995699975</v>
      </c>
      <c r="C61" s="12">
        <v>3.1818060913567781</v>
      </c>
      <c r="D61" s="12">
        <v>4.5019225674796504</v>
      </c>
      <c r="E61" s="12">
        <v>3.761883591007932</v>
      </c>
    </row>
    <row r="62" spans="1:5" x14ac:dyDescent="0.2">
      <c r="A62" s="5" t="s">
        <v>61</v>
      </c>
      <c r="B62" s="12">
        <v>2.7664189393144576</v>
      </c>
      <c r="C62" s="12">
        <v>2.5073958846867659</v>
      </c>
      <c r="D62" s="12">
        <v>3.4298833030756781</v>
      </c>
      <c r="E62" s="12">
        <v>2.918532996540228</v>
      </c>
    </row>
    <row r="63" spans="1:5" x14ac:dyDescent="0.2">
      <c r="A63" s="5" t="s">
        <v>62</v>
      </c>
      <c r="B63" s="12">
        <v>2.2766540659956545</v>
      </c>
      <c r="C63" s="12">
        <v>2.0973217797572601</v>
      </c>
      <c r="D63" s="12">
        <v>2.8097352100980815</v>
      </c>
      <c r="E63" s="12">
        <v>2.4135724548872779</v>
      </c>
    </row>
    <row r="64" spans="1:5" x14ac:dyDescent="0.2">
      <c r="A64" s="5" t="s">
        <v>63</v>
      </c>
      <c r="B64" s="12">
        <v>8.1559115854362645</v>
      </c>
      <c r="C64" s="12">
        <v>8.2064896545671306</v>
      </c>
      <c r="D64" s="12">
        <v>8.3885708530054579</v>
      </c>
      <c r="E64" s="12">
        <v>7.748732867560812</v>
      </c>
    </row>
    <row r="65" spans="1:5" x14ac:dyDescent="0.2">
      <c r="A65" s="5" t="s">
        <v>5</v>
      </c>
      <c r="B65" s="12">
        <v>13.857376900408344</v>
      </c>
      <c r="C65" s="12">
        <v>14.428643681780187</v>
      </c>
      <c r="D65" s="12">
        <v>16.084703733816781</v>
      </c>
      <c r="E65" s="12"/>
    </row>
    <row r="66" spans="1:5" x14ac:dyDescent="0.2">
      <c r="A66" s="5" t="s">
        <v>64</v>
      </c>
      <c r="B66" s="12">
        <v>3.261742344768729</v>
      </c>
      <c r="C66" s="12">
        <v>2.9342346242018107</v>
      </c>
      <c r="D66" s="12">
        <v>4.1947207177572414</v>
      </c>
      <c r="E66" s="12">
        <v>3.5656112823852624</v>
      </c>
    </row>
    <row r="67" spans="1:5" x14ac:dyDescent="0.2">
      <c r="A67" s="5" t="s">
        <v>65</v>
      </c>
      <c r="B67" s="12">
        <v>2.6340281197844462</v>
      </c>
      <c r="C67" s="12">
        <v>2.3928815802670274</v>
      </c>
      <c r="D67" s="12">
        <v>3.2623055477857155</v>
      </c>
      <c r="E67" s="12">
        <v>2.786019444102001</v>
      </c>
    </row>
    <row r="68" spans="1:5" x14ac:dyDescent="0.2">
      <c r="A68" s="5" t="s">
        <v>66</v>
      </c>
      <c r="B68" s="12">
        <v>23.537949268541674</v>
      </c>
      <c r="C68" s="12">
        <v>20.336177737253458</v>
      </c>
      <c r="D68" s="12">
        <v>26.078942995624981</v>
      </c>
      <c r="E68" s="12">
        <v>24.354623306426081</v>
      </c>
    </row>
    <row r="69" spans="1:5" x14ac:dyDescent="0.2">
      <c r="A69" s="5" t="s">
        <v>67</v>
      </c>
      <c r="B69" s="12">
        <v>83.818249630887536</v>
      </c>
      <c r="C69" s="12">
        <v>84.245264624305108</v>
      </c>
      <c r="D69" s="12">
        <v>84.372882516792615</v>
      </c>
      <c r="E69" s="12">
        <v>82.894845588000805</v>
      </c>
    </row>
    <row r="70" spans="1:5" x14ac:dyDescent="0.2">
      <c r="A70" s="5" t="s">
        <v>68</v>
      </c>
      <c r="B70" s="12">
        <v>7.2109291419388137</v>
      </c>
      <c r="C70" s="12">
        <v>7.2308599938475728</v>
      </c>
      <c r="D70" s="12">
        <v>7.4397521744307733</v>
      </c>
      <c r="E70" s="12">
        <v>6.9284044206702884</v>
      </c>
    </row>
    <row r="71" spans="1:5" x14ac:dyDescent="0.2">
      <c r="A71" s="5" t="s">
        <v>69</v>
      </c>
      <c r="B71" s="12">
        <v>9.616216040293466</v>
      </c>
      <c r="C71" s="12">
        <v>9.6034958957400463</v>
      </c>
      <c r="D71" s="12">
        <v>10.259157189961146</v>
      </c>
      <c r="E71" s="12">
        <v>9.6377735930568047</v>
      </c>
    </row>
    <row r="72" spans="1:5" x14ac:dyDescent="0.2">
      <c r="A72" s="5" t="s">
        <v>70</v>
      </c>
      <c r="B72" s="12">
        <v>47.530285291497805</v>
      </c>
      <c r="C72" s="12">
        <v>46.165364870635905</v>
      </c>
      <c r="D72" s="12">
        <v>43.022596604008982</v>
      </c>
      <c r="E72" s="12">
        <v>43.877647343135742</v>
      </c>
    </row>
    <row r="73" spans="1:5" x14ac:dyDescent="0.2">
      <c r="A73" s="5" t="s">
        <v>71</v>
      </c>
      <c r="B73" s="12">
        <v>26.582239815485998</v>
      </c>
      <c r="C73" s="12">
        <v>26.135819149436617</v>
      </c>
      <c r="D73" s="12">
        <v>24.625817665501518</v>
      </c>
      <c r="E73" s="12">
        <v>23.320026120446443</v>
      </c>
    </row>
    <row r="74" spans="1:5" x14ac:dyDescent="0.2">
      <c r="A74" s="5" t="s">
        <v>72</v>
      </c>
      <c r="B74" s="12">
        <v>36.238805970149251</v>
      </c>
      <c r="C74" s="12">
        <v>35.323383084577117</v>
      </c>
      <c r="D74" s="12">
        <v>32.9</v>
      </c>
      <c r="E74" s="12">
        <v>32.746192893401016</v>
      </c>
    </row>
    <row r="75" spans="1:5" x14ac:dyDescent="0.2">
      <c r="A75" s="5" t="s">
        <v>73</v>
      </c>
      <c r="B75" s="12">
        <v>1326.7985857910446</v>
      </c>
      <c r="C75" s="12">
        <v>1267.1405358955224</v>
      </c>
      <c r="D75" s="12">
        <v>1151.8202528950001</v>
      </c>
      <c r="E75" s="12">
        <v>1077.2185940203044</v>
      </c>
    </row>
    <row r="76" spans="1:5" x14ac:dyDescent="0.2">
      <c r="A76" s="5" t="s">
        <v>74</v>
      </c>
      <c r="B76" s="12">
        <v>36.612646313014821</v>
      </c>
      <c r="C76" s="12">
        <v>35.872570100704223</v>
      </c>
      <c r="D76" s="12">
        <v>35.009734130547116</v>
      </c>
      <c r="E76" s="12">
        <v>32.895994887924353</v>
      </c>
    </row>
    <row r="77" spans="1:5" x14ac:dyDescent="0.2">
      <c r="A77" s="5" t="s">
        <v>75</v>
      </c>
      <c r="B77" s="12">
        <v>1.9171542067545304</v>
      </c>
      <c r="C77" s="12">
        <v>2.3007896260563379</v>
      </c>
      <c r="D77" s="12">
        <v>2.526401343617021</v>
      </c>
      <c r="E77" s="12">
        <v>2.2076443452177958</v>
      </c>
    </row>
    <row r="78" spans="1:5" x14ac:dyDescent="0.2">
      <c r="A78" s="5" t="s">
        <v>76</v>
      </c>
      <c r="B78" s="12">
        <v>0.9112288639483801</v>
      </c>
      <c r="C78" s="12">
        <v>1.0621679257746479</v>
      </c>
      <c r="D78" s="12">
        <v>1.086923458662614</v>
      </c>
      <c r="E78" s="12">
        <v>0.98616386622229113</v>
      </c>
    </row>
    <row r="79" spans="1:5" x14ac:dyDescent="0.2">
      <c r="A79" s="9" t="s">
        <v>77</v>
      </c>
      <c r="B79" s="10"/>
      <c r="C79" s="10"/>
      <c r="D79" s="10"/>
      <c r="E79" s="10"/>
    </row>
    <row r="80" spans="1:5" x14ac:dyDescent="0.2">
      <c r="A80" s="5" t="s">
        <v>78</v>
      </c>
      <c r="B80" s="12">
        <v>47.530285291497805</v>
      </c>
      <c r="C80" s="12">
        <v>46.165364870635905</v>
      </c>
      <c r="D80" s="12">
        <v>43.022596604008982</v>
      </c>
      <c r="E80" s="12">
        <v>44.670413889742768</v>
      </c>
    </row>
    <row r="81" spans="1:5" x14ac:dyDescent="0.2">
      <c r="A81" s="5" t="s">
        <v>79</v>
      </c>
      <c r="B81" s="12">
        <v>52.469714708502188</v>
      </c>
      <c r="C81" s="12">
        <v>53.834635129364095</v>
      </c>
      <c r="D81" s="12">
        <v>56.977403395991011</v>
      </c>
      <c r="E81" s="12">
        <v>55.329586110257225</v>
      </c>
    </row>
    <row r="82" spans="1:5" x14ac:dyDescent="0.2">
      <c r="A82" s="5" t="s">
        <v>80</v>
      </c>
      <c r="B82" s="12">
        <v>53.731624133869801</v>
      </c>
      <c r="C82" s="12">
        <v>51.113865578560144</v>
      </c>
      <c r="D82" s="12">
        <v>51.30791847568711</v>
      </c>
      <c r="E82" s="12">
        <v>53.881394415948769</v>
      </c>
    </row>
  </sheetData>
  <phoneticPr fontId="8" type="noConversion"/>
  <pageMargins left="0.75" right="0.75" top="1" bottom="1" header="0.5" footer="0.5"/>
  <pageSetup scale="5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25C7-C33B-CC4C-B192-0407C3A27E15}">
  <sheetPr>
    <pageSetUpPr fitToPage="1"/>
  </sheetPr>
  <dimension ref="B2:AB79"/>
  <sheetViews>
    <sheetView showGridLines="0" zoomScale="110" zoomScaleNormal="110" zoomScalePageLayoutView="110" workbookViewId="0">
      <selection activeCell="F16" sqref="F16"/>
    </sheetView>
  </sheetViews>
  <sheetFormatPr baseColWidth="10" defaultColWidth="10" defaultRowHeight="12" customHeight="1" x14ac:dyDescent="0.2"/>
  <cols>
    <col min="1" max="1" width="3" style="288" customWidth="1"/>
    <col min="2" max="16384" width="10" style="288"/>
  </cols>
  <sheetData>
    <row r="2" spans="2:28" ht="24" x14ac:dyDescent="0.2">
      <c r="B2" s="385">
        <v>41639</v>
      </c>
      <c r="C2" s="384" t="s">
        <v>1016</v>
      </c>
      <c r="D2" s="384" t="s">
        <v>1015</v>
      </c>
      <c r="E2" s="384" t="s">
        <v>1014</v>
      </c>
      <c r="H2" s="311" t="s">
        <v>1013</v>
      </c>
      <c r="I2" s="383">
        <v>0.05</v>
      </c>
      <c r="J2" s="311" t="s">
        <v>1012</v>
      </c>
      <c r="K2" s="382" t="s">
        <v>1011</v>
      </c>
      <c r="L2" s="311" t="s">
        <v>1010</v>
      </c>
      <c r="M2" s="381">
        <v>1.5</v>
      </c>
      <c r="N2" s="307" t="s">
        <v>1009</v>
      </c>
      <c r="O2" s="326">
        <v>4.5999999999999999E-3</v>
      </c>
    </row>
    <row r="3" spans="2:28" ht="12" customHeight="1" x14ac:dyDescent="0.2">
      <c r="B3" s="328" t="s">
        <v>989</v>
      </c>
      <c r="C3" s="329">
        <v>7788535549.779582</v>
      </c>
      <c r="D3" s="329">
        <v>190000000</v>
      </c>
      <c r="E3" s="329">
        <v>0</v>
      </c>
    </row>
    <row r="4" spans="2:28" ht="12" customHeight="1" x14ac:dyDescent="0.2">
      <c r="B4" s="328" t="s">
        <v>988</v>
      </c>
      <c r="C4" s="329">
        <v>8788535549.779583</v>
      </c>
      <c r="D4" s="329">
        <v>190000000</v>
      </c>
      <c r="E4" s="329">
        <v>1000000000</v>
      </c>
    </row>
    <row r="5" spans="2:28" ht="12" customHeight="1" x14ac:dyDescent="0.2">
      <c r="B5" s="380"/>
      <c r="C5" s="379"/>
      <c r="D5" s="379"/>
      <c r="E5" s="378" t="s">
        <v>1008</v>
      </c>
    </row>
    <row r="6" spans="2:28" ht="3" customHeight="1" x14ac:dyDescent="0.2"/>
    <row r="7" spans="2:28" ht="36" x14ac:dyDescent="0.2">
      <c r="B7" s="377" t="s">
        <v>1007</v>
      </c>
      <c r="C7" s="376"/>
      <c r="D7" s="376"/>
      <c r="E7" s="376"/>
      <c r="F7" s="375"/>
      <c r="H7" s="307" t="s">
        <v>1006</v>
      </c>
      <c r="I7" s="307" t="s">
        <v>1005</v>
      </c>
      <c r="J7" s="307" t="s">
        <v>1004</v>
      </c>
      <c r="K7" s="307" t="s">
        <v>526</v>
      </c>
      <c r="L7" s="307" t="s">
        <v>1003</v>
      </c>
      <c r="M7" s="307" t="s">
        <v>1002</v>
      </c>
      <c r="N7" s="307" t="s">
        <v>1001</v>
      </c>
      <c r="O7" s="307" t="s">
        <v>1000</v>
      </c>
      <c r="P7" s="307" t="s">
        <v>999</v>
      </c>
      <c r="Q7" s="307" t="s">
        <v>528</v>
      </c>
      <c r="R7" s="307" t="s">
        <v>998</v>
      </c>
      <c r="S7" s="307" t="s">
        <v>997</v>
      </c>
      <c r="T7" s="307" t="s">
        <v>996</v>
      </c>
      <c r="U7" s="307" t="s">
        <v>995</v>
      </c>
      <c r="W7" s="307" t="s">
        <v>541</v>
      </c>
      <c r="X7" s="307" t="s">
        <v>994</v>
      </c>
      <c r="Y7" s="307" t="s">
        <v>993</v>
      </c>
      <c r="Z7" s="374" t="s">
        <v>992</v>
      </c>
      <c r="AA7" s="374" t="s">
        <v>991</v>
      </c>
      <c r="AB7" s="374" t="s">
        <v>990</v>
      </c>
    </row>
    <row r="8" spans="2:28" ht="12" customHeight="1" x14ac:dyDescent="0.2">
      <c r="B8" s="373">
        <f>B2</f>
        <v>41639</v>
      </c>
      <c r="C8" s="372" t="s">
        <v>989</v>
      </c>
      <c r="D8" s="371"/>
      <c r="E8" s="372" t="s">
        <v>988</v>
      </c>
      <c r="F8" s="371"/>
      <c r="H8" s="361" t="str">
        <f>DASHBOARD!C8</f>
        <v>Without Popular</v>
      </c>
      <c r="I8" s="360">
        <v>6086.7999999999993</v>
      </c>
      <c r="J8" s="359" t="s">
        <v>423</v>
      </c>
      <c r="K8" s="359" t="s">
        <v>470</v>
      </c>
      <c r="L8" s="359">
        <v>10.029999999999999</v>
      </c>
      <c r="M8" s="359">
        <v>8.09</v>
      </c>
      <c r="N8" s="358">
        <v>6086.7999999999993</v>
      </c>
      <c r="O8" s="358">
        <v>6086.7999999999993</v>
      </c>
      <c r="P8" s="370"/>
      <c r="Q8" s="370"/>
      <c r="R8" s="370"/>
      <c r="S8" s="370"/>
      <c r="T8" s="370"/>
      <c r="U8" s="369"/>
      <c r="W8" s="368" t="s">
        <v>987</v>
      </c>
      <c r="X8" s="367">
        <v>139</v>
      </c>
      <c r="Y8" s="366">
        <v>69430.520999999993</v>
      </c>
      <c r="Z8" s="365">
        <v>6.421673708526543E-2</v>
      </c>
      <c r="AA8" s="365">
        <v>1.421673708526543E-2</v>
      </c>
      <c r="AB8" s="365">
        <v>9.4778247235102874E-3</v>
      </c>
    </row>
    <row r="9" spans="2:28" ht="12" customHeight="1" thickBot="1" x14ac:dyDescent="0.25">
      <c r="B9" s="364" t="s">
        <v>233</v>
      </c>
      <c r="C9" s="363">
        <v>6086800000</v>
      </c>
      <c r="D9" s="362"/>
      <c r="E9" s="363">
        <v>7086800000</v>
      </c>
      <c r="F9" s="362"/>
      <c r="H9" s="361" t="str">
        <f>DASHBOARD!E8</f>
        <v>With Popular</v>
      </c>
      <c r="I9" s="360">
        <v>7086.7999999999993</v>
      </c>
      <c r="J9" s="359" t="s">
        <v>423</v>
      </c>
      <c r="K9" s="359" t="s">
        <v>470</v>
      </c>
      <c r="L9" s="359">
        <v>10.59</v>
      </c>
      <c r="M9" s="359">
        <v>8.92</v>
      </c>
      <c r="N9" s="358">
        <v>7086.7999999999993</v>
      </c>
      <c r="O9" s="358">
        <v>7086.7999999999993</v>
      </c>
      <c r="P9" s="357"/>
      <c r="Q9" s="357"/>
      <c r="R9" s="357"/>
      <c r="S9" s="357"/>
      <c r="T9" s="357"/>
      <c r="U9" s="356"/>
      <c r="W9" s="330" t="s">
        <v>986</v>
      </c>
      <c r="X9" s="296">
        <v>22</v>
      </c>
      <c r="Y9" s="329">
        <v>1451.3190000000002</v>
      </c>
      <c r="Z9" s="326">
        <v>0.10778753826691441</v>
      </c>
      <c r="AA9" s="326">
        <v>5.7787538266914421E-2</v>
      </c>
      <c r="AB9" s="326">
        <v>3.8525025511276283E-2</v>
      </c>
    </row>
    <row r="10" spans="2:28" ht="12" customHeight="1" x14ac:dyDescent="0.2">
      <c r="B10" s="355" t="s">
        <v>471</v>
      </c>
      <c r="C10" s="354">
        <v>5958360000</v>
      </c>
      <c r="D10" s="353">
        <f>C10/C$9</f>
        <v>0.97889860024972075</v>
      </c>
      <c r="E10" s="354">
        <v>5958360000</v>
      </c>
      <c r="F10" s="353">
        <f>E10/E$9</f>
        <v>0.84076875317491673</v>
      </c>
      <c r="H10" s="352" t="s">
        <v>471</v>
      </c>
      <c r="I10" s="351">
        <v>5958.36</v>
      </c>
      <c r="J10" s="350" t="s">
        <v>423</v>
      </c>
      <c r="K10" s="350" t="s">
        <v>470</v>
      </c>
      <c r="L10" s="349">
        <v>9.7889860024972073</v>
      </c>
      <c r="M10" s="348">
        <v>7.831188801997766</v>
      </c>
      <c r="N10" s="347">
        <v>5958.36</v>
      </c>
      <c r="O10" s="346">
        <v>5958.36</v>
      </c>
      <c r="P10" s="345">
        <v>1.7399999999999999E-2</v>
      </c>
      <c r="Q10" s="345">
        <v>1.2799999999999999E-2</v>
      </c>
      <c r="R10" s="345">
        <v>3.3000000000000002E-2</v>
      </c>
      <c r="S10" s="345">
        <v>8.3000000000000004E-2</v>
      </c>
      <c r="T10" s="345">
        <v>1.9199999999999998E-2</v>
      </c>
      <c r="U10" s="344">
        <v>6.9199999999999998E-2</v>
      </c>
      <c r="W10" s="330" t="s">
        <v>985</v>
      </c>
      <c r="X10" s="296">
        <v>21</v>
      </c>
      <c r="Y10" s="329">
        <v>20183.338999999996</v>
      </c>
      <c r="Z10" s="326">
        <v>6.5053851718984659E-2</v>
      </c>
      <c r="AA10" s="326">
        <v>1.5053851718984658E-2</v>
      </c>
      <c r="AB10" s="326">
        <v>1.0035901145989772E-2</v>
      </c>
    </row>
    <row r="11" spans="2:28" ht="12" customHeight="1" x14ac:dyDescent="0.2">
      <c r="B11" s="328" t="s">
        <v>466</v>
      </c>
      <c r="C11" s="327">
        <v>34807240.000000007</v>
      </c>
      <c r="D11" s="326">
        <f>C11/C$9</f>
        <v>5.7184793323256898E-3</v>
      </c>
      <c r="E11" s="327">
        <v>34807240.000000007</v>
      </c>
      <c r="F11" s="326">
        <f>E11/E$9</f>
        <v>4.9115595191059442E-3</v>
      </c>
      <c r="H11" s="339" t="s">
        <v>466</v>
      </c>
      <c r="I11" s="338">
        <v>34.807240000000007</v>
      </c>
      <c r="J11" s="337" t="s">
        <v>423</v>
      </c>
      <c r="K11" s="337" t="s">
        <v>465</v>
      </c>
      <c r="L11" s="336">
        <v>5.7184793323256905E-2</v>
      </c>
      <c r="M11" s="335">
        <v>6.8621751987908292E-2</v>
      </c>
      <c r="N11" s="334">
        <v>34.807240000000007</v>
      </c>
      <c r="O11" s="333">
        <v>34.807240000000007</v>
      </c>
      <c r="P11" s="332">
        <v>3.4299999999999997E-2</v>
      </c>
      <c r="Q11" s="332">
        <v>2.9699999999999997E-2</v>
      </c>
      <c r="R11" s="332">
        <v>3.3000000000000002E-2</v>
      </c>
      <c r="S11" s="332">
        <v>8.3000000000000004E-2</v>
      </c>
      <c r="T11" s="332">
        <v>4.4549999999999992E-2</v>
      </c>
      <c r="U11" s="331">
        <v>9.4549999999999995E-2</v>
      </c>
      <c r="W11" s="330" t="s">
        <v>984</v>
      </c>
      <c r="X11" s="296">
        <v>3</v>
      </c>
      <c r="Y11" s="329">
        <v>1661.576</v>
      </c>
      <c r="Z11" s="326">
        <v>5.0048748898635989E-2</v>
      </c>
      <c r="AA11" s="326">
        <v>4.8748898635993778E-5</v>
      </c>
      <c r="AB11" s="326">
        <v>3.2499265757329183E-5</v>
      </c>
    </row>
    <row r="12" spans="2:28" ht="12" customHeight="1" x14ac:dyDescent="0.2">
      <c r="B12" s="328" t="s">
        <v>459</v>
      </c>
      <c r="C12" s="327">
        <v>14899040.000000002</v>
      </c>
      <c r="D12" s="326">
        <f>C12/C$9</f>
        <v>2.4477623710323984E-3</v>
      </c>
      <c r="E12" s="327">
        <v>14899040.000000002</v>
      </c>
      <c r="F12" s="326">
        <f>E12/E$9</f>
        <v>2.1023649602077104E-3</v>
      </c>
      <c r="H12" s="339" t="s">
        <v>459</v>
      </c>
      <c r="I12" s="343">
        <v>14.899040000000001</v>
      </c>
      <c r="J12" s="337" t="s">
        <v>426</v>
      </c>
      <c r="K12" s="337" t="s">
        <v>427</v>
      </c>
      <c r="L12" s="336">
        <v>3.1820910823421179E-2</v>
      </c>
      <c r="M12" s="335">
        <v>3.1820910823421179E-2</v>
      </c>
      <c r="N12" s="334">
        <v>14.899040000000001</v>
      </c>
      <c r="O12" s="333">
        <v>14.899040000000001</v>
      </c>
      <c r="P12" s="332" t="s">
        <v>422</v>
      </c>
      <c r="Q12" s="332" t="s">
        <v>422</v>
      </c>
      <c r="R12" s="332">
        <v>5.3999999999999992E-2</v>
      </c>
      <c r="S12" s="332">
        <v>0.104</v>
      </c>
      <c r="T12" s="332" t="s">
        <v>422</v>
      </c>
      <c r="U12" s="331" t="s">
        <v>422</v>
      </c>
      <c r="W12" s="342" t="s">
        <v>488</v>
      </c>
      <c r="X12" s="302">
        <v>13</v>
      </c>
      <c r="Y12" s="341">
        <v>187.26499999999999</v>
      </c>
      <c r="Z12" s="340">
        <v>0.12617532106907325</v>
      </c>
      <c r="AA12" s="340">
        <v>7.6175321069073251E-2</v>
      </c>
      <c r="AB12" s="340">
        <v>5.078354737938217E-2</v>
      </c>
    </row>
    <row r="13" spans="2:28" ht="12" customHeight="1" x14ac:dyDescent="0.2">
      <c r="B13" s="328" t="s">
        <v>455</v>
      </c>
      <c r="C13" s="327">
        <v>28513680.000000004</v>
      </c>
      <c r="D13" s="326">
        <f>C13/C$9</f>
        <v>4.6845107445620034E-3</v>
      </c>
      <c r="E13" s="327">
        <v>28513680.000000004</v>
      </c>
      <c r="F13" s="326">
        <f>E13/E$9</f>
        <v>4.0234915617768253E-3</v>
      </c>
      <c r="H13" s="339" t="s">
        <v>455</v>
      </c>
      <c r="I13" s="338">
        <v>28.513680000000004</v>
      </c>
      <c r="J13" s="337" t="s">
        <v>453</v>
      </c>
      <c r="K13" s="337" t="s">
        <v>454</v>
      </c>
      <c r="L13" s="336">
        <v>5.152961819018205E-2</v>
      </c>
      <c r="M13" s="335">
        <v>5.152961819018205E-2</v>
      </c>
      <c r="N13" s="334">
        <v>28.513680000000004</v>
      </c>
      <c r="O13" s="333">
        <v>28.513680000000004</v>
      </c>
      <c r="P13" s="332" t="s">
        <v>422</v>
      </c>
      <c r="Q13" s="332" t="s">
        <v>422</v>
      </c>
      <c r="R13" s="332">
        <v>3.7500000000000006E-2</v>
      </c>
      <c r="S13" s="332">
        <v>8.7500000000000008E-2</v>
      </c>
      <c r="T13" s="332" t="s">
        <v>422</v>
      </c>
      <c r="U13" s="331" t="s">
        <v>422</v>
      </c>
      <c r="W13" s="342" t="s">
        <v>420</v>
      </c>
      <c r="X13" s="302">
        <v>19</v>
      </c>
      <c r="Y13" s="341">
        <v>5499.2240000000002</v>
      </c>
      <c r="Z13" s="340">
        <v>9.0851178002569102E-2</v>
      </c>
      <c r="AA13" s="340">
        <v>4.0851178002569086E-2</v>
      </c>
      <c r="AB13" s="340">
        <v>2.7234118668379392E-2</v>
      </c>
    </row>
    <row r="14" spans="2:28" ht="12" customHeight="1" x14ac:dyDescent="0.2">
      <c r="B14" s="328" t="s">
        <v>450</v>
      </c>
      <c r="C14" s="327">
        <v>16440320.000000002</v>
      </c>
      <c r="D14" s="326">
        <f>C14/C$9</f>
        <v>2.7009791680357499E-3</v>
      </c>
      <c r="E14" s="327">
        <v>16440320.000000002</v>
      </c>
      <c r="F14" s="326">
        <f>E14/E$9</f>
        <v>2.3198509905740252E-3</v>
      </c>
      <c r="H14" s="339" t="s">
        <v>450</v>
      </c>
      <c r="I14" s="338">
        <v>16.440320000000003</v>
      </c>
      <c r="J14" s="337" t="s">
        <v>449</v>
      </c>
      <c r="K14" s="337" t="s">
        <v>373</v>
      </c>
      <c r="L14" s="336">
        <v>4.0514687520536254E-2</v>
      </c>
      <c r="M14" s="335">
        <v>4.0514687520536254E-2</v>
      </c>
      <c r="N14" s="334">
        <v>16.440320000000003</v>
      </c>
      <c r="O14" s="333">
        <v>16.440320000000003</v>
      </c>
      <c r="P14" s="332" t="s">
        <v>422</v>
      </c>
      <c r="Q14" s="332" t="s">
        <v>422</v>
      </c>
      <c r="R14" s="332">
        <v>8.2500000000000004E-2</v>
      </c>
      <c r="S14" s="332">
        <v>0.13250000000000001</v>
      </c>
      <c r="T14" s="332" t="s">
        <v>422</v>
      </c>
      <c r="U14" s="331" t="s">
        <v>422</v>
      </c>
      <c r="W14" s="330" t="s">
        <v>983</v>
      </c>
      <c r="X14" s="296">
        <v>24</v>
      </c>
      <c r="Y14" s="329">
        <v>3955.1620000000007</v>
      </c>
      <c r="Z14" s="326">
        <v>7.9645278372921249E-2</v>
      </c>
      <c r="AA14" s="326">
        <v>2.9645278372921257E-2</v>
      </c>
      <c r="AB14" s="326">
        <v>1.9763518915280838E-2</v>
      </c>
    </row>
    <row r="15" spans="2:28" ht="12" customHeight="1" x14ac:dyDescent="0.2">
      <c r="B15" s="328" t="s">
        <v>441</v>
      </c>
      <c r="C15" s="327">
        <v>12587120.000000002</v>
      </c>
      <c r="D15" s="326">
        <f>C15/C$9</f>
        <v>2.067937175527371E-3</v>
      </c>
      <c r="E15" s="327">
        <v>12587120.000000002</v>
      </c>
      <c r="F15" s="326">
        <f>E15/E$9</f>
        <v>1.7761359146582381E-3</v>
      </c>
      <c r="H15" s="339" t="s">
        <v>441</v>
      </c>
      <c r="I15" s="338">
        <v>12.587120000000002</v>
      </c>
      <c r="J15" s="337" t="s">
        <v>440</v>
      </c>
      <c r="K15" s="337" t="s">
        <v>419</v>
      </c>
      <c r="L15" s="336">
        <v>3.3086994808437943E-2</v>
      </c>
      <c r="M15" s="335">
        <v>3.3086994808437943E-2</v>
      </c>
      <c r="N15" s="334">
        <v>12.587120000000002</v>
      </c>
      <c r="O15" s="333">
        <v>12.587120000000002</v>
      </c>
      <c r="P15" s="332" t="s">
        <v>422</v>
      </c>
      <c r="Q15" s="332" t="s">
        <v>422</v>
      </c>
      <c r="R15" s="332">
        <v>9.7500000000000003E-2</v>
      </c>
      <c r="S15" s="332">
        <v>0.14750000000000002</v>
      </c>
      <c r="T15" s="332" t="s">
        <v>422</v>
      </c>
      <c r="U15" s="331" t="s">
        <v>422</v>
      </c>
      <c r="W15" s="330" t="s">
        <v>982</v>
      </c>
      <c r="X15" s="296">
        <v>11</v>
      </c>
      <c r="Y15" s="329">
        <v>1718.6849999999999</v>
      </c>
      <c r="Z15" s="326">
        <v>6.1438938199844653E-2</v>
      </c>
      <c r="AA15" s="326">
        <v>1.1438938199844649E-2</v>
      </c>
      <c r="AB15" s="326">
        <v>7.6259587998964325E-3</v>
      </c>
    </row>
    <row r="16" spans="2:28" ht="12" customHeight="1" x14ac:dyDescent="0.2">
      <c r="B16" s="328" t="s">
        <v>437</v>
      </c>
      <c r="C16" s="327">
        <v>19009120</v>
      </c>
      <c r="D16" s="326">
        <f>C16/C$9</f>
        <v>3.1230071630413353E-3</v>
      </c>
      <c r="E16" s="327">
        <v>19009120</v>
      </c>
      <c r="F16" s="326">
        <f>E16/E$9</f>
        <v>2.6823277078512164E-3</v>
      </c>
      <c r="H16" s="339" t="s">
        <v>437</v>
      </c>
      <c r="I16" s="338">
        <v>19.009119999999999</v>
      </c>
      <c r="J16" s="337" t="s">
        <v>429</v>
      </c>
      <c r="K16" s="337" t="s">
        <v>436</v>
      </c>
      <c r="L16" s="336">
        <v>2.8107064467372021E-2</v>
      </c>
      <c r="M16" s="335">
        <v>2.8107064467372021E-2</v>
      </c>
      <c r="N16" s="334">
        <v>19.009119999999999</v>
      </c>
      <c r="O16" s="333">
        <v>19.009119999999999</v>
      </c>
      <c r="P16" s="332">
        <v>1.6400000000000001E-2</v>
      </c>
      <c r="Q16" s="332">
        <v>1.1800000000000001E-2</v>
      </c>
      <c r="R16" s="332">
        <v>2.8499999999999998E-2</v>
      </c>
      <c r="S16" s="332">
        <v>7.85E-2</v>
      </c>
      <c r="T16" s="332">
        <v>1.77E-2</v>
      </c>
      <c r="U16" s="331">
        <v>6.770000000000001E-2</v>
      </c>
      <c r="W16" s="330" t="s">
        <v>981</v>
      </c>
      <c r="X16" s="296">
        <v>2</v>
      </c>
      <c r="Y16" s="329">
        <v>17506.223999999998</v>
      </c>
      <c r="Z16" s="326">
        <v>5.000000000000001E-2</v>
      </c>
      <c r="AA16" s="326">
        <v>0</v>
      </c>
      <c r="AB16" s="326">
        <v>0</v>
      </c>
    </row>
    <row r="17" spans="2:28" ht="12" customHeight="1" x14ac:dyDescent="0.2">
      <c r="B17" s="328" t="s">
        <v>446</v>
      </c>
      <c r="C17" s="327">
        <v>2183480.0000000023</v>
      </c>
      <c r="D17" s="326">
        <f>C17/C$9</f>
        <v>3.5872379575474836E-4</v>
      </c>
      <c r="E17" s="327">
        <v>2183480.0000000023</v>
      </c>
      <c r="F17" s="326">
        <f>E17/E$9</f>
        <v>3.0810520968561304E-4</v>
      </c>
      <c r="H17" s="339" t="s">
        <v>446</v>
      </c>
      <c r="I17" s="338">
        <v>2.1834800000000025</v>
      </c>
      <c r="J17" s="337" t="s">
        <v>445</v>
      </c>
      <c r="K17" s="337" t="s">
        <v>372</v>
      </c>
      <c r="L17" s="336">
        <v>2.8697903660379873E-3</v>
      </c>
      <c r="M17" s="335">
        <v>2.1523427745284906E-3</v>
      </c>
      <c r="N17" s="334">
        <v>2.1834800000000025</v>
      </c>
      <c r="O17" s="333">
        <v>2.1834800000000025</v>
      </c>
      <c r="P17" s="332">
        <v>1.49E-2</v>
      </c>
      <c r="Q17" s="332">
        <v>1.03E-2</v>
      </c>
      <c r="R17" s="332">
        <v>2.4E-2</v>
      </c>
      <c r="S17" s="332">
        <v>7.400000000000001E-2</v>
      </c>
      <c r="T17" s="332">
        <v>1.545E-2</v>
      </c>
      <c r="U17" s="331">
        <v>6.5450000000000008E-2</v>
      </c>
      <c r="W17" s="330" t="s">
        <v>980</v>
      </c>
      <c r="X17" s="296">
        <v>24</v>
      </c>
      <c r="Y17" s="329">
        <v>17267.726999999999</v>
      </c>
      <c r="Z17" s="326">
        <v>6.2941063870189759E-2</v>
      </c>
      <c r="AA17" s="326">
        <v>1.2941063870189749E-2</v>
      </c>
      <c r="AB17" s="326">
        <v>8.6273759134598334E-3</v>
      </c>
    </row>
    <row r="18" spans="2:28" ht="12" customHeight="1" x14ac:dyDescent="0.2">
      <c r="B18" s="328" t="s">
        <v>979</v>
      </c>
      <c r="C18" s="327">
        <v>0</v>
      </c>
      <c r="D18" s="326">
        <f>C18/C$9</f>
        <v>0</v>
      </c>
      <c r="E18" s="327">
        <v>1000000000</v>
      </c>
      <c r="F18" s="326">
        <f>E18/E$9</f>
        <v>0.14110741096122367</v>
      </c>
      <c r="H18" s="325" t="s">
        <v>979</v>
      </c>
      <c r="I18" s="324">
        <v>1000</v>
      </c>
      <c r="J18" s="323" t="s">
        <v>481</v>
      </c>
      <c r="K18" s="323" t="s">
        <v>480</v>
      </c>
      <c r="L18" s="322">
        <v>1.9755037534571318</v>
      </c>
      <c r="M18" s="321">
        <v>1.9755037534571318</v>
      </c>
      <c r="N18" s="320">
        <v>1000</v>
      </c>
      <c r="O18" s="319">
        <v>1000</v>
      </c>
      <c r="P18" s="318" t="s">
        <v>422</v>
      </c>
      <c r="Q18" s="318" t="s">
        <v>422</v>
      </c>
      <c r="R18" s="318">
        <v>6.7500000000000004E-2</v>
      </c>
      <c r="S18" s="318">
        <v>0.11750000000000001</v>
      </c>
      <c r="T18" s="318" t="s">
        <v>422</v>
      </c>
      <c r="U18" s="317" t="s">
        <v>422</v>
      </c>
    </row>
    <row r="19" spans="2:28" ht="3" customHeight="1" x14ac:dyDescent="0.2"/>
    <row r="20" spans="2:28" ht="12" customHeight="1" x14ac:dyDescent="0.2">
      <c r="B20" s="316" t="s">
        <v>978</v>
      </c>
      <c r="C20" s="315" t="s">
        <v>517</v>
      </c>
      <c r="D20" s="314" t="s">
        <v>512</v>
      </c>
      <c r="E20" s="314" t="s">
        <v>510</v>
      </c>
      <c r="F20" s="314" t="s">
        <v>474</v>
      </c>
      <c r="G20" s="314" t="s">
        <v>503</v>
      </c>
      <c r="H20" s="314" t="s">
        <v>500</v>
      </c>
      <c r="I20" s="314" t="s">
        <v>498</v>
      </c>
      <c r="J20" s="314" t="s">
        <v>445</v>
      </c>
      <c r="K20" s="314" t="s">
        <v>429</v>
      </c>
      <c r="L20" s="314" t="s">
        <v>423</v>
      </c>
      <c r="M20" s="314" t="s">
        <v>453</v>
      </c>
      <c r="N20" s="314" t="s">
        <v>486</v>
      </c>
      <c r="O20" s="314" t="s">
        <v>426</v>
      </c>
      <c r="P20" s="314" t="s">
        <v>481</v>
      </c>
      <c r="Q20" s="314" t="s">
        <v>449</v>
      </c>
      <c r="R20" s="314" t="s">
        <v>440</v>
      </c>
      <c r="S20" s="314" t="s">
        <v>418</v>
      </c>
      <c r="T20" s="314" t="s">
        <v>468</v>
      </c>
      <c r="U20" s="314" t="s">
        <v>464</v>
      </c>
      <c r="V20" s="314" t="s">
        <v>461</v>
      </c>
      <c r="W20" s="314" t="s">
        <v>457</v>
      </c>
      <c r="X20" s="314" t="s">
        <v>452</v>
      </c>
      <c r="Y20" s="314" t="s">
        <v>448</v>
      </c>
      <c r="Z20" s="314" t="s">
        <v>443</v>
      </c>
      <c r="AA20" s="314" t="s">
        <v>439</v>
      </c>
    </row>
    <row r="21" spans="2:28" ht="12" customHeight="1" x14ac:dyDescent="0.2">
      <c r="B21" s="311" t="s">
        <v>517</v>
      </c>
      <c r="C21" s="309" t="s">
        <v>977</v>
      </c>
      <c r="D21" s="309" t="s">
        <v>976</v>
      </c>
      <c r="E21" s="309" t="s">
        <v>975</v>
      </c>
      <c r="F21" s="309" t="s">
        <v>974</v>
      </c>
      <c r="G21" s="309" t="s">
        <v>881</v>
      </c>
      <c r="H21" s="309" t="s">
        <v>880</v>
      </c>
      <c r="I21" s="309" t="s">
        <v>879</v>
      </c>
      <c r="J21" s="309" t="s">
        <v>878</v>
      </c>
      <c r="K21" s="309" t="s">
        <v>877</v>
      </c>
      <c r="L21" s="310" t="s">
        <v>973</v>
      </c>
      <c r="M21" s="309" t="s">
        <v>972</v>
      </c>
      <c r="N21" s="309" t="s">
        <v>971</v>
      </c>
      <c r="O21" s="309" t="s">
        <v>970</v>
      </c>
      <c r="P21" s="309" t="s">
        <v>969</v>
      </c>
      <c r="Q21" s="309" t="s">
        <v>968</v>
      </c>
      <c r="R21" s="309" t="s">
        <v>967</v>
      </c>
      <c r="S21" s="309" t="s">
        <v>966</v>
      </c>
      <c r="T21" s="309" t="s">
        <v>874</v>
      </c>
      <c r="U21" s="309" t="s">
        <v>873</v>
      </c>
      <c r="V21" s="309" t="s">
        <v>872</v>
      </c>
      <c r="W21" s="309" t="s">
        <v>871</v>
      </c>
      <c r="X21" s="309" t="s">
        <v>870</v>
      </c>
      <c r="Y21" s="309" t="s">
        <v>965</v>
      </c>
      <c r="Z21" s="309" t="s">
        <v>964</v>
      </c>
      <c r="AA21" s="309" t="s">
        <v>963</v>
      </c>
    </row>
    <row r="22" spans="2:28" ht="12" customHeight="1" x14ac:dyDescent="0.2">
      <c r="B22" s="311" t="s">
        <v>512</v>
      </c>
      <c r="C22" s="309" t="s">
        <v>962</v>
      </c>
      <c r="D22" s="309" t="s">
        <v>961</v>
      </c>
      <c r="E22" s="309" t="s">
        <v>868</v>
      </c>
      <c r="F22" s="309" t="s">
        <v>867</v>
      </c>
      <c r="G22" s="309" t="s">
        <v>866</v>
      </c>
      <c r="H22" s="309" t="s">
        <v>865</v>
      </c>
      <c r="I22" s="309" t="s">
        <v>864</v>
      </c>
      <c r="J22" s="309" t="s">
        <v>863</v>
      </c>
      <c r="K22" s="309" t="s">
        <v>960</v>
      </c>
      <c r="L22" s="310" t="s">
        <v>959</v>
      </c>
      <c r="M22" s="309" t="s">
        <v>958</v>
      </c>
      <c r="N22" s="309" t="s">
        <v>957</v>
      </c>
      <c r="O22" s="309" t="s">
        <v>956</v>
      </c>
      <c r="P22" s="309" t="s">
        <v>955</v>
      </c>
      <c r="Q22" s="309" t="s">
        <v>954</v>
      </c>
      <c r="R22" s="309" t="s">
        <v>860</v>
      </c>
      <c r="S22" s="309" t="s">
        <v>859</v>
      </c>
      <c r="T22" s="309" t="s">
        <v>858</v>
      </c>
      <c r="U22" s="309" t="s">
        <v>857</v>
      </c>
      <c r="V22" s="309" t="s">
        <v>856</v>
      </c>
      <c r="W22" s="309" t="s">
        <v>855</v>
      </c>
      <c r="X22" s="309" t="s">
        <v>953</v>
      </c>
      <c r="Y22" s="309" t="s">
        <v>952</v>
      </c>
      <c r="Z22" s="309" t="s">
        <v>951</v>
      </c>
      <c r="AA22" s="309" t="s">
        <v>950</v>
      </c>
    </row>
    <row r="23" spans="2:28" ht="12" customHeight="1" x14ac:dyDescent="0.2">
      <c r="B23" s="311" t="s">
        <v>510</v>
      </c>
      <c r="C23" s="309" t="s">
        <v>949</v>
      </c>
      <c r="D23" s="309" t="s">
        <v>854</v>
      </c>
      <c r="E23" s="309" t="s">
        <v>853</v>
      </c>
      <c r="F23" s="309" t="s">
        <v>852</v>
      </c>
      <c r="G23" s="309" t="s">
        <v>851</v>
      </c>
      <c r="H23" s="309" t="s">
        <v>850</v>
      </c>
      <c r="I23" s="309" t="s">
        <v>948</v>
      </c>
      <c r="J23" s="309" t="s">
        <v>947</v>
      </c>
      <c r="K23" s="309" t="s">
        <v>946</v>
      </c>
      <c r="L23" s="310" t="s">
        <v>945</v>
      </c>
      <c r="M23" s="309" t="s">
        <v>944</v>
      </c>
      <c r="N23" s="309" t="s">
        <v>943</v>
      </c>
      <c r="O23" s="309" t="s">
        <v>942</v>
      </c>
      <c r="P23" s="309" t="s">
        <v>941</v>
      </c>
      <c r="Q23" s="309" t="s">
        <v>847</v>
      </c>
      <c r="R23" s="309" t="s">
        <v>846</v>
      </c>
      <c r="S23" s="309" t="s">
        <v>845</v>
      </c>
      <c r="T23" s="309" t="s">
        <v>844</v>
      </c>
      <c r="U23" s="309" t="s">
        <v>843</v>
      </c>
      <c r="V23" s="309" t="s">
        <v>940</v>
      </c>
      <c r="W23" s="309" t="s">
        <v>939</v>
      </c>
      <c r="X23" s="309" t="s">
        <v>938</v>
      </c>
      <c r="Y23" s="309" t="s">
        <v>937</v>
      </c>
      <c r="Z23" s="309" t="s">
        <v>936</v>
      </c>
      <c r="AA23" s="309" t="s">
        <v>935</v>
      </c>
    </row>
    <row r="24" spans="2:28" ht="12" customHeight="1" x14ac:dyDescent="0.2">
      <c r="B24" s="311" t="s">
        <v>474</v>
      </c>
      <c r="C24" s="309" t="s">
        <v>934</v>
      </c>
      <c r="D24" s="309" t="s">
        <v>841</v>
      </c>
      <c r="E24" s="309" t="s">
        <v>840</v>
      </c>
      <c r="F24" s="309" t="s">
        <v>839</v>
      </c>
      <c r="G24" s="309" t="s">
        <v>838</v>
      </c>
      <c r="H24" s="309" t="s">
        <v>933</v>
      </c>
      <c r="I24" s="309" t="s">
        <v>932</v>
      </c>
      <c r="J24" s="309" t="s">
        <v>931</v>
      </c>
      <c r="K24" s="309" t="s">
        <v>930</v>
      </c>
      <c r="L24" s="310" t="s">
        <v>929</v>
      </c>
      <c r="M24" s="309" t="s">
        <v>928</v>
      </c>
      <c r="N24" s="309" t="s">
        <v>927</v>
      </c>
      <c r="O24" s="309" t="s">
        <v>926</v>
      </c>
      <c r="P24" s="309" t="s">
        <v>834</v>
      </c>
      <c r="Q24" s="309" t="s">
        <v>833</v>
      </c>
      <c r="R24" s="309" t="s">
        <v>832</v>
      </c>
      <c r="S24" s="309" t="s">
        <v>831</v>
      </c>
      <c r="T24" s="309" t="s">
        <v>830</v>
      </c>
      <c r="U24" s="309" t="s">
        <v>925</v>
      </c>
      <c r="V24" s="309" t="s">
        <v>924</v>
      </c>
      <c r="W24" s="309" t="s">
        <v>923</v>
      </c>
      <c r="X24" s="309" t="s">
        <v>922</v>
      </c>
      <c r="Y24" s="309" t="s">
        <v>921</v>
      </c>
      <c r="Z24" s="309" t="s">
        <v>920</v>
      </c>
      <c r="AA24" s="309" t="s">
        <v>919</v>
      </c>
    </row>
    <row r="25" spans="2:28" ht="12" customHeight="1" x14ac:dyDescent="0.2">
      <c r="B25" s="311" t="s">
        <v>503</v>
      </c>
      <c r="C25" s="309" t="s">
        <v>918</v>
      </c>
      <c r="D25" s="309" t="s">
        <v>826</v>
      </c>
      <c r="E25" s="309" t="s">
        <v>825</v>
      </c>
      <c r="F25" s="309" t="s">
        <v>917</v>
      </c>
      <c r="G25" s="309" t="s">
        <v>916</v>
      </c>
      <c r="H25" s="309" t="s">
        <v>915</v>
      </c>
      <c r="I25" s="309" t="s">
        <v>914</v>
      </c>
      <c r="J25" s="309" t="s">
        <v>913</v>
      </c>
      <c r="K25" s="309" t="s">
        <v>912</v>
      </c>
      <c r="L25" s="310" t="s">
        <v>911</v>
      </c>
      <c r="M25" s="309" t="s">
        <v>910</v>
      </c>
      <c r="N25" s="309" t="s">
        <v>822</v>
      </c>
      <c r="O25" s="309" t="s">
        <v>821</v>
      </c>
      <c r="P25" s="309" t="s">
        <v>820</v>
      </c>
      <c r="Q25" s="309" t="s">
        <v>819</v>
      </c>
      <c r="R25" s="309" t="s">
        <v>818</v>
      </c>
      <c r="S25" s="309" t="s">
        <v>909</v>
      </c>
      <c r="T25" s="309" t="s">
        <v>908</v>
      </c>
      <c r="U25" s="309" t="s">
        <v>907</v>
      </c>
      <c r="V25" s="309" t="s">
        <v>906</v>
      </c>
      <c r="W25" s="309" t="s">
        <v>905</v>
      </c>
      <c r="X25" s="309" t="s">
        <v>904</v>
      </c>
      <c r="Y25" s="309" t="s">
        <v>903</v>
      </c>
      <c r="Z25" s="309" t="s">
        <v>902</v>
      </c>
      <c r="AA25" s="309" t="s">
        <v>815</v>
      </c>
    </row>
    <row r="26" spans="2:28" ht="12" customHeight="1" x14ac:dyDescent="0.2">
      <c r="B26" s="311" t="s">
        <v>500</v>
      </c>
      <c r="C26" s="309" t="s">
        <v>901</v>
      </c>
      <c r="D26" s="309" t="s">
        <v>813</v>
      </c>
      <c r="E26" s="309" t="s">
        <v>900</v>
      </c>
      <c r="F26" s="309" t="s">
        <v>899</v>
      </c>
      <c r="G26" s="309" t="s">
        <v>898</v>
      </c>
      <c r="H26" s="309" t="s">
        <v>897</v>
      </c>
      <c r="I26" s="309" t="s">
        <v>896</v>
      </c>
      <c r="J26" s="309" t="s">
        <v>895</v>
      </c>
      <c r="K26" s="309" t="s">
        <v>894</v>
      </c>
      <c r="L26" s="310" t="s">
        <v>893</v>
      </c>
      <c r="M26" s="309" t="s">
        <v>809</v>
      </c>
      <c r="N26" s="309" t="s">
        <v>808</v>
      </c>
      <c r="O26" s="309" t="s">
        <v>807</v>
      </c>
      <c r="P26" s="309" t="s">
        <v>806</v>
      </c>
      <c r="Q26" s="309" t="s">
        <v>805</v>
      </c>
      <c r="R26" s="309" t="s">
        <v>892</v>
      </c>
      <c r="S26" s="309" t="s">
        <v>891</v>
      </c>
      <c r="T26" s="309" t="s">
        <v>890</v>
      </c>
      <c r="U26" s="309" t="s">
        <v>889</v>
      </c>
      <c r="V26" s="309" t="s">
        <v>888</v>
      </c>
      <c r="W26" s="309" t="s">
        <v>887</v>
      </c>
      <c r="X26" s="309" t="s">
        <v>886</v>
      </c>
      <c r="Y26" s="309" t="s">
        <v>885</v>
      </c>
      <c r="Z26" s="309" t="s">
        <v>801</v>
      </c>
      <c r="AA26" s="309" t="s">
        <v>800</v>
      </c>
    </row>
    <row r="27" spans="2:28" ht="12" customHeight="1" x14ac:dyDescent="0.2">
      <c r="B27" s="311" t="s">
        <v>498</v>
      </c>
      <c r="C27" s="309" t="s">
        <v>884</v>
      </c>
      <c r="D27" s="309" t="s">
        <v>883</v>
      </c>
      <c r="E27" s="309" t="s">
        <v>882</v>
      </c>
      <c r="F27" s="309" t="s">
        <v>881</v>
      </c>
      <c r="G27" s="309" t="s">
        <v>880</v>
      </c>
      <c r="H27" s="309" t="s">
        <v>879</v>
      </c>
      <c r="I27" s="309" t="s">
        <v>878</v>
      </c>
      <c r="J27" s="309" t="s">
        <v>877</v>
      </c>
      <c r="K27" s="309" t="s">
        <v>795</v>
      </c>
      <c r="L27" s="310" t="s">
        <v>794</v>
      </c>
      <c r="M27" s="309" t="s">
        <v>793</v>
      </c>
      <c r="N27" s="309" t="s">
        <v>792</v>
      </c>
      <c r="O27" s="309" t="s">
        <v>791</v>
      </c>
      <c r="P27" s="309" t="s">
        <v>790</v>
      </c>
      <c r="Q27" s="309" t="s">
        <v>876</v>
      </c>
      <c r="R27" s="309" t="s">
        <v>875</v>
      </c>
      <c r="S27" s="309" t="s">
        <v>874</v>
      </c>
      <c r="T27" s="309" t="s">
        <v>873</v>
      </c>
      <c r="U27" s="309" t="s">
        <v>872</v>
      </c>
      <c r="V27" s="309" t="s">
        <v>871</v>
      </c>
      <c r="W27" s="309" t="s">
        <v>870</v>
      </c>
      <c r="X27" s="309" t="s">
        <v>787</v>
      </c>
      <c r="Y27" s="309" t="s">
        <v>786</v>
      </c>
      <c r="Z27" s="309" t="s">
        <v>785</v>
      </c>
      <c r="AA27" s="309" t="s">
        <v>784</v>
      </c>
    </row>
    <row r="28" spans="2:28" ht="12" customHeight="1" x14ac:dyDescent="0.2">
      <c r="B28" s="311" t="s">
        <v>445</v>
      </c>
      <c r="C28" s="309" t="s">
        <v>869</v>
      </c>
      <c r="D28" s="309" t="s">
        <v>868</v>
      </c>
      <c r="E28" s="309" t="s">
        <v>867</v>
      </c>
      <c r="F28" s="309" t="s">
        <v>866</v>
      </c>
      <c r="G28" s="309" t="s">
        <v>865</v>
      </c>
      <c r="H28" s="309" t="s">
        <v>864</v>
      </c>
      <c r="I28" s="309" t="s">
        <v>863</v>
      </c>
      <c r="J28" s="309" t="s">
        <v>779</v>
      </c>
      <c r="K28" s="309" t="s">
        <v>778</v>
      </c>
      <c r="L28" s="310" t="s">
        <v>777</v>
      </c>
      <c r="M28" s="309" t="s">
        <v>776</v>
      </c>
      <c r="N28" s="309" t="s">
        <v>775</v>
      </c>
      <c r="O28" s="309" t="s">
        <v>862</v>
      </c>
      <c r="P28" s="309" t="s">
        <v>861</v>
      </c>
      <c r="Q28" s="309" t="s">
        <v>860</v>
      </c>
      <c r="R28" s="309" t="s">
        <v>859</v>
      </c>
      <c r="S28" s="309" t="s">
        <v>858</v>
      </c>
      <c r="T28" s="309" t="s">
        <v>857</v>
      </c>
      <c r="U28" s="309" t="s">
        <v>856</v>
      </c>
      <c r="V28" s="309" t="s">
        <v>855</v>
      </c>
      <c r="W28" s="309" t="s">
        <v>772</v>
      </c>
      <c r="X28" s="309" t="s">
        <v>771</v>
      </c>
      <c r="Y28" s="309" t="s">
        <v>770</v>
      </c>
      <c r="Z28" s="309" t="s">
        <v>769</v>
      </c>
      <c r="AA28" s="309" t="s">
        <v>768</v>
      </c>
    </row>
    <row r="29" spans="2:28" ht="12" customHeight="1" x14ac:dyDescent="0.2">
      <c r="B29" s="311" t="s">
        <v>429</v>
      </c>
      <c r="C29" s="309" t="s">
        <v>854</v>
      </c>
      <c r="D29" s="309" t="s">
        <v>853</v>
      </c>
      <c r="E29" s="309" t="s">
        <v>852</v>
      </c>
      <c r="F29" s="309" t="s">
        <v>851</v>
      </c>
      <c r="G29" s="309" t="s">
        <v>850</v>
      </c>
      <c r="H29" s="309" t="s">
        <v>764</v>
      </c>
      <c r="I29" s="309" t="s">
        <v>763</v>
      </c>
      <c r="J29" s="309" t="s">
        <v>762</v>
      </c>
      <c r="K29" s="309" t="s">
        <v>761</v>
      </c>
      <c r="L29" s="310" t="s">
        <v>760</v>
      </c>
      <c r="M29" s="309" t="s">
        <v>759</v>
      </c>
      <c r="N29" s="309" t="s">
        <v>849</v>
      </c>
      <c r="O29" s="309" t="s">
        <v>848</v>
      </c>
      <c r="P29" s="309" t="s">
        <v>847</v>
      </c>
      <c r="Q29" s="309" t="s">
        <v>846</v>
      </c>
      <c r="R29" s="309" t="s">
        <v>845</v>
      </c>
      <c r="S29" s="309" t="s">
        <v>844</v>
      </c>
      <c r="T29" s="309" t="s">
        <v>843</v>
      </c>
      <c r="U29" s="309" t="s">
        <v>756</v>
      </c>
      <c r="V29" s="309" t="s">
        <v>755</v>
      </c>
      <c r="W29" s="309" t="s">
        <v>754</v>
      </c>
      <c r="X29" s="309" t="s">
        <v>753</v>
      </c>
      <c r="Y29" s="309" t="s">
        <v>752</v>
      </c>
      <c r="Z29" s="309" t="s">
        <v>751</v>
      </c>
      <c r="AA29" s="309" t="s">
        <v>842</v>
      </c>
    </row>
    <row r="30" spans="2:28" ht="12" customHeight="1" x14ac:dyDescent="0.2">
      <c r="B30" s="311" t="s">
        <v>423</v>
      </c>
      <c r="C30" s="309" t="s">
        <v>841</v>
      </c>
      <c r="D30" s="309" t="s">
        <v>840</v>
      </c>
      <c r="E30" s="309" t="s">
        <v>839</v>
      </c>
      <c r="F30" s="309" t="s">
        <v>838</v>
      </c>
      <c r="G30" s="309" t="s">
        <v>747</v>
      </c>
      <c r="H30" s="309" t="s">
        <v>746</v>
      </c>
      <c r="I30" s="309" t="s">
        <v>745</v>
      </c>
      <c r="J30" s="309" t="s">
        <v>744</v>
      </c>
      <c r="K30" s="309" t="s">
        <v>743</v>
      </c>
      <c r="L30" s="312" t="s">
        <v>837</v>
      </c>
      <c r="M30" s="309" t="s">
        <v>836</v>
      </c>
      <c r="N30" s="309" t="s">
        <v>835</v>
      </c>
      <c r="O30" s="309" t="s">
        <v>834</v>
      </c>
      <c r="P30" s="309" t="s">
        <v>833</v>
      </c>
      <c r="Q30" s="309" t="s">
        <v>832</v>
      </c>
      <c r="R30" s="309" t="s">
        <v>831</v>
      </c>
      <c r="S30" s="309" t="s">
        <v>830</v>
      </c>
      <c r="T30" s="309" t="s">
        <v>740</v>
      </c>
      <c r="U30" s="309" t="s">
        <v>739</v>
      </c>
      <c r="V30" s="309" t="s">
        <v>738</v>
      </c>
      <c r="W30" s="309" t="s">
        <v>737</v>
      </c>
      <c r="X30" s="309" t="s">
        <v>736</v>
      </c>
      <c r="Y30" s="309" t="s">
        <v>829</v>
      </c>
      <c r="Z30" s="309" t="s">
        <v>828</v>
      </c>
      <c r="AA30" s="309" t="s">
        <v>827</v>
      </c>
    </row>
    <row r="31" spans="2:28" ht="12" customHeight="1" x14ac:dyDescent="0.2">
      <c r="B31" s="311" t="s">
        <v>453</v>
      </c>
      <c r="C31" s="309" t="s">
        <v>826</v>
      </c>
      <c r="D31" s="309" t="s">
        <v>825</v>
      </c>
      <c r="E31" s="309" t="s">
        <v>734</v>
      </c>
      <c r="F31" s="309" t="s">
        <v>733</v>
      </c>
      <c r="G31" s="309" t="s">
        <v>732</v>
      </c>
      <c r="H31" s="309" t="s">
        <v>731</v>
      </c>
      <c r="I31" s="309" t="s">
        <v>730</v>
      </c>
      <c r="J31" s="309" t="s">
        <v>729</v>
      </c>
      <c r="K31" s="309" t="s">
        <v>824</v>
      </c>
      <c r="L31" s="312" t="s">
        <v>823</v>
      </c>
      <c r="M31" s="309" t="s">
        <v>822</v>
      </c>
      <c r="N31" s="309" t="s">
        <v>821</v>
      </c>
      <c r="O31" s="309" t="s">
        <v>820</v>
      </c>
      <c r="P31" s="309" t="s">
        <v>819</v>
      </c>
      <c r="Q31" s="309" t="s">
        <v>818</v>
      </c>
      <c r="R31" s="309" t="s">
        <v>726</v>
      </c>
      <c r="S31" s="309" t="s">
        <v>725</v>
      </c>
      <c r="T31" s="309" t="s">
        <v>724</v>
      </c>
      <c r="U31" s="309" t="s">
        <v>723</v>
      </c>
      <c r="V31" s="309" t="s">
        <v>722</v>
      </c>
      <c r="W31" s="309" t="s">
        <v>721</v>
      </c>
      <c r="X31" s="309" t="s">
        <v>817</v>
      </c>
      <c r="Y31" s="309" t="s">
        <v>816</v>
      </c>
      <c r="Z31" s="309" t="s">
        <v>815</v>
      </c>
      <c r="AA31" s="309" t="s">
        <v>814</v>
      </c>
    </row>
    <row r="32" spans="2:28" ht="12" customHeight="1" x14ac:dyDescent="0.2">
      <c r="B32" s="311" t="s">
        <v>486</v>
      </c>
      <c r="C32" s="309" t="s">
        <v>813</v>
      </c>
      <c r="D32" s="309" t="s">
        <v>720</v>
      </c>
      <c r="E32" s="309" t="s">
        <v>719</v>
      </c>
      <c r="F32" s="309" t="s">
        <v>718</v>
      </c>
      <c r="G32" s="309" t="s">
        <v>717</v>
      </c>
      <c r="H32" s="309" t="s">
        <v>716</v>
      </c>
      <c r="I32" s="309" t="s">
        <v>812</v>
      </c>
      <c r="J32" s="309" t="s">
        <v>811</v>
      </c>
      <c r="K32" s="309" t="s">
        <v>810</v>
      </c>
      <c r="L32" s="312" t="s">
        <v>809</v>
      </c>
      <c r="M32" s="309" t="s">
        <v>808</v>
      </c>
      <c r="N32" s="309" t="s">
        <v>807</v>
      </c>
      <c r="O32" s="309" t="s">
        <v>806</v>
      </c>
      <c r="P32" s="309" t="s">
        <v>805</v>
      </c>
      <c r="Q32" s="309" t="s">
        <v>713</v>
      </c>
      <c r="R32" s="309" t="s">
        <v>712</v>
      </c>
      <c r="S32" s="309" t="s">
        <v>711</v>
      </c>
      <c r="T32" s="309" t="s">
        <v>710</v>
      </c>
      <c r="U32" s="309" t="s">
        <v>709</v>
      </c>
      <c r="V32" s="309" t="s">
        <v>804</v>
      </c>
      <c r="W32" s="309" t="s">
        <v>803</v>
      </c>
      <c r="X32" s="309" t="s">
        <v>802</v>
      </c>
      <c r="Y32" s="309" t="s">
        <v>801</v>
      </c>
      <c r="Z32" s="309" t="s">
        <v>800</v>
      </c>
      <c r="AA32" s="309" t="s">
        <v>799</v>
      </c>
    </row>
    <row r="33" spans="2:27" ht="12" customHeight="1" x14ac:dyDescent="0.2">
      <c r="B33" s="311" t="s">
        <v>426</v>
      </c>
      <c r="C33" s="309" t="s">
        <v>798</v>
      </c>
      <c r="D33" s="309" t="s">
        <v>707</v>
      </c>
      <c r="E33" s="309" t="s">
        <v>706</v>
      </c>
      <c r="F33" s="309" t="s">
        <v>705</v>
      </c>
      <c r="G33" s="309" t="s">
        <v>704</v>
      </c>
      <c r="H33" s="309" t="s">
        <v>797</v>
      </c>
      <c r="I33" s="309" t="s">
        <v>796</v>
      </c>
      <c r="J33" s="309" t="s">
        <v>795</v>
      </c>
      <c r="K33" s="309" t="s">
        <v>794</v>
      </c>
      <c r="L33" s="312" t="s">
        <v>793</v>
      </c>
      <c r="M33" s="309" t="s">
        <v>792</v>
      </c>
      <c r="N33" s="309" t="s">
        <v>791</v>
      </c>
      <c r="O33" s="309" t="s">
        <v>790</v>
      </c>
      <c r="P33" s="309" t="s">
        <v>700</v>
      </c>
      <c r="Q33" s="309" t="s">
        <v>699</v>
      </c>
      <c r="R33" s="309" t="s">
        <v>698</v>
      </c>
      <c r="S33" s="309" t="s">
        <v>697</v>
      </c>
      <c r="T33" s="309" t="s">
        <v>696</v>
      </c>
      <c r="U33" s="309" t="s">
        <v>789</v>
      </c>
      <c r="V33" s="309" t="s">
        <v>788</v>
      </c>
      <c r="W33" s="309" t="s">
        <v>787</v>
      </c>
      <c r="X33" s="309" t="s">
        <v>786</v>
      </c>
      <c r="Y33" s="309" t="s">
        <v>785</v>
      </c>
      <c r="Z33" s="309" t="s">
        <v>784</v>
      </c>
      <c r="AA33" s="309" t="s">
        <v>783</v>
      </c>
    </row>
    <row r="34" spans="2:27" ht="12" customHeight="1" x14ac:dyDescent="0.2">
      <c r="B34" s="311" t="s">
        <v>481</v>
      </c>
      <c r="C34" s="312" t="s">
        <v>782</v>
      </c>
      <c r="D34" s="312" t="s">
        <v>692</v>
      </c>
      <c r="E34" s="312" t="s">
        <v>691</v>
      </c>
      <c r="F34" s="312" t="s">
        <v>690</v>
      </c>
      <c r="G34" s="312" t="s">
        <v>781</v>
      </c>
      <c r="H34" s="312" t="s">
        <v>780</v>
      </c>
      <c r="I34" s="312" t="s">
        <v>779</v>
      </c>
      <c r="J34" s="312" t="s">
        <v>778</v>
      </c>
      <c r="K34" s="312" t="s">
        <v>777</v>
      </c>
      <c r="L34" s="313" t="s">
        <v>776</v>
      </c>
      <c r="M34" s="312" t="s">
        <v>775</v>
      </c>
      <c r="N34" s="312" t="s">
        <v>682</v>
      </c>
      <c r="O34" s="312" t="s">
        <v>681</v>
      </c>
      <c r="P34" s="312" t="s">
        <v>680</v>
      </c>
      <c r="Q34" s="312" t="s">
        <v>679</v>
      </c>
      <c r="R34" s="312" t="s">
        <v>678</v>
      </c>
      <c r="S34" s="312" t="s">
        <v>677</v>
      </c>
      <c r="T34" s="312" t="s">
        <v>774</v>
      </c>
      <c r="U34" s="312" t="s">
        <v>773</v>
      </c>
      <c r="V34" s="312" t="s">
        <v>772</v>
      </c>
      <c r="W34" s="312" t="s">
        <v>771</v>
      </c>
      <c r="X34" s="312" t="s">
        <v>770</v>
      </c>
      <c r="Y34" s="312" t="s">
        <v>769</v>
      </c>
      <c r="Z34" s="312" t="s">
        <v>768</v>
      </c>
      <c r="AA34" s="312" t="s">
        <v>669</v>
      </c>
    </row>
    <row r="35" spans="2:27" ht="12" customHeight="1" x14ac:dyDescent="0.2">
      <c r="B35" s="311" t="s">
        <v>449</v>
      </c>
      <c r="C35" s="309" t="s">
        <v>767</v>
      </c>
      <c r="D35" s="309" t="s">
        <v>667</v>
      </c>
      <c r="E35" s="309" t="s">
        <v>766</v>
      </c>
      <c r="F35" s="309" t="s">
        <v>765</v>
      </c>
      <c r="G35" s="309" t="s">
        <v>764</v>
      </c>
      <c r="H35" s="309" t="s">
        <v>763</v>
      </c>
      <c r="I35" s="309" t="s">
        <v>762</v>
      </c>
      <c r="J35" s="309" t="s">
        <v>761</v>
      </c>
      <c r="K35" s="309" t="s">
        <v>760</v>
      </c>
      <c r="L35" s="312" t="s">
        <v>759</v>
      </c>
      <c r="M35" s="309" t="s">
        <v>658</v>
      </c>
      <c r="N35" s="309" t="s">
        <v>657</v>
      </c>
      <c r="O35" s="309" t="s">
        <v>656</v>
      </c>
      <c r="P35" s="309" t="s">
        <v>655</v>
      </c>
      <c r="Q35" s="309" t="s">
        <v>654</v>
      </c>
      <c r="R35" s="309" t="s">
        <v>758</v>
      </c>
      <c r="S35" s="309" t="s">
        <v>757</v>
      </c>
      <c r="T35" s="309" t="s">
        <v>756</v>
      </c>
      <c r="U35" s="309" t="s">
        <v>755</v>
      </c>
      <c r="V35" s="309" t="s">
        <v>754</v>
      </c>
      <c r="W35" s="309" t="s">
        <v>753</v>
      </c>
      <c r="X35" s="309" t="s">
        <v>752</v>
      </c>
      <c r="Y35" s="309" t="s">
        <v>751</v>
      </c>
      <c r="Z35" s="309" t="s">
        <v>645</v>
      </c>
      <c r="AA35" s="309" t="s">
        <v>644</v>
      </c>
    </row>
    <row r="36" spans="2:27" ht="12" customHeight="1" x14ac:dyDescent="0.2">
      <c r="B36" s="311" t="s">
        <v>440</v>
      </c>
      <c r="C36" s="309" t="s">
        <v>750</v>
      </c>
      <c r="D36" s="309" t="s">
        <v>749</v>
      </c>
      <c r="E36" s="309" t="s">
        <v>748</v>
      </c>
      <c r="F36" s="309" t="s">
        <v>747</v>
      </c>
      <c r="G36" s="309" t="s">
        <v>746</v>
      </c>
      <c r="H36" s="309" t="s">
        <v>745</v>
      </c>
      <c r="I36" s="309" t="s">
        <v>744</v>
      </c>
      <c r="J36" s="309" t="s">
        <v>743</v>
      </c>
      <c r="K36" s="309" t="s">
        <v>635</v>
      </c>
      <c r="L36" s="312" t="s">
        <v>634</v>
      </c>
      <c r="M36" s="309" t="s">
        <v>633</v>
      </c>
      <c r="N36" s="309" t="s">
        <v>632</v>
      </c>
      <c r="O36" s="309" t="s">
        <v>631</v>
      </c>
      <c r="P36" s="309" t="s">
        <v>630</v>
      </c>
      <c r="Q36" s="309" t="s">
        <v>742</v>
      </c>
      <c r="R36" s="309" t="s">
        <v>741</v>
      </c>
      <c r="S36" s="309" t="s">
        <v>740</v>
      </c>
      <c r="T36" s="309" t="s">
        <v>739</v>
      </c>
      <c r="U36" s="309" t="s">
        <v>738</v>
      </c>
      <c r="V36" s="309" t="s">
        <v>737</v>
      </c>
      <c r="W36" s="309" t="s">
        <v>736</v>
      </c>
      <c r="X36" s="309" t="s">
        <v>622</v>
      </c>
      <c r="Y36" s="309" t="s">
        <v>621</v>
      </c>
      <c r="Z36" s="309" t="s">
        <v>620</v>
      </c>
      <c r="AA36" s="309" t="s">
        <v>619</v>
      </c>
    </row>
    <row r="37" spans="2:27" ht="12" customHeight="1" x14ac:dyDescent="0.2">
      <c r="B37" s="311" t="s">
        <v>418</v>
      </c>
      <c r="C37" s="309" t="s">
        <v>735</v>
      </c>
      <c r="D37" s="309" t="s">
        <v>734</v>
      </c>
      <c r="E37" s="309" t="s">
        <v>733</v>
      </c>
      <c r="F37" s="309" t="s">
        <v>732</v>
      </c>
      <c r="G37" s="309" t="s">
        <v>731</v>
      </c>
      <c r="H37" s="309" t="s">
        <v>730</v>
      </c>
      <c r="I37" s="309" t="s">
        <v>729</v>
      </c>
      <c r="J37" s="309" t="s">
        <v>611</v>
      </c>
      <c r="K37" s="309" t="s">
        <v>610</v>
      </c>
      <c r="L37" s="310" t="s">
        <v>609</v>
      </c>
      <c r="M37" s="309" t="s">
        <v>608</v>
      </c>
      <c r="N37" s="309" t="s">
        <v>607</v>
      </c>
      <c r="O37" s="309" t="s">
        <v>728</v>
      </c>
      <c r="P37" s="309" t="s">
        <v>727</v>
      </c>
      <c r="Q37" s="309" t="s">
        <v>726</v>
      </c>
      <c r="R37" s="309" t="s">
        <v>725</v>
      </c>
      <c r="S37" s="309" t="s">
        <v>724</v>
      </c>
      <c r="T37" s="309" t="s">
        <v>723</v>
      </c>
      <c r="U37" s="309" t="s">
        <v>722</v>
      </c>
      <c r="V37" s="309" t="s">
        <v>721</v>
      </c>
      <c r="W37" s="309" t="s">
        <v>598</v>
      </c>
      <c r="X37" s="309" t="s">
        <v>597</v>
      </c>
      <c r="Y37" s="309" t="s">
        <v>596</v>
      </c>
      <c r="Z37" s="309" t="s">
        <v>595</v>
      </c>
      <c r="AA37" s="309" t="s">
        <v>594</v>
      </c>
    </row>
    <row r="38" spans="2:27" ht="12" customHeight="1" x14ac:dyDescent="0.2">
      <c r="B38" s="311" t="s">
        <v>468</v>
      </c>
      <c r="C38" s="309" t="s">
        <v>720</v>
      </c>
      <c r="D38" s="309" t="s">
        <v>719</v>
      </c>
      <c r="E38" s="309" t="s">
        <v>718</v>
      </c>
      <c r="F38" s="309" t="s">
        <v>717</v>
      </c>
      <c r="G38" s="309" t="s">
        <v>716</v>
      </c>
      <c r="H38" s="309" t="s">
        <v>588</v>
      </c>
      <c r="I38" s="309" t="s">
        <v>587</v>
      </c>
      <c r="J38" s="309" t="s">
        <v>586</v>
      </c>
      <c r="K38" s="309" t="s">
        <v>585</v>
      </c>
      <c r="L38" s="310" t="s">
        <v>584</v>
      </c>
      <c r="M38" s="309" t="s">
        <v>583</v>
      </c>
      <c r="N38" s="309" t="s">
        <v>715</v>
      </c>
      <c r="O38" s="309" t="s">
        <v>714</v>
      </c>
      <c r="P38" s="309" t="s">
        <v>713</v>
      </c>
      <c r="Q38" s="309" t="s">
        <v>712</v>
      </c>
      <c r="R38" s="309" t="s">
        <v>711</v>
      </c>
      <c r="S38" s="309" t="s">
        <v>710</v>
      </c>
      <c r="T38" s="309" t="s">
        <v>709</v>
      </c>
      <c r="U38" s="309" t="s">
        <v>575</v>
      </c>
      <c r="V38" s="309" t="s">
        <v>574</v>
      </c>
      <c r="W38" s="309" t="s">
        <v>573</v>
      </c>
      <c r="X38" s="309" t="s">
        <v>572</v>
      </c>
      <c r="Y38" s="309" t="s">
        <v>571</v>
      </c>
      <c r="Z38" s="309" t="s">
        <v>570</v>
      </c>
      <c r="AA38" s="309" t="s">
        <v>708</v>
      </c>
    </row>
    <row r="39" spans="2:27" ht="12" customHeight="1" x14ac:dyDescent="0.2">
      <c r="B39" s="311" t="s">
        <v>464</v>
      </c>
      <c r="C39" s="309" t="s">
        <v>707</v>
      </c>
      <c r="D39" s="309" t="s">
        <v>706</v>
      </c>
      <c r="E39" s="309" t="s">
        <v>705</v>
      </c>
      <c r="F39" s="309" t="s">
        <v>704</v>
      </c>
      <c r="G39" s="309" t="s">
        <v>564</v>
      </c>
      <c r="H39" s="309" t="s">
        <v>563</v>
      </c>
      <c r="I39" s="309" t="s">
        <v>562</v>
      </c>
      <c r="J39" s="309" t="s">
        <v>561</v>
      </c>
      <c r="K39" s="309" t="s">
        <v>560</v>
      </c>
      <c r="L39" s="310" t="s">
        <v>703</v>
      </c>
      <c r="M39" s="309" t="s">
        <v>702</v>
      </c>
      <c r="N39" s="309" t="s">
        <v>701</v>
      </c>
      <c r="O39" s="309" t="s">
        <v>700</v>
      </c>
      <c r="P39" s="309" t="s">
        <v>699</v>
      </c>
      <c r="Q39" s="309" t="s">
        <v>698</v>
      </c>
      <c r="R39" s="309" t="s">
        <v>697</v>
      </c>
      <c r="S39" s="309" t="s">
        <v>696</v>
      </c>
      <c r="T39" s="309" t="s">
        <v>551</v>
      </c>
      <c r="U39" s="309" t="s">
        <v>550</v>
      </c>
      <c r="V39" s="309" t="s">
        <v>549</v>
      </c>
      <c r="W39" s="309" t="s">
        <v>548</v>
      </c>
      <c r="X39" s="309" t="s">
        <v>547</v>
      </c>
      <c r="Y39" s="309" t="s">
        <v>695</v>
      </c>
      <c r="Z39" s="309" t="s">
        <v>694</v>
      </c>
      <c r="AA39" s="309" t="s">
        <v>693</v>
      </c>
    </row>
    <row r="40" spans="2:27" ht="12" customHeight="1" x14ac:dyDescent="0.2">
      <c r="B40" s="311" t="s">
        <v>461</v>
      </c>
      <c r="C40" s="309" t="s">
        <v>692</v>
      </c>
      <c r="D40" s="309" t="s">
        <v>691</v>
      </c>
      <c r="E40" s="309" t="s">
        <v>690</v>
      </c>
      <c r="F40" s="309" t="s">
        <v>689</v>
      </c>
      <c r="G40" s="309" t="s">
        <v>688</v>
      </c>
      <c r="H40" s="309" t="s">
        <v>687</v>
      </c>
      <c r="I40" s="309" t="s">
        <v>686</v>
      </c>
      <c r="J40" s="309" t="s">
        <v>685</v>
      </c>
      <c r="K40" s="309" t="s">
        <v>684</v>
      </c>
      <c r="L40" s="310" t="s">
        <v>683</v>
      </c>
      <c r="M40" s="309" t="s">
        <v>682</v>
      </c>
      <c r="N40" s="309" t="s">
        <v>681</v>
      </c>
      <c r="O40" s="309" t="s">
        <v>680</v>
      </c>
      <c r="P40" s="309" t="s">
        <v>679</v>
      </c>
      <c r="Q40" s="309" t="s">
        <v>678</v>
      </c>
      <c r="R40" s="309" t="s">
        <v>677</v>
      </c>
      <c r="S40" s="309" t="s">
        <v>676</v>
      </c>
      <c r="T40" s="309" t="s">
        <v>675</v>
      </c>
      <c r="U40" s="309" t="s">
        <v>674</v>
      </c>
      <c r="V40" s="309" t="s">
        <v>673</v>
      </c>
      <c r="W40" s="309" t="s">
        <v>672</v>
      </c>
      <c r="X40" s="309" t="s">
        <v>671</v>
      </c>
      <c r="Y40" s="309" t="s">
        <v>670</v>
      </c>
      <c r="Z40" s="309" t="s">
        <v>669</v>
      </c>
      <c r="AA40" s="309" t="s">
        <v>668</v>
      </c>
    </row>
    <row r="41" spans="2:27" ht="12" customHeight="1" x14ac:dyDescent="0.2">
      <c r="B41" s="311" t="s">
        <v>457</v>
      </c>
      <c r="C41" s="309" t="s">
        <v>667</v>
      </c>
      <c r="D41" s="309" t="s">
        <v>666</v>
      </c>
      <c r="E41" s="309" t="s">
        <v>665</v>
      </c>
      <c r="F41" s="309" t="s">
        <v>664</v>
      </c>
      <c r="G41" s="309" t="s">
        <v>663</v>
      </c>
      <c r="H41" s="309" t="s">
        <v>662</v>
      </c>
      <c r="I41" s="309" t="s">
        <v>661</v>
      </c>
      <c r="J41" s="309" t="s">
        <v>660</v>
      </c>
      <c r="K41" s="309" t="s">
        <v>659</v>
      </c>
      <c r="L41" s="310" t="s">
        <v>658</v>
      </c>
      <c r="M41" s="309" t="s">
        <v>657</v>
      </c>
      <c r="N41" s="309" t="s">
        <v>656</v>
      </c>
      <c r="O41" s="309" t="s">
        <v>655</v>
      </c>
      <c r="P41" s="309" t="s">
        <v>654</v>
      </c>
      <c r="Q41" s="309" t="s">
        <v>653</v>
      </c>
      <c r="R41" s="309" t="s">
        <v>652</v>
      </c>
      <c r="S41" s="309" t="s">
        <v>651</v>
      </c>
      <c r="T41" s="309" t="s">
        <v>650</v>
      </c>
      <c r="U41" s="309" t="s">
        <v>649</v>
      </c>
      <c r="V41" s="309" t="s">
        <v>648</v>
      </c>
      <c r="W41" s="309" t="s">
        <v>647</v>
      </c>
      <c r="X41" s="309" t="s">
        <v>646</v>
      </c>
      <c r="Y41" s="309" t="s">
        <v>645</v>
      </c>
      <c r="Z41" s="309" t="s">
        <v>644</v>
      </c>
      <c r="AA41" s="309" t="s">
        <v>643</v>
      </c>
    </row>
    <row r="42" spans="2:27" ht="12" customHeight="1" x14ac:dyDescent="0.2">
      <c r="B42" s="311" t="s">
        <v>452</v>
      </c>
      <c r="C42" s="309" t="s">
        <v>642</v>
      </c>
      <c r="D42" s="309" t="s">
        <v>641</v>
      </c>
      <c r="E42" s="309" t="s">
        <v>640</v>
      </c>
      <c r="F42" s="309" t="s">
        <v>639</v>
      </c>
      <c r="G42" s="309" t="s">
        <v>638</v>
      </c>
      <c r="H42" s="309" t="s">
        <v>637</v>
      </c>
      <c r="I42" s="309" t="s">
        <v>636</v>
      </c>
      <c r="J42" s="309" t="s">
        <v>635</v>
      </c>
      <c r="K42" s="309" t="s">
        <v>634</v>
      </c>
      <c r="L42" s="310" t="s">
        <v>633</v>
      </c>
      <c r="M42" s="309" t="s">
        <v>632</v>
      </c>
      <c r="N42" s="309" t="s">
        <v>631</v>
      </c>
      <c r="O42" s="309" t="s">
        <v>630</v>
      </c>
      <c r="P42" s="309" t="s">
        <v>629</v>
      </c>
      <c r="Q42" s="309" t="s">
        <v>628</v>
      </c>
      <c r="R42" s="309" t="s">
        <v>627</v>
      </c>
      <c r="S42" s="309" t="s">
        <v>626</v>
      </c>
      <c r="T42" s="309" t="s">
        <v>625</v>
      </c>
      <c r="U42" s="309" t="s">
        <v>624</v>
      </c>
      <c r="V42" s="309" t="s">
        <v>623</v>
      </c>
      <c r="W42" s="309" t="s">
        <v>622</v>
      </c>
      <c r="X42" s="309" t="s">
        <v>621</v>
      </c>
      <c r="Y42" s="309" t="s">
        <v>620</v>
      </c>
      <c r="Z42" s="309" t="s">
        <v>619</v>
      </c>
      <c r="AA42" s="309" t="s">
        <v>618</v>
      </c>
    </row>
    <row r="43" spans="2:27" ht="12" customHeight="1" x14ac:dyDescent="0.2">
      <c r="B43" s="311" t="s">
        <v>448</v>
      </c>
      <c r="C43" s="309" t="s">
        <v>617</v>
      </c>
      <c r="D43" s="309" t="s">
        <v>616</v>
      </c>
      <c r="E43" s="309" t="s">
        <v>615</v>
      </c>
      <c r="F43" s="309" t="s">
        <v>614</v>
      </c>
      <c r="G43" s="309" t="s">
        <v>613</v>
      </c>
      <c r="H43" s="309" t="s">
        <v>612</v>
      </c>
      <c r="I43" s="309" t="s">
        <v>611</v>
      </c>
      <c r="J43" s="309" t="s">
        <v>610</v>
      </c>
      <c r="K43" s="309" t="s">
        <v>609</v>
      </c>
      <c r="L43" s="310" t="s">
        <v>608</v>
      </c>
      <c r="M43" s="309" t="s">
        <v>607</v>
      </c>
      <c r="N43" s="309" t="s">
        <v>606</v>
      </c>
      <c r="O43" s="309" t="s">
        <v>605</v>
      </c>
      <c r="P43" s="309" t="s">
        <v>604</v>
      </c>
      <c r="Q43" s="309" t="s">
        <v>603</v>
      </c>
      <c r="R43" s="309" t="s">
        <v>602</v>
      </c>
      <c r="S43" s="309" t="s">
        <v>601</v>
      </c>
      <c r="T43" s="309" t="s">
        <v>600</v>
      </c>
      <c r="U43" s="309" t="s">
        <v>599</v>
      </c>
      <c r="V43" s="309" t="s">
        <v>598</v>
      </c>
      <c r="W43" s="309" t="s">
        <v>597</v>
      </c>
      <c r="X43" s="309" t="s">
        <v>596</v>
      </c>
      <c r="Y43" s="309" t="s">
        <v>595</v>
      </c>
      <c r="Z43" s="309" t="s">
        <v>594</v>
      </c>
      <c r="AA43" s="309" t="s">
        <v>593</v>
      </c>
    </row>
    <row r="44" spans="2:27" ht="12" customHeight="1" x14ac:dyDescent="0.2">
      <c r="B44" s="311" t="s">
        <v>443</v>
      </c>
      <c r="C44" s="309" t="s">
        <v>592</v>
      </c>
      <c r="D44" s="309" t="s">
        <v>591</v>
      </c>
      <c r="E44" s="309" t="s">
        <v>590</v>
      </c>
      <c r="F44" s="309" t="s">
        <v>589</v>
      </c>
      <c r="G44" s="309" t="s">
        <v>588</v>
      </c>
      <c r="H44" s="309" t="s">
        <v>587</v>
      </c>
      <c r="I44" s="309" t="s">
        <v>586</v>
      </c>
      <c r="J44" s="309" t="s">
        <v>585</v>
      </c>
      <c r="K44" s="309" t="s">
        <v>584</v>
      </c>
      <c r="L44" s="310" t="s">
        <v>583</v>
      </c>
      <c r="M44" s="309" t="s">
        <v>582</v>
      </c>
      <c r="N44" s="309" t="s">
        <v>581</v>
      </c>
      <c r="O44" s="309" t="s">
        <v>580</v>
      </c>
      <c r="P44" s="309" t="s">
        <v>579</v>
      </c>
      <c r="Q44" s="309" t="s">
        <v>578</v>
      </c>
      <c r="R44" s="309" t="s">
        <v>577</v>
      </c>
      <c r="S44" s="309" t="s">
        <v>576</v>
      </c>
      <c r="T44" s="309" t="s">
        <v>575</v>
      </c>
      <c r="U44" s="309" t="s">
        <v>574</v>
      </c>
      <c r="V44" s="309" t="s">
        <v>573</v>
      </c>
      <c r="W44" s="309" t="s">
        <v>572</v>
      </c>
      <c r="X44" s="309" t="s">
        <v>571</v>
      </c>
      <c r="Y44" s="309" t="s">
        <v>570</v>
      </c>
      <c r="Z44" s="309" t="s">
        <v>569</v>
      </c>
      <c r="AA44" s="309" t="s">
        <v>568</v>
      </c>
    </row>
    <row r="45" spans="2:27" ht="12" customHeight="1" x14ac:dyDescent="0.2">
      <c r="B45" s="311" t="s">
        <v>439</v>
      </c>
      <c r="C45" s="309" t="s">
        <v>567</v>
      </c>
      <c r="D45" s="309" t="s">
        <v>566</v>
      </c>
      <c r="E45" s="309" t="s">
        <v>565</v>
      </c>
      <c r="F45" s="309" t="s">
        <v>564</v>
      </c>
      <c r="G45" s="309" t="s">
        <v>563</v>
      </c>
      <c r="H45" s="309" t="s">
        <v>562</v>
      </c>
      <c r="I45" s="309" t="s">
        <v>561</v>
      </c>
      <c r="J45" s="309" t="s">
        <v>560</v>
      </c>
      <c r="K45" s="309" t="s">
        <v>559</v>
      </c>
      <c r="L45" s="310" t="s">
        <v>558</v>
      </c>
      <c r="M45" s="309" t="s">
        <v>557</v>
      </c>
      <c r="N45" s="309" t="s">
        <v>556</v>
      </c>
      <c r="O45" s="309" t="s">
        <v>555</v>
      </c>
      <c r="P45" s="309" t="s">
        <v>554</v>
      </c>
      <c r="Q45" s="309" t="s">
        <v>553</v>
      </c>
      <c r="R45" s="309" t="s">
        <v>552</v>
      </c>
      <c r="S45" s="309" t="s">
        <v>551</v>
      </c>
      <c r="T45" s="309" t="s">
        <v>550</v>
      </c>
      <c r="U45" s="309" t="s">
        <v>549</v>
      </c>
      <c r="V45" s="309" t="s">
        <v>548</v>
      </c>
      <c r="W45" s="309" t="s">
        <v>547</v>
      </c>
      <c r="X45" s="309" t="s">
        <v>546</v>
      </c>
      <c r="Y45" s="309" t="s">
        <v>545</v>
      </c>
      <c r="Z45" s="309" t="s">
        <v>544</v>
      </c>
      <c r="AA45" s="309" t="s">
        <v>543</v>
      </c>
    </row>
    <row r="46" spans="2:27" ht="3" customHeight="1" x14ac:dyDescent="0.2"/>
    <row r="47" spans="2:27" ht="24" x14ac:dyDescent="0.2">
      <c r="B47" s="307" t="s">
        <v>542</v>
      </c>
      <c r="C47" s="307" t="s">
        <v>541</v>
      </c>
      <c r="D47" s="307" t="s">
        <v>540</v>
      </c>
      <c r="E47" s="307" t="s">
        <v>539</v>
      </c>
      <c r="F47" s="308" t="s">
        <v>538</v>
      </c>
      <c r="G47" s="308" t="s">
        <v>537</v>
      </c>
      <c r="H47" s="308" t="s">
        <v>536</v>
      </c>
      <c r="I47" s="308" t="s">
        <v>535</v>
      </c>
      <c r="J47" s="308" t="s">
        <v>534</v>
      </c>
      <c r="K47" s="308" t="s">
        <v>533</v>
      </c>
      <c r="L47" s="308" t="s">
        <v>532</v>
      </c>
      <c r="M47" s="308" t="s">
        <v>531</v>
      </c>
      <c r="N47" s="308" t="s">
        <v>530</v>
      </c>
      <c r="O47" s="308" t="s">
        <v>529</v>
      </c>
      <c r="P47" s="308" t="s">
        <v>528</v>
      </c>
      <c r="S47" s="307" t="s">
        <v>527</v>
      </c>
      <c r="T47" s="307" t="s">
        <v>526</v>
      </c>
      <c r="U47" s="307" t="s">
        <v>525</v>
      </c>
      <c r="V47" s="307" t="s">
        <v>524</v>
      </c>
      <c r="W47" s="307" t="s">
        <v>523</v>
      </c>
      <c r="X47" s="307" t="s">
        <v>522</v>
      </c>
    </row>
    <row r="48" spans="2:27" ht="12" customHeight="1" x14ac:dyDescent="0.2">
      <c r="B48" s="294" t="s">
        <v>521</v>
      </c>
      <c r="C48" s="294" t="s">
        <v>488</v>
      </c>
      <c r="D48" s="293">
        <v>2.5840000000000001</v>
      </c>
      <c r="E48" s="292" t="s">
        <v>470</v>
      </c>
      <c r="F48" s="300" t="s">
        <v>445</v>
      </c>
      <c r="G48" s="290" t="s">
        <v>422</v>
      </c>
      <c r="H48" s="290" t="s">
        <v>422</v>
      </c>
      <c r="I48" s="291" t="s">
        <v>422</v>
      </c>
      <c r="J48" s="289">
        <v>1.6E-2</v>
      </c>
      <c r="K48" s="289">
        <v>3.7217061931596339E-5</v>
      </c>
      <c r="L48" s="289">
        <v>1.3798627613275306E-2</v>
      </c>
      <c r="M48" s="289">
        <v>2.4E-2</v>
      </c>
      <c r="N48" s="289">
        <v>7.400000000000001E-2</v>
      </c>
      <c r="O48" s="290" t="s">
        <v>422</v>
      </c>
      <c r="P48" s="289" t="s">
        <v>422</v>
      </c>
      <c r="S48" s="306"/>
      <c r="T48" s="305"/>
      <c r="U48" s="304"/>
      <c r="V48" s="303" t="s">
        <v>520</v>
      </c>
      <c r="W48" s="302">
        <v>63</v>
      </c>
      <c r="X48" s="301">
        <v>8.499930655763991E-3</v>
      </c>
    </row>
    <row r="49" spans="2:24" ht="12" customHeight="1" x14ac:dyDescent="0.2">
      <c r="B49" s="294" t="s">
        <v>519</v>
      </c>
      <c r="C49" s="294" t="s">
        <v>488</v>
      </c>
      <c r="D49" s="293">
        <v>8.1489999999999991</v>
      </c>
      <c r="E49" s="292" t="s">
        <v>436</v>
      </c>
      <c r="F49" s="292" t="s">
        <v>445</v>
      </c>
      <c r="G49" s="290" t="s">
        <v>422</v>
      </c>
      <c r="H49" s="290" t="s">
        <v>422</v>
      </c>
      <c r="I49" s="291" t="s">
        <v>422</v>
      </c>
      <c r="J49" s="289">
        <v>1.6E-2</v>
      </c>
      <c r="K49" s="289">
        <v>1.1736913222932606E-4</v>
      </c>
      <c r="L49" s="289">
        <v>4.3515873227778813E-2</v>
      </c>
      <c r="M49" s="289">
        <v>2.4E-2</v>
      </c>
      <c r="N49" s="289">
        <v>7.400000000000001E-2</v>
      </c>
      <c r="O49" s="290" t="s">
        <v>422</v>
      </c>
      <c r="P49" s="289" t="s">
        <v>422</v>
      </c>
      <c r="R49" s="299" t="s">
        <v>518</v>
      </c>
      <c r="S49" s="297" t="s">
        <v>517</v>
      </c>
      <c r="T49" s="297" t="s">
        <v>516</v>
      </c>
      <c r="U49" s="298">
        <v>0</v>
      </c>
      <c r="V49" s="297" t="s">
        <v>515</v>
      </c>
      <c r="W49" s="296">
        <v>11</v>
      </c>
      <c r="X49" s="295">
        <v>5.6909090909090902E-3</v>
      </c>
    </row>
    <row r="50" spans="2:24" ht="12" customHeight="1" x14ac:dyDescent="0.2">
      <c r="B50" s="294" t="s">
        <v>514</v>
      </c>
      <c r="C50" s="294" t="s">
        <v>488</v>
      </c>
      <c r="D50" s="293">
        <v>3.6850000000000001</v>
      </c>
      <c r="E50" s="292" t="s">
        <v>427</v>
      </c>
      <c r="F50" s="292" t="s">
        <v>453</v>
      </c>
      <c r="G50" s="290" t="s">
        <v>422</v>
      </c>
      <c r="H50" s="290" t="s">
        <v>422</v>
      </c>
      <c r="I50" s="291" t="s">
        <v>422</v>
      </c>
      <c r="J50" s="289">
        <v>2.5000000000000001E-2</v>
      </c>
      <c r="K50" s="289">
        <v>5.3074641338209177E-5</v>
      </c>
      <c r="L50" s="289">
        <v>1.9677996422182469E-2</v>
      </c>
      <c r="M50" s="289">
        <v>3.7500000000000006E-2</v>
      </c>
      <c r="N50" s="289">
        <v>8.7500000000000008E-2</v>
      </c>
      <c r="O50" s="290" t="s">
        <v>422</v>
      </c>
      <c r="P50" s="289" t="s">
        <v>422</v>
      </c>
      <c r="R50" s="299" t="s">
        <v>513</v>
      </c>
      <c r="S50" s="297" t="s">
        <v>512</v>
      </c>
      <c r="T50" s="297" t="s">
        <v>475</v>
      </c>
      <c r="U50" s="298">
        <v>40</v>
      </c>
      <c r="V50" s="297" t="s">
        <v>506</v>
      </c>
      <c r="W50" s="296">
        <v>3</v>
      </c>
      <c r="X50" s="295">
        <v>8.4666666666666675E-3</v>
      </c>
    </row>
    <row r="51" spans="2:24" ht="12" customHeight="1" x14ac:dyDescent="0.2">
      <c r="B51" s="294" t="s">
        <v>511</v>
      </c>
      <c r="C51" s="294" t="s">
        <v>488</v>
      </c>
      <c r="D51" s="293">
        <v>5.5570000000000004</v>
      </c>
      <c r="E51" s="292" t="s">
        <v>507</v>
      </c>
      <c r="F51" s="292" t="s">
        <v>474</v>
      </c>
      <c r="G51" s="290" t="s">
        <v>422</v>
      </c>
      <c r="H51" s="290" t="s">
        <v>422</v>
      </c>
      <c r="I51" s="291" t="s">
        <v>422</v>
      </c>
      <c r="J51" s="289">
        <v>6.0000000000000001E-3</v>
      </c>
      <c r="K51" s="289">
        <v>8.0036847195774326E-5</v>
      </c>
      <c r="L51" s="289">
        <v>2.9674525405174488E-2</v>
      </c>
      <c r="M51" s="289">
        <v>9.0000000000000011E-3</v>
      </c>
      <c r="N51" s="289">
        <v>5.9000000000000004E-2</v>
      </c>
      <c r="O51" s="290" t="s">
        <v>422</v>
      </c>
      <c r="P51" s="289" t="s">
        <v>422</v>
      </c>
      <c r="R51" s="299" t="s">
        <v>0</v>
      </c>
      <c r="S51" s="297" t="s">
        <v>510</v>
      </c>
      <c r="T51" s="297" t="s">
        <v>509</v>
      </c>
      <c r="U51" s="298">
        <v>50</v>
      </c>
      <c r="V51" s="297" t="s">
        <v>506</v>
      </c>
      <c r="W51" s="296">
        <v>3</v>
      </c>
      <c r="X51" s="295">
        <v>1.6366666666666665E-2</v>
      </c>
    </row>
    <row r="52" spans="2:24" ht="12" customHeight="1" x14ac:dyDescent="0.2">
      <c r="B52" s="294" t="s">
        <v>508</v>
      </c>
      <c r="C52" s="294" t="s">
        <v>488</v>
      </c>
      <c r="D52" s="293">
        <v>4</v>
      </c>
      <c r="E52" s="300" t="s">
        <v>507</v>
      </c>
      <c r="F52" s="292" t="s">
        <v>474</v>
      </c>
      <c r="G52" s="290" t="s">
        <v>422</v>
      </c>
      <c r="H52" s="290" t="s">
        <v>422</v>
      </c>
      <c r="I52" s="291" t="s">
        <v>422</v>
      </c>
      <c r="J52" s="289">
        <v>6.0000000000000001E-3</v>
      </c>
      <c r="K52" s="289">
        <v>5.761155097770331E-5</v>
      </c>
      <c r="L52" s="289">
        <v>2.1360104664512859E-2</v>
      </c>
      <c r="M52" s="289">
        <v>9.0000000000000011E-3</v>
      </c>
      <c r="N52" s="289">
        <v>5.9000000000000004E-2</v>
      </c>
      <c r="O52" s="290" t="s">
        <v>422</v>
      </c>
      <c r="P52" s="289" t="s">
        <v>422</v>
      </c>
      <c r="R52" s="299" t="s">
        <v>0</v>
      </c>
      <c r="S52" s="297" t="s">
        <v>474</v>
      </c>
      <c r="T52" s="297" t="s">
        <v>507</v>
      </c>
      <c r="U52" s="298">
        <v>60</v>
      </c>
      <c r="V52" s="297" t="s">
        <v>506</v>
      </c>
      <c r="W52" s="296">
        <v>6</v>
      </c>
      <c r="X52" s="295">
        <v>1.0383333333333333E-2</v>
      </c>
    </row>
    <row r="53" spans="2:24" ht="12" customHeight="1" x14ac:dyDescent="0.2">
      <c r="B53" s="294" t="s">
        <v>505</v>
      </c>
      <c r="C53" s="294" t="s">
        <v>488</v>
      </c>
      <c r="D53" s="293">
        <v>60.8</v>
      </c>
      <c r="E53" s="300" t="s">
        <v>472</v>
      </c>
      <c r="F53" s="292" t="s">
        <v>418</v>
      </c>
      <c r="G53" s="290" t="s">
        <v>422</v>
      </c>
      <c r="H53" s="290" t="s">
        <v>422</v>
      </c>
      <c r="I53" s="291" t="s">
        <v>422</v>
      </c>
      <c r="J53" s="289">
        <v>7.4999999999999997E-2</v>
      </c>
      <c r="K53" s="289">
        <v>8.7569557486109027E-4</v>
      </c>
      <c r="L53" s="289">
        <v>0.32467359090059544</v>
      </c>
      <c r="M53" s="289">
        <v>0.11249999999999999</v>
      </c>
      <c r="N53" s="289">
        <v>0.16249999999999998</v>
      </c>
      <c r="O53" s="290" t="s">
        <v>422</v>
      </c>
      <c r="P53" s="289" t="s">
        <v>422</v>
      </c>
      <c r="R53" s="299" t="s">
        <v>504</v>
      </c>
      <c r="S53" s="297" t="s">
        <v>503</v>
      </c>
      <c r="T53" s="297" t="s">
        <v>502</v>
      </c>
      <c r="U53" s="298">
        <v>70</v>
      </c>
      <c r="V53" s="297" t="s">
        <v>497</v>
      </c>
      <c r="W53" s="296">
        <v>3</v>
      </c>
      <c r="X53" s="295">
        <v>1.1633333333333334E-2</v>
      </c>
    </row>
    <row r="54" spans="2:24" ht="12" customHeight="1" x14ac:dyDescent="0.2">
      <c r="B54" s="294" t="s">
        <v>501</v>
      </c>
      <c r="C54" s="294" t="s">
        <v>488</v>
      </c>
      <c r="D54" s="293">
        <v>1</v>
      </c>
      <c r="E54" s="292" t="s">
        <v>430</v>
      </c>
      <c r="F54" s="300" t="s">
        <v>498</v>
      </c>
      <c r="G54" s="290" t="s">
        <v>422</v>
      </c>
      <c r="H54" s="290" t="s">
        <v>422</v>
      </c>
      <c r="I54" s="291" t="s">
        <v>422</v>
      </c>
      <c r="J54" s="289">
        <v>1.2E-2</v>
      </c>
      <c r="K54" s="289">
        <v>1.4402887744425827E-5</v>
      </c>
      <c r="L54" s="289">
        <v>5.3400261661282148E-3</v>
      </c>
      <c r="M54" s="289">
        <v>1.8000000000000002E-2</v>
      </c>
      <c r="N54" s="289">
        <v>6.8000000000000005E-2</v>
      </c>
      <c r="O54" s="290" t="s">
        <v>422</v>
      </c>
      <c r="P54" s="289" t="s">
        <v>422</v>
      </c>
      <c r="R54" s="299" t="s">
        <v>0</v>
      </c>
      <c r="S54" s="297" t="s">
        <v>500</v>
      </c>
      <c r="T54" s="297" t="s">
        <v>372</v>
      </c>
      <c r="U54" s="298">
        <v>85</v>
      </c>
      <c r="V54" s="297" t="s">
        <v>497</v>
      </c>
      <c r="W54" s="296">
        <v>2</v>
      </c>
      <c r="X54" s="295">
        <v>1.29E-2</v>
      </c>
    </row>
    <row r="55" spans="2:24" ht="12" customHeight="1" x14ac:dyDescent="0.2">
      <c r="B55" s="294" t="s">
        <v>499</v>
      </c>
      <c r="C55" s="294" t="s">
        <v>488</v>
      </c>
      <c r="D55" s="293">
        <v>58.951000000000001</v>
      </c>
      <c r="E55" s="292" t="s">
        <v>480</v>
      </c>
      <c r="F55" s="292" t="s">
        <v>481</v>
      </c>
      <c r="G55" s="290" t="s">
        <v>422</v>
      </c>
      <c r="H55" s="290" t="s">
        <v>422</v>
      </c>
      <c r="I55" s="291" t="s">
        <v>422</v>
      </c>
      <c r="J55" s="289">
        <v>4.4999999999999998E-2</v>
      </c>
      <c r="K55" s="289">
        <v>8.4906463542164701E-4</v>
      </c>
      <c r="L55" s="289">
        <v>0.31479988251942437</v>
      </c>
      <c r="M55" s="289">
        <v>6.7500000000000004E-2</v>
      </c>
      <c r="N55" s="289">
        <v>0.11750000000000001</v>
      </c>
      <c r="O55" s="290" t="s">
        <v>422</v>
      </c>
      <c r="P55" s="289" t="s">
        <v>422</v>
      </c>
      <c r="R55" s="299" t="s">
        <v>0</v>
      </c>
      <c r="S55" s="297" t="s">
        <v>498</v>
      </c>
      <c r="T55" s="297" t="s">
        <v>430</v>
      </c>
      <c r="U55" s="298">
        <v>120</v>
      </c>
      <c r="V55" s="297" t="s">
        <v>497</v>
      </c>
      <c r="W55" s="296">
        <v>1</v>
      </c>
      <c r="X55" s="295">
        <v>1.6500000000000001E-2</v>
      </c>
    </row>
    <row r="56" spans="2:24" ht="12" customHeight="1" x14ac:dyDescent="0.2">
      <c r="B56" s="294" t="s">
        <v>496</v>
      </c>
      <c r="C56" s="294" t="s">
        <v>488</v>
      </c>
      <c r="D56" s="293">
        <v>14.84</v>
      </c>
      <c r="E56" s="292" t="s">
        <v>419</v>
      </c>
      <c r="F56" s="292" t="s">
        <v>464</v>
      </c>
      <c r="G56" s="290" t="s">
        <v>422</v>
      </c>
      <c r="H56" s="290" t="s">
        <v>422</v>
      </c>
      <c r="I56" s="291" t="s">
        <v>422</v>
      </c>
      <c r="J56" s="289">
        <v>0.1</v>
      </c>
      <c r="K56" s="289">
        <v>2.1373885412727929E-4</v>
      </c>
      <c r="L56" s="289">
        <v>7.9245988305342699E-2</v>
      </c>
      <c r="M56" s="289">
        <v>0.15000000000000002</v>
      </c>
      <c r="N56" s="289">
        <v>0.2</v>
      </c>
      <c r="O56" s="290" t="s">
        <v>422</v>
      </c>
      <c r="P56" s="289" t="s">
        <v>422</v>
      </c>
      <c r="R56" s="299" t="s">
        <v>495</v>
      </c>
      <c r="S56" s="297" t="s">
        <v>445</v>
      </c>
      <c r="T56" s="297" t="s">
        <v>470</v>
      </c>
      <c r="U56" s="298">
        <v>160</v>
      </c>
      <c r="V56" s="297" t="s">
        <v>492</v>
      </c>
      <c r="W56" s="296">
        <v>5</v>
      </c>
      <c r="X56" s="295">
        <v>2.0160000000000001E-2</v>
      </c>
    </row>
    <row r="57" spans="2:24" ht="12" customHeight="1" x14ac:dyDescent="0.2">
      <c r="B57" s="294" t="s">
        <v>494</v>
      </c>
      <c r="C57" s="294" t="s">
        <v>488</v>
      </c>
      <c r="D57" s="293">
        <v>1.5</v>
      </c>
      <c r="E57" s="292" t="s">
        <v>424</v>
      </c>
      <c r="F57" s="300" t="s">
        <v>423</v>
      </c>
      <c r="G57" s="290" t="s">
        <v>422</v>
      </c>
      <c r="H57" s="290" t="s">
        <v>422</v>
      </c>
      <c r="I57" s="291" t="s">
        <v>422</v>
      </c>
      <c r="J57" s="289">
        <v>2.1999999999999999E-2</v>
      </c>
      <c r="K57" s="289">
        <v>2.1604331616638743E-5</v>
      </c>
      <c r="L57" s="289">
        <v>8.0100392491923213E-3</v>
      </c>
      <c r="M57" s="289">
        <v>3.3000000000000002E-2</v>
      </c>
      <c r="N57" s="289">
        <v>8.3000000000000004E-2</v>
      </c>
      <c r="O57" s="290" t="s">
        <v>422</v>
      </c>
      <c r="P57" s="289" t="s">
        <v>422</v>
      </c>
      <c r="R57" s="299" t="s">
        <v>0</v>
      </c>
      <c r="S57" s="297" t="s">
        <v>429</v>
      </c>
      <c r="T57" s="297" t="s">
        <v>436</v>
      </c>
      <c r="U57" s="298">
        <v>190</v>
      </c>
      <c r="V57" s="297" t="s">
        <v>492</v>
      </c>
      <c r="W57" s="296">
        <v>8</v>
      </c>
      <c r="X57" s="295">
        <v>2.1212500000000002E-2</v>
      </c>
    </row>
    <row r="58" spans="2:24" ht="12" customHeight="1" x14ac:dyDescent="0.2">
      <c r="B58" s="294" t="s">
        <v>493</v>
      </c>
      <c r="C58" s="294" t="s">
        <v>488</v>
      </c>
      <c r="D58" s="293">
        <v>1.5</v>
      </c>
      <c r="E58" s="300" t="s">
        <v>470</v>
      </c>
      <c r="F58" s="292" t="s">
        <v>445</v>
      </c>
      <c r="G58" s="290" t="s">
        <v>422</v>
      </c>
      <c r="H58" s="290" t="s">
        <v>422</v>
      </c>
      <c r="I58" s="291" t="s">
        <v>422</v>
      </c>
      <c r="J58" s="289">
        <v>1.6E-2</v>
      </c>
      <c r="K58" s="289">
        <v>2.1604331616638743E-5</v>
      </c>
      <c r="L58" s="289">
        <v>8.0100392491923213E-3</v>
      </c>
      <c r="M58" s="289">
        <v>2.4E-2</v>
      </c>
      <c r="N58" s="289">
        <v>7.400000000000001E-2</v>
      </c>
      <c r="O58" s="290" t="s">
        <v>422</v>
      </c>
      <c r="P58" s="289" t="s">
        <v>422</v>
      </c>
      <c r="R58" s="299" t="s">
        <v>0</v>
      </c>
      <c r="S58" s="297" t="s">
        <v>423</v>
      </c>
      <c r="T58" s="297" t="s">
        <v>424</v>
      </c>
      <c r="U58" s="298">
        <v>220</v>
      </c>
      <c r="V58" s="297" t="s">
        <v>492</v>
      </c>
      <c r="W58" s="296">
        <v>9</v>
      </c>
      <c r="X58" s="295">
        <v>2.5922222222222225E-2</v>
      </c>
    </row>
    <row r="59" spans="2:24" ht="12" customHeight="1" x14ac:dyDescent="0.2">
      <c r="B59" s="294" t="s">
        <v>491</v>
      </c>
      <c r="C59" s="294" t="s">
        <v>488</v>
      </c>
      <c r="D59" s="293">
        <v>0.71299999999999997</v>
      </c>
      <c r="E59" s="300" t="s">
        <v>373</v>
      </c>
      <c r="F59" s="292" t="s">
        <v>449</v>
      </c>
      <c r="G59" s="290" t="s">
        <v>422</v>
      </c>
      <c r="H59" s="290" t="s">
        <v>422</v>
      </c>
      <c r="I59" s="291" t="s">
        <v>422</v>
      </c>
      <c r="J59" s="289">
        <v>5.5E-2</v>
      </c>
      <c r="K59" s="289">
        <v>1.0269258961775615E-5</v>
      </c>
      <c r="L59" s="289">
        <v>3.8074386564494168E-3</v>
      </c>
      <c r="M59" s="289">
        <v>8.2500000000000004E-2</v>
      </c>
      <c r="N59" s="289">
        <v>0.13250000000000001</v>
      </c>
      <c r="O59" s="290" t="s">
        <v>422</v>
      </c>
      <c r="P59" s="289" t="s">
        <v>422</v>
      </c>
      <c r="R59" s="299" t="s">
        <v>490</v>
      </c>
      <c r="S59" s="297" t="s">
        <v>453</v>
      </c>
      <c r="T59" s="297" t="s">
        <v>454</v>
      </c>
      <c r="U59" s="298">
        <v>250</v>
      </c>
      <c r="V59" s="297" t="s">
        <v>484</v>
      </c>
      <c r="W59" s="296">
        <v>5</v>
      </c>
      <c r="X59" s="295">
        <v>2.8060000000000002E-2</v>
      </c>
    </row>
    <row r="60" spans="2:24" ht="12" customHeight="1" x14ac:dyDescent="0.2">
      <c r="B60" s="294" t="s">
        <v>489</v>
      </c>
      <c r="C60" s="294" t="s">
        <v>488</v>
      </c>
      <c r="D60" s="293">
        <v>23.986000000000001</v>
      </c>
      <c r="E60" s="292" t="s">
        <v>372</v>
      </c>
      <c r="F60" s="292" t="s">
        <v>445</v>
      </c>
      <c r="G60" s="290" t="s">
        <v>422</v>
      </c>
      <c r="H60" s="290" t="s">
        <v>422</v>
      </c>
      <c r="I60" s="291" t="s">
        <v>422</v>
      </c>
      <c r="J60" s="289">
        <v>1.6E-2</v>
      </c>
      <c r="K60" s="289">
        <v>3.4546766543779793E-4</v>
      </c>
      <c r="L60" s="289">
        <v>0.12808586762075136</v>
      </c>
      <c r="M60" s="289">
        <v>2.4E-2</v>
      </c>
      <c r="N60" s="289">
        <v>7.400000000000001E-2</v>
      </c>
      <c r="O60" s="290" t="s">
        <v>422</v>
      </c>
      <c r="P60" s="289" t="s">
        <v>422</v>
      </c>
      <c r="R60" s="299" t="s">
        <v>487</v>
      </c>
      <c r="S60" s="297" t="s">
        <v>486</v>
      </c>
      <c r="T60" s="297" t="s">
        <v>465</v>
      </c>
      <c r="U60" s="298">
        <v>300</v>
      </c>
      <c r="V60" s="297" t="s">
        <v>484</v>
      </c>
      <c r="W60" s="296">
        <v>0</v>
      </c>
      <c r="X60" s="295" t="s">
        <v>422</v>
      </c>
    </row>
    <row r="61" spans="2:24" ht="12" customHeight="1" x14ac:dyDescent="0.2">
      <c r="B61" s="294" t="s">
        <v>485</v>
      </c>
      <c r="C61" s="294" t="s">
        <v>420</v>
      </c>
      <c r="D61" s="293">
        <v>474.86500000000001</v>
      </c>
      <c r="E61" s="292" t="s">
        <v>472</v>
      </c>
      <c r="F61" s="292" t="s">
        <v>440</v>
      </c>
      <c r="G61" s="290">
        <v>0.29849999999999999</v>
      </c>
      <c r="H61" s="290">
        <v>0.1827</v>
      </c>
      <c r="I61" s="291">
        <v>1.6338259441707716</v>
      </c>
      <c r="J61" s="289">
        <v>6.5000000000000002E-2</v>
      </c>
      <c r="K61" s="289">
        <v>6.8394272887567715E-3</v>
      </c>
      <c r="L61" s="289">
        <v>8.635127428888148E-2</v>
      </c>
      <c r="M61" s="289">
        <v>9.7500000000000003E-2</v>
      </c>
      <c r="N61" s="289">
        <v>0.14750000000000002</v>
      </c>
      <c r="O61" s="290">
        <v>0.14729999999999999</v>
      </c>
      <c r="P61" s="289">
        <v>0.14269999999999999</v>
      </c>
      <c r="R61" s="299" t="s">
        <v>0</v>
      </c>
      <c r="S61" s="297" t="s">
        <v>426</v>
      </c>
      <c r="T61" s="297" t="s">
        <v>427</v>
      </c>
      <c r="U61" s="298">
        <v>360</v>
      </c>
      <c r="V61" s="297" t="s">
        <v>484</v>
      </c>
      <c r="W61" s="296">
        <v>2</v>
      </c>
      <c r="X61" s="295">
        <v>4.2999999999999997E-2</v>
      </c>
    </row>
    <row r="62" spans="2:24" ht="12" customHeight="1" x14ac:dyDescent="0.2">
      <c r="B62" s="294" t="s">
        <v>483</v>
      </c>
      <c r="C62" s="294" t="s">
        <v>420</v>
      </c>
      <c r="D62" s="293">
        <v>1.448</v>
      </c>
      <c r="E62" s="292" t="s">
        <v>419</v>
      </c>
      <c r="F62" s="292" t="s">
        <v>468</v>
      </c>
      <c r="G62" s="290" t="s">
        <v>422</v>
      </c>
      <c r="H62" s="290" t="s">
        <v>422</v>
      </c>
      <c r="I62" s="291" t="s">
        <v>422</v>
      </c>
      <c r="J62" s="289">
        <v>0.09</v>
      </c>
      <c r="K62" s="289">
        <v>2.0855381453928597E-5</v>
      </c>
      <c r="L62" s="289">
        <v>2.6330987790277319E-4</v>
      </c>
      <c r="M62" s="289">
        <v>0.13500000000000001</v>
      </c>
      <c r="N62" s="289">
        <v>0.185</v>
      </c>
      <c r="O62" s="290" t="s">
        <v>422</v>
      </c>
      <c r="P62" s="289" t="s">
        <v>422</v>
      </c>
      <c r="R62" s="299" t="s">
        <v>482</v>
      </c>
      <c r="S62" s="297" t="s">
        <v>481</v>
      </c>
      <c r="T62" s="297" t="s">
        <v>480</v>
      </c>
      <c r="U62" s="298">
        <v>450</v>
      </c>
      <c r="V62" s="297" t="s">
        <v>477</v>
      </c>
      <c r="W62" s="296">
        <v>2</v>
      </c>
      <c r="X62" s="295">
        <v>2.64E-2</v>
      </c>
    </row>
    <row r="63" spans="2:24" ht="12" customHeight="1" x14ac:dyDescent="0.2">
      <c r="B63" s="294" t="s">
        <v>479</v>
      </c>
      <c r="C63" s="294" t="s">
        <v>420</v>
      </c>
      <c r="D63" s="293">
        <v>27.035</v>
      </c>
      <c r="E63" s="292" t="s">
        <v>427</v>
      </c>
      <c r="F63" s="292" t="s">
        <v>426</v>
      </c>
      <c r="G63" s="290" t="s">
        <v>422</v>
      </c>
      <c r="H63" s="290" t="s">
        <v>422</v>
      </c>
      <c r="I63" s="291" t="s">
        <v>422</v>
      </c>
      <c r="J63" s="289">
        <v>3.5999999999999997E-2</v>
      </c>
      <c r="K63" s="289">
        <v>3.8938207017055228E-4</v>
      </c>
      <c r="L63" s="289">
        <v>4.9161481692689734E-3</v>
      </c>
      <c r="M63" s="289">
        <v>5.3999999999999992E-2</v>
      </c>
      <c r="N63" s="289">
        <v>0.104</v>
      </c>
      <c r="O63" s="290" t="s">
        <v>422</v>
      </c>
      <c r="P63" s="289" t="s">
        <v>422</v>
      </c>
      <c r="R63" s="299" t="s">
        <v>0</v>
      </c>
      <c r="S63" s="297" t="s">
        <v>449</v>
      </c>
      <c r="T63" s="297" t="s">
        <v>373</v>
      </c>
      <c r="U63" s="298">
        <v>550</v>
      </c>
      <c r="V63" s="297" t="s">
        <v>477</v>
      </c>
      <c r="W63" s="296">
        <v>1</v>
      </c>
      <c r="X63" s="295">
        <v>3.3500000000000002E-2</v>
      </c>
    </row>
    <row r="64" spans="2:24" ht="12" customHeight="1" x14ac:dyDescent="0.2">
      <c r="B64" s="294" t="s">
        <v>478</v>
      </c>
      <c r="C64" s="294" t="s">
        <v>420</v>
      </c>
      <c r="D64" s="293">
        <v>2252.6640000000002</v>
      </c>
      <c r="E64" s="292" t="s">
        <v>430</v>
      </c>
      <c r="F64" s="292" t="s">
        <v>429</v>
      </c>
      <c r="G64" s="290">
        <v>0.218</v>
      </c>
      <c r="H64" s="290">
        <v>0.1258</v>
      </c>
      <c r="I64" s="291">
        <v>1.7329093799682036</v>
      </c>
      <c r="J64" s="289">
        <v>1.9E-2</v>
      </c>
      <c r="K64" s="289">
        <v>3.244486671790927E-2</v>
      </c>
      <c r="L64" s="289">
        <v>0.40963306822926293</v>
      </c>
      <c r="M64" s="289">
        <v>2.8499999999999998E-2</v>
      </c>
      <c r="N64" s="289">
        <v>7.85E-2</v>
      </c>
      <c r="O64" s="290">
        <v>2.53E-2</v>
      </c>
      <c r="P64" s="289">
        <v>2.07E-2</v>
      </c>
      <c r="R64" s="299" t="s">
        <v>0</v>
      </c>
      <c r="S64" s="297" t="s">
        <v>440</v>
      </c>
      <c r="T64" s="297" t="s">
        <v>419</v>
      </c>
      <c r="U64" s="298">
        <v>650</v>
      </c>
      <c r="V64" s="297" t="s">
        <v>477</v>
      </c>
      <c r="W64" s="296">
        <v>1</v>
      </c>
      <c r="X64" s="295">
        <v>0.14729999999999999</v>
      </c>
    </row>
    <row r="65" spans="2:24" ht="12" customHeight="1" x14ac:dyDescent="0.2">
      <c r="B65" s="294" t="s">
        <v>476</v>
      </c>
      <c r="C65" s="294" t="s">
        <v>420</v>
      </c>
      <c r="D65" s="293">
        <v>268.31400000000002</v>
      </c>
      <c r="E65" s="292" t="s">
        <v>475</v>
      </c>
      <c r="F65" s="292" t="s">
        <v>474</v>
      </c>
      <c r="G65" s="290">
        <v>0.15659999999999999</v>
      </c>
      <c r="H65" s="290">
        <v>8.5000000000000006E-2</v>
      </c>
      <c r="I65" s="291">
        <v>1.8423529411764703</v>
      </c>
      <c r="J65" s="289">
        <v>6.0000000000000001E-3</v>
      </c>
      <c r="K65" s="289">
        <v>3.8644964222578721E-3</v>
      </c>
      <c r="L65" s="289">
        <v>4.8791247637848541E-2</v>
      </c>
      <c r="M65" s="289">
        <v>9.0000000000000011E-3</v>
      </c>
      <c r="N65" s="289">
        <v>5.9000000000000004E-2</v>
      </c>
      <c r="O65" s="290">
        <v>1.0800000000000001E-2</v>
      </c>
      <c r="P65" s="289">
        <v>6.2000000000000006E-3</v>
      </c>
      <c r="R65" s="299" t="s">
        <v>473</v>
      </c>
      <c r="S65" s="297" t="s">
        <v>418</v>
      </c>
      <c r="T65" s="297" t="s">
        <v>472</v>
      </c>
      <c r="U65" s="298">
        <v>750</v>
      </c>
      <c r="V65" s="297" t="s">
        <v>442</v>
      </c>
      <c r="W65" s="296">
        <v>1</v>
      </c>
      <c r="X65" s="295">
        <v>0.108</v>
      </c>
    </row>
    <row r="66" spans="2:24" ht="12" customHeight="1" x14ac:dyDescent="0.2">
      <c r="B66" s="294" t="s">
        <v>471</v>
      </c>
      <c r="C66" s="294" t="s">
        <v>420</v>
      </c>
      <c r="D66" s="293">
        <v>369.81299999999999</v>
      </c>
      <c r="E66" s="292" t="s">
        <v>470</v>
      </c>
      <c r="F66" s="292" t="s">
        <v>423</v>
      </c>
      <c r="G66" s="290">
        <v>0.17810000000000001</v>
      </c>
      <c r="H66" s="290">
        <v>0.1452</v>
      </c>
      <c r="I66" s="291">
        <v>1.2265840220385675</v>
      </c>
      <c r="J66" s="289">
        <v>2.1999999999999999E-2</v>
      </c>
      <c r="K66" s="289">
        <v>5.3263751254293487E-3</v>
      </c>
      <c r="L66" s="289">
        <v>6.7248215384570625E-2</v>
      </c>
      <c r="M66" s="289">
        <v>3.3000000000000002E-2</v>
      </c>
      <c r="N66" s="289">
        <v>8.3000000000000004E-2</v>
      </c>
      <c r="O66" s="290">
        <v>1.7399999999999999E-2</v>
      </c>
      <c r="P66" s="289">
        <v>1.2799999999999999E-2</v>
      </c>
      <c r="R66" s="299" t="s">
        <v>469</v>
      </c>
      <c r="S66" s="297" t="s">
        <v>468</v>
      </c>
      <c r="T66" s="297" t="s">
        <v>467</v>
      </c>
      <c r="U66" s="298">
        <v>900</v>
      </c>
      <c r="V66" s="297" t="s">
        <v>442</v>
      </c>
      <c r="W66" s="296">
        <v>0</v>
      </c>
      <c r="X66" s="295" t="s">
        <v>422</v>
      </c>
    </row>
    <row r="67" spans="2:24" ht="12" customHeight="1" x14ac:dyDescent="0.2">
      <c r="B67" s="294" t="s">
        <v>466</v>
      </c>
      <c r="C67" s="294" t="s">
        <v>420</v>
      </c>
      <c r="D67" s="293">
        <v>45.127000000000002</v>
      </c>
      <c r="E67" s="292" t="s">
        <v>465</v>
      </c>
      <c r="F67" s="292" t="s">
        <v>423</v>
      </c>
      <c r="G67" s="290" t="s">
        <v>422</v>
      </c>
      <c r="H67" s="290" t="s">
        <v>422</v>
      </c>
      <c r="I67" s="291" t="s">
        <v>422</v>
      </c>
      <c r="J67" s="289">
        <v>2.1999999999999999E-2</v>
      </c>
      <c r="K67" s="289">
        <v>6.4995911524270435E-4</v>
      </c>
      <c r="L67" s="289">
        <v>8.2060668923469929E-3</v>
      </c>
      <c r="M67" s="289">
        <v>3.3000000000000002E-2</v>
      </c>
      <c r="N67" s="289">
        <v>8.3000000000000004E-2</v>
      </c>
      <c r="O67" s="290">
        <v>3.4299999999999997E-2</v>
      </c>
      <c r="P67" s="289">
        <v>2.9699999999999997E-2</v>
      </c>
      <c r="R67" s="299" t="s">
        <v>0</v>
      </c>
      <c r="S67" s="297" t="s">
        <v>464</v>
      </c>
      <c r="T67" s="297" t="s">
        <v>463</v>
      </c>
      <c r="U67" s="298">
        <v>1000</v>
      </c>
      <c r="V67" s="297" t="s">
        <v>442</v>
      </c>
      <c r="W67" s="296">
        <v>0</v>
      </c>
      <c r="X67" s="295" t="s">
        <v>422</v>
      </c>
    </row>
    <row r="68" spans="2:24" ht="12" customHeight="1" x14ac:dyDescent="0.2">
      <c r="B68" s="294" t="s">
        <v>462</v>
      </c>
      <c r="C68" s="294" t="s">
        <v>420</v>
      </c>
      <c r="D68" s="293">
        <v>84.531999999999996</v>
      </c>
      <c r="E68" s="292" t="s">
        <v>373</v>
      </c>
      <c r="F68" s="292" t="s">
        <v>418</v>
      </c>
      <c r="G68" s="290" t="s">
        <v>422</v>
      </c>
      <c r="H68" s="290" t="s">
        <v>422</v>
      </c>
      <c r="I68" s="291" t="s">
        <v>422</v>
      </c>
      <c r="J68" s="289">
        <v>7.4999999999999997E-2</v>
      </c>
      <c r="K68" s="289">
        <v>1.2175049068118041E-3</v>
      </c>
      <c r="L68" s="289">
        <v>1.5371623341766037E-2</v>
      </c>
      <c r="M68" s="289">
        <v>0.11249999999999999</v>
      </c>
      <c r="N68" s="289">
        <v>0.16249999999999998</v>
      </c>
      <c r="O68" s="290" t="s">
        <v>422</v>
      </c>
      <c r="P68" s="289" t="s">
        <v>422</v>
      </c>
      <c r="R68" s="299"/>
      <c r="S68" s="297" t="s">
        <v>461</v>
      </c>
      <c r="T68" s="297" t="s">
        <v>460</v>
      </c>
      <c r="U68" s="298" t="s">
        <v>422</v>
      </c>
      <c r="V68" s="297">
        <v>7</v>
      </c>
      <c r="W68" s="296">
        <v>0</v>
      </c>
      <c r="X68" s="295" t="s">
        <v>422</v>
      </c>
    </row>
    <row r="69" spans="2:24" ht="12" customHeight="1" x14ac:dyDescent="0.2">
      <c r="B69" s="294" t="s">
        <v>459</v>
      </c>
      <c r="C69" s="294" t="s">
        <v>420</v>
      </c>
      <c r="D69" s="293">
        <v>23.786999999999999</v>
      </c>
      <c r="E69" s="292" t="s">
        <v>427</v>
      </c>
      <c r="F69" s="292" t="s">
        <v>426</v>
      </c>
      <c r="G69" s="290" t="s">
        <v>422</v>
      </c>
      <c r="H69" s="290" t="s">
        <v>422</v>
      </c>
      <c r="I69" s="291" t="s">
        <v>422</v>
      </c>
      <c r="J69" s="289">
        <v>3.5999999999999997E-2</v>
      </c>
      <c r="K69" s="289">
        <v>3.4260149077665716E-4</v>
      </c>
      <c r="L69" s="289">
        <v>4.3255193823710401E-3</v>
      </c>
      <c r="M69" s="289">
        <v>5.3999999999999992E-2</v>
      </c>
      <c r="N69" s="289">
        <v>0.104</v>
      </c>
      <c r="O69" s="290" t="s">
        <v>422</v>
      </c>
      <c r="P69" s="289" t="s">
        <v>422</v>
      </c>
      <c r="R69" s="299" t="s">
        <v>458</v>
      </c>
      <c r="S69" s="297" t="s">
        <v>457</v>
      </c>
      <c r="T69" s="297" t="s">
        <v>456</v>
      </c>
      <c r="U69" s="298" t="s">
        <v>422</v>
      </c>
      <c r="V69" s="297" t="s">
        <v>442</v>
      </c>
      <c r="W69" s="296">
        <v>0</v>
      </c>
      <c r="X69" s="295" t="s">
        <v>422</v>
      </c>
    </row>
    <row r="70" spans="2:24" ht="12" customHeight="1" x14ac:dyDescent="0.2">
      <c r="B70" s="294" t="s">
        <v>455</v>
      </c>
      <c r="C70" s="294" t="s">
        <v>420</v>
      </c>
      <c r="D70" s="293">
        <v>50.805999999999997</v>
      </c>
      <c r="E70" s="292" t="s">
        <v>454</v>
      </c>
      <c r="F70" s="292" t="s">
        <v>453</v>
      </c>
      <c r="G70" s="290" t="s">
        <v>422</v>
      </c>
      <c r="H70" s="290" t="s">
        <v>422</v>
      </c>
      <c r="I70" s="291" t="s">
        <v>422</v>
      </c>
      <c r="J70" s="289">
        <v>2.5000000000000001E-2</v>
      </c>
      <c r="K70" s="289">
        <v>7.3175311474329855E-4</v>
      </c>
      <c r="L70" s="289">
        <v>9.2387580502267218E-3</v>
      </c>
      <c r="M70" s="289">
        <v>3.7500000000000006E-2</v>
      </c>
      <c r="N70" s="289">
        <v>8.7500000000000008E-2</v>
      </c>
      <c r="O70" s="290" t="s">
        <v>422</v>
      </c>
      <c r="P70" s="289" t="s">
        <v>422</v>
      </c>
      <c r="R70" s="299"/>
      <c r="S70" s="297" t="s">
        <v>452</v>
      </c>
      <c r="T70" s="297" t="s">
        <v>451</v>
      </c>
      <c r="U70" s="298" t="s">
        <v>422</v>
      </c>
      <c r="V70" s="297">
        <v>7</v>
      </c>
      <c r="W70" s="296">
        <v>0</v>
      </c>
      <c r="X70" s="295" t="s">
        <v>422</v>
      </c>
    </row>
    <row r="71" spans="2:24" ht="12" customHeight="1" x14ac:dyDescent="0.2">
      <c r="B71" s="294" t="s">
        <v>450</v>
      </c>
      <c r="C71" s="294" t="s">
        <v>420</v>
      </c>
      <c r="D71" s="293">
        <v>17.966999999999999</v>
      </c>
      <c r="E71" s="292" t="s">
        <v>373</v>
      </c>
      <c r="F71" s="292" t="s">
        <v>449</v>
      </c>
      <c r="G71" s="290" t="s">
        <v>422</v>
      </c>
      <c r="H71" s="290" t="s">
        <v>422</v>
      </c>
      <c r="I71" s="291" t="s">
        <v>422</v>
      </c>
      <c r="J71" s="289">
        <v>5.5E-2</v>
      </c>
      <c r="K71" s="289">
        <v>2.5877668410409884E-4</v>
      </c>
      <c r="L71" s="289">
        <v>3.2671882432866888E-3</v>
      </c>
      <c r="M71" s="289">
        <v>8.2500000000000004E-2</v>
      </c>
      <c r="N71" s="289">
        <v>0.13250000000000001</v>
      </c>
      <c r="O71" s="290" t="s">
        <v>422</v>
      </c>
      <c r="P71" s="289" t="s">
        <v>422</v>
      </c>
      <c r="R71" s="299"/>
      <c r="S71" s="297" t="s">
        <v>448</v>
      </c>
      <c r="T71" s="297" t="s">
        <v>447</v>
      </c>
      <c r="U71" s="298" t="s">
        <v>422</v>
      </c>
      <c r="V71" s="297">
        <v>7</v>
      </c>
      <c r="W71" s="296">
        <v>0</v>
      </c>
      <c r="X71" s="295" t="s">
        <v>422</v>
      </c>
    </row>
    <row r="72" spans="2:24" ht="12" customHeight="1" x14ac:dyDescent="0.2">
      <c r="B72" s="294" t="s">
        <v>446</v>
      </c>
      <c r="C72" s="294" t="s">
        <v>420</v>
      </c>
      <c r="D72" s="293">
        <v>1177.271</v>
      </c>
      <c r="E72" s="292" t="s">
        <v>372</v>
      </c>
      <c r="F72" s="292" t="s">
        <v>445</v>
      </c>
      <c r="G72" s="290">
        <v>0.1802</v>
      </c>
      <c r="H72" s="290">
        <v>0.1106</v>
      </c>
      <c r="I72" s="291">
        <v>1.6292947558770343</v>
      </c>
      <c r="J72" s="289">
        <v>1.6E-2</v>
      </c>
      <c r="K72" s="289">
        <v>1.6956102057767937E-2</v>
      </c>
      <c r="L72" s="289">
        <v>0.21407947739535613</v>
      </c>
      <c r="M72" s="289">
        <v>2.4E-2</v>
      </c>
      <c r="N72" s="289">
        <v>7.400000000000001E-2</v>
      </c>
      <c r="O72" s="290">
        <v>1.49E-2</v>
      </c>
      <c r="P72" s="289">
        <v>1.03E-2</v>
      </c>
      <c r="R72" s="299" t="s">
        <v>444</v>
      </c>
      <c r="S72" s="297" t="s">
        <v>443</v>
      </c>
      <c r="T72" s="297" t="s">
        <v>371</v>
      </c>
      <c r="U72" s="298" t="s">
        <v>422</v>
      </c>
      <c r="V72" s="297" t="s">
        <v>442</v>
      </c>
      <c r="W72" s="296">
        <v>0</v>
      </c>
      <c r="X72" s="295" t="s">
        <v>422</v>
      </c>
    </row>
    <row r="73" spans="2:24" ht="12" customHeight="1" x14ac:dyDescent="0.2">
      <c r="B73" s="294" t="s">
        <v>441</v>
      </c>
      <c r="C73" s="294" t="s">
        <v>420</v>
      </c>
      <c r="D73" s="293">
        <v>10.507</v>
      </c>
      <c r="E73" s="300" t="s">
        <v>419</v>
      </c>
      <c r="F73" s="292" t="s">
        <v>440</v>
      </c>
      <c r="G73" s="290" t="s">
        <v>422</v>
      </c>
      <c r="H73" s="290" t="s">
        <v>422</v>
      </c>
      <c r="I73" s="291" t="s">
        <v>422</v>
      </c>
      <c r="J73" s="289">
        <v>6.5000000000000002E-2</v>
      </c>
      <c r="K73" s="289">
        <v>1.5133114153068219E-4</v>
      </c>
      <c r="L73" s="289">
        <v>1.9106332093400814E-3</v>
      </c>
      <c r="M73" s="289">
        <v>9.7500000000000003E-2</v>
      </c>
      <c r="N73" s="289">
        <v>0.14750000000000002</v>
      </c>
      <c r="O73" s="290" t="s">
        <v>422</v>
      </c>
      <c r="P73" s="289" t="s">
        <v>422</v>
      </c>
      <c r="R73" s="299"/>
      <c r="S73" s="297" t="s">
        <v>439</v>
      </c>
      <c r="T73" s="297" t="s">
        <v>438</v>
      </c>
      <c r="U73" s="298" t="s">
        <v>422</v>
      </c>
      <c r="V73" s="297">
        <v>7</v>
      </c>
      <c r="W73" s="296">
        <v>0</v>
      </c>
      <c r="X73" s="295" t="s">
        <v>422</v>
      </c>
    </row>
    <row r="74" spans="2:24" ht="12" customHeight="1" x14ac:dyDescent="0.2">
      <c r="B74" s="294" t="s">
        <v>437</v>
      </c>
      <c r="C74" s="294" t="s">
        <v>420</v>
      </c>
      <c r="D74" s="293">
        <v>36.253</v>
      </c>
      <c r="E74" s="292" t="s">
        <v>436</v>
      </c>
      <c r="F74" s="292" t="s">
        <v>429</v>
      </c>
      <c r="G74" s="290" t="s">
        <v>422</v>
      </c>
      <c r="H74" s="290" t="s">
        <v>422</v>
      </c>
      <c r="I74" s="291" t="s">
        <v>422</v>
      </c>
      <c r="J74" s="289">
        <v>1.9E-2</v>
      </c>
      <c r="K74" s="289">
        <v>5.2214788939866955E-4</v>
      </c>
      <c r="L74" s="289">
        <v>6.5923846710008536E-3</v>
      </c>
      <c r="M74" s="289">
        <v>2.8499999999999998E-2</v>
      </c>
      <c r="N74" s="289">
        <v>7.85E-2</v>
      </c>
      <c r="O74" s="290">
        <v>1.6400000000000001E-2</v>
      </c>
      <c r="P74" s="289">
        <v>1.1800000000000001E-2</v>
      </c>
      <c r="R74" s="299"/>
      <c r="S74" s="297" t="s">
        <v>422</v>
      </c>
      <c r="T74" s="297" t="s">
        <v>374</v>
      </c>
      <c r="U74" s="298" t="s">
        <v>422</v>
      </c>
      <c r="V74" s="297" t="s">
        <v>432</v>
      </c>
      <c r="W74" s="296">
        <v>0</v>
      </c>
      <c r="X74" s="295" t="s">
        <v>422</v>
      </c>
    </row>
    <row r="75" spans="2:24" ht="12" customHeight="1" x14ac:dyDescent="0.2">
      <c r="B75" s="294" t="s">
        <v>435</v>
      </c>
      <c r="C75" s="294" t="s">
        <v>420</v>
      </c>
      <c r="D75" s="293">
        <v>25.501999999999999</v>
      </c>
      <c r="E75" s="292" t="s">
        <v>427</v>
      </c>
      <c r="F75" s="292" t="s">
        <v>426</v>
      </c>
      <c r="G75" s="290" t="s">
        <v>422</v>
      </c>
      <c r="H75" s="290" t="s">
        <v>422</v>
      </c>
      <c r="I75" s="291" t="s">
        <v>422</v>
      </c>
      <c r="J75" s="289">
        <v>3.5999999999999997E-2</v>
      </c>
      <c r="K75" s="289">
        <v>3.6730244325834747E-4</v>
      </c>
      <c r="L75" s="289">
        <v>4.6373815651080952E-3</v>
      </c>
      <c r="M75" s="289">
        <v>5.3999999999999992E-2</v>
      </c>
      <c r="N75" s="289">
        <v>0.104</v>
      </c>
      <c r="O75" s="290" t="s">
        <v>422</v>
      </c>
      <c r="P75" s="289" t="s">
        <v>422</v>
      </c>
      <c r="R75" s="299" t="s">
        <v>434</v>
      </c>
      <c r="S75" s="297" t="s">
        <v>433</v>
      </c>
      <c r="T75" s="297" t="s">
        <v>433</v>
      </c>
      <c r="U75" s="298" t="s">
        <v>422</v>
      </c>
      <c r="V75" s="297" t="s">
        <v>432</v>
      </c>
      <c r="W75" s="296">
        <v>0</v>
      </c>
      <c r="X75" s="295" t="s">
        <v>422</v>
      </c>
    </row>
    <row r="76" spans="2:24" ht="12" customHeight="1" x14ac:dyDescent="0.2">
      <c r="B76" s="294" t="s">
        <v>431</v>
      </c>
      <c r="C76" s="294" t="s">
        <v>420</v>
      </c>
      <c r="D76" s="293">
        <v>197.11099999999999</v>
      </c>
      <c r="E76" s="292" t="s">
        <v>430</v>
      </c>
      <c r="F76" s="292" t="s">
        <v>429</v>
      </c>
      <c r="G76" s="290">
        <v>0.2651</v>
      </c>
      <c r="H76" s="290">
        <v>0.12239999999999999</v>
      </c>
      <c r="I76" s="291">
        <v>2.1658496732026147</v>
      </c>
      <c r="J76" s="289">
        <v>1.9E-2</v>
      </c>
      <c r="K76" s="289">
        <v>2.8389676061915193E-3</v>
      </c>
      <c r="L76" s="289">
        <v>3.5843420817191662E-2</v>
      </c>
      <c r="M76" s="289">
        <v>2.8499999999999998E-2</v>
      </c>
      <c r="N76" s="289">
        <v>7.85E-2</v>
      </c>
      <c r="O76" s="290">
        <v>1.8800000000000001E-2</v>
      </c>
      <c r="P76" s="289">
        <v>1.4200000000000001E-2</v>
      </c>
    </row>
    <row r="77" spans="2:24" ht="12" customHeight="1" x14ac:dyDescent="0.2">
      <c r="B77" s="294" t="s">
        <v>428</v>
      </c>
      <c r="C77" s="294" t="s">
        <v>420</v>
      </c>
      <c r="D77" s="293">
        <v>4.7380000000000004</v>
      </c>
      <c r="E77" s="292" t="s">
        <v>427</v>
      </c>
      <c r="F77" s="292" t="s">
        <v>426</v>
      </c>
      <c r="G77" s="290" t="s">
        <v>422</v>
      </c>
      <c r="H77" s="290" t="s">
        <v>422</v>
      </c>
      <c r="I77" s="291" t="s">
        <v>422</v>
      </c>
      <c r="J77" s="289">
        <v>3.5999999999999997E-2</v>
      </c>
      <c r="K77" s="289">
        <v>6.8240882133089581E-5</v>
      </c>
      <c r="L77" s="289">
        <v>8.615761060105935E-4</v>
      </c>
      <c r="M77" s="289">
        <v>5.3999999999999992E-2</v>
      </c>
      <c r="N77" s="289">
        <v>0.104</v>
      </c>
      <c r="O77" s="290" t="s">
        <v>422</v>
      </c>
      <c r="P77" s="289" t="s">
        <v>422</v>
      </c>
    </row>
    <row r="78" spans="2:24" ht="12" customHeight="1" x14ac:dyDescent="0.2">
      <c r="B78" s="294" t="s">
        <v>425</v>
      </c>
      <c r="C78" s="294" t="s">
        <v>420</v>
      </c>
      <c r="D78" s="293">
        <v>49.06</v>
      </c>
      <c r="E78" s="292" t="s">
        <v>424</v>
      </c>
      <c r="F78" s="292" t="s">
        <v>423</v>
      </c>
      <c r="G78" s="290" t="s">
        <v>422</v>
      </c>
      <c r="H78" s="290" t="s">
        <v>422</v>
      </c>
      <c r="I78" s="291" t="s">
        <v>422</v>
      </c>
      <c r="J78" s="289">
        <v>2.1999999999999999E-2</v>
      </c>
      <c r="K78" s="289">
        <v>7.0660567274153112E-4</v>
      </c>
      <c r="L78" s="289">
        <v>8.9212587085014186E-3</v>
      </c>
      <c r="M78" s="289">
        <v>3.3000000000000002E-2</v>
      </c>
      <c r="N78" s="289">
        <v>8.3000000000000004E-2</v>
      </c>
      <c r="O78" s="290" t="s">
        <v>422</v>
      </c>
      <c r="P78" s="289" t="s">
        <v>422</v>
      </c>
    </row>
    <row r="79" spans="2:24" ht="12" customHeight="1" x14ac:dyDescent="0.2">
      <c r="B79" s="294" t="s">
        <v>421</v>
      </c>
      <c r="C79" s="294" t="s">
        <v>420</v>
      </c>
      <c r="D79" s="293">
        <v>382.42399999999998</v>
      </c>
      <c r="E79" s="292" t="s">
        <v>419</v>
      </c>
      <c r="F79" s="292" t="s">
        <v>418</v>
      </c>
      <c r="G79" s="290">
        <v>0.14380000000000001</v>
      </c>
      <c r="H79" s="290">
        <v>0.2087</v>
      </c>
      <c r="I79" s="291">
        <v>0.68902731193100153</v>
      </c>
      <c r="J79" s="289">
        <v>7.4999999999999997E-2</v>
      </c>
      <c r="K79" s="289">
        <v>5.5080099427743025E-3</v>
      </c>
      <c r="L79" s="289">
        <v>6.9541448029758368E-2</v>
      </c>
      <c r="M79" s="289">
        <v>0.11249999999999999</v>
      </c>
      <c r="N79" s="289">
        <v>0.16249999999999998</v>
      </c>
      <c r="O79" s="290">
        <v>0.108</v>
      </c>
      <c r="P79" s="289">
        <v>0.10339999999999999</v>
      </c>
    </row>
  </sheetData>
  <pageMargins left="0.2" right="0.2" top="0.2" bottom="0.2" header="0.3" footer="0.3"/>
  <pageSetup paperSize="5" scale="60" fitToHeight="2" orientation="landscape"/>
  <headerFooter>
    <oddHeader>&amp;RLuis Canela &amp; Asociados</oddHeader>
    <oddFooter>&amp;RProprietary &amp; Confidential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="150" zoomScaleNormal="150" zoomScalePageLayoutView="150" workbookViewId="0">
      <selection activeCell="B21" sqref="B21"/>
    </sheetView>
  </sheetViews>
  <sheetFormatPr baseColWidth="10" defaultRowHeight="16" x14ac:dyDescent="0.2"/>
  <cols>
    <col min="8" max="8" width="14.1640625" bestFit="1" customWidth="1"/>
  </cols>
  <sheetData>
    <row r="1" spans="1:5" x14ac:dyDescent="0.2">
      <c r="A1" s="253"/>
      <c r="B1" s="254" t="s">
        <v>411</v>
      </c>
      <c r="C1" s="254" t="s">
        <v>412</v>
      </c>
      <c r="D1" s="254" t="s">
        <v>413</v>
      </c>
      <c r="E1" s="254" t="s">
        <v>414</v>
      </c>
    </row>
    <row r="2" spans="1:5" x14ac:dyDescent="0.2">
      <c r="A2" s="255" t="str">
        <f>HYPERLINK("http://64.78.32.16/docs/informacion-contable/"&amp;B2&amp;C2&amp;D2&amp;E2,"Download")</f>
        <v>Download</v>
      </c>
      <c r="B2" s="256" t="s">
        <v>415</v>
      </c>
      <c r="C2" s="257" t="s">
        <v>416</v>
      </c>
      <c r="D2" s="256">
        <v>2015</v>
      </c>
      <c r="E2" s="256" t="s">
        <v>417</v>
      </c>
    </row>
  </sheetData>
  <dataValidations count="4">
    <dataValidation type="list" allowBlank="1" showInputMessage="1" showErrorMessage="1" sqref="B2" xr:uid="{00000000-0002-0000-0000-000000000000}">
      <formula1>"B1,B2,B3,B4,B4A,B4B,B4C,B5,B6,B9,B10,11C"</formula1>
    </dataValidation>
    <dataValidation type="list" allowBlank="1" showInputMessage="1" showErrorMessage="1" sqref="D2" xr:uid="{00000000-0002-0000-0000-000001000000}">
      <formula1>"2015,2014,2013,2012,2011,2010"</formula1>
    </dataValidation>
    <dataValidation type="list" allowBlank="1" showInputMessage="1" showErrorMessage="1" sqref="C2" xr:uid="{00000000-0002-0000-0000-000002000000}">
      <formula1>"01,02,03,04,05,06,07,08,09,10,11,12"</formula1>
    </dataValidation>
    <dataValidation type="list" allowBlank="1" showInputMessage="1" showErrorMessage="1" sqref="E2" xr:uid="{00000000-0002-0000-0000-000003000000}">
      <formula1>".xlsx,.rar"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O80"/>
  <sheetViews>
    <sheetView showGridLines="0" workbookViewId="0">
      <selection activeCell="H15" sqref="H15"/>
    </sheetView>
  </sheetViews>
  <sheetFormatPr baseColWidth="10" defaultColWidth="15.83203125" defaultRowHeight="20" customHeight="1" x14ac:dyDescent="0.2"/>
  <cols>
    <col min="1" max="1" width="3.83203125" style="56" customWidth="1"/>
    <col min="2" max="2" width="20.83203125" style="56" customWidth="1"/>
    <col min="3" max="16384" width="15.83203125" style="56"/>
  </cols>
  <sheetData>
    <row r="2" spans="2:14" ht="20" customHeight="1" x14ac:dyDescent="0.2">
      <c r="B2" s="55" t="s">
        <v>257</v>
      </c>
      <c r="C2" s="51"/>
      <c r="D2" s="51"/>
      <c r="E2" s="51"/>
      <c r="F2" s="55"/>
      <c r="G2" s="55"/>
      <c r="H2" s="55"/>
      <c r="I2" s="55"/>
      <c r="J2" s="55"/>
      <c r="K2" s="55"/>
      <c r="L2" s="55"/>
      <c r="M2" s="55"/>
    </row>
    <row r="3" spans="2:14" ht="20" customHeight="1" x14ac:dyDescent="0.2">
      <c r="B3" s="55" t="s">
        <v>299</v>
      </c>
      <c r="C3" s="51"/>
      <c r="D3" s="51"/>
      <c r="E3" s="51"/>
      <c r="F3" s="55"/>
      <c r="G3" s="55"/>
      <c r="H3" s="55"/>
      <c r="I3" s="55"/>
      <c r="J3" s="55"/>
      <c r="K3" s="55"/>
      <c r="L3" s="55"/>
      <c r="M3" s="55"/>
    </row>
    <row r="4" spans="2:14" ht="20" customHeight="1" x14ac:dyDescent="0.2">
      <c r="B4" s="55" t="s">
        <v>300</v>
      </c>
      <c r="C4" s="51"/>
      <c r="D4" s="51"/>
      <c r="E4" s="51"/>
      <c r="F4" s="55"/>
      <c r="G4" s="55"/>
      <c r="H4" s="55"/>
      <c r="I4" s="55"/>
      <c r="J4" s="55"/>
      <c r="K4" s="55"/>
      <c r="L4" s="55"/>
      <c r="M4" s="55"/>
    </row>
    <row r="5" spans="2:14" ht="20" customHeight="1" x14ac:dyDescent="0.2">
      <c r="B5" s="55" t="s">
        <v>301</v>
      </c>
      <c r="C5" s="51"/>
      <c r="D5" s="51"/>
      <c r="E5" s="51"/>
      <c r="F5" s="54"/>
      <c r="G5" s="54"/>
      <c r="H5" s="54"/>
      <c r="I5" s="54"/>
      <c r="J5" s="54"/>
      <c r="K5" s="54"/>
      <c r="L5" s="54"/>
      <c r="M5" s="54"/>
    </row>
    <row r="7" spans="2:14" ht="20" customHeight="1" x14ac:dyDescent="0.2">
      <c r="B7" s="45" t="s">
        <v>210</v>
      </c>
      <c r="C7" s="50" t="s">
        <v>211</v>
      </c>
      <c r="D7" s="47" t="s">
        <v>212</v>
      </c>
      <c r="E7" s="48" t="s">
        <v>213</v>
      </c>
      <c r="F7" s="46" t="s">
        <v>210</v>
      </c>
      <c r="G7" s="49" t="s">
        <v>211</v>
      </c>
      <c r="H7" s="47" t="s">
        <v>212</v>
      </c>
      <c r="I7" s="48" t="s">
        <v>213</v>
      </c>
      <c r="J7" s="46" t="s">
        <v>210</v>
      </c>
      <c r="K7" s="49" t="s">
        <v>211</v>
      </c>
      <c r="L7" s="47" t="s">
        <v>212</v>
      </c>
      <c r="M7" s="48" t="s">
        <v>213</v>
      </c>
    </row>
    <row r="8" spans="2:14" ht="20" customHeight="1" x14ac:dyDescent="0.2">
      <c r="B8" s="57">
        <v>2001</v>
      </c>
      <c r="C8" s="58" t="s">
        <v>214</v>
      </c>
      <c r="D8" s="59">
        <v>16.645900000000001</v>
      </c>
      <c r="E8" s="60">
        <v>16.645900000000001</v>
      </c>
      <c r="F8" s="61">
        <v>2006</v>
      </c>
      <c r="G8" s="62" t="s">
        <v>214</v>
      </c>
      <c r="H8" s="59">
        <v>33.701700000000002</v>
      </c>
      <c r="I8" s="60">
        <v>33.978299999999997</v>
      </c>
      <c r="J8" s="61">
        <v>2011</v>
      </c>
      <c r="K8" s="62" t="s">
        <v>214</v>
      </c>
      <c r="L8" s="59">
        <v>37.6252</v>
      </c>
      <c r="M8" s="60">
        <v>37.716700000000003</v>
      </c>
    </row>
    <row r="9" spans="2:14" ht="20" customHeight="1" x14ac:dyDescent="0.2">
      <c r="B9" s="57">
        <v>2001</v>
      </c>
      <c r="C9" s="58" t="s">
        <v>215</v>
      </c>
      <c r="D9" s="59">
        <v>16.66</v>
      </c>
      <c r="E9" s="60">
        <v>16.66</v>
      </c>
      <c r="F9" s="61">
        <v>2006</v>
      </c>
      <c r="G9" s="62" t="s">
        <v>215</v>
      </c>
      <c r="H9" s="59">
        <v>32.466099999999997</v>
      </c>
      <c r="I9" s="60">
        <v>32.677</v>
      </c>
      <c r="J9" s="61">
        <v>2011</v>
      </c>
      <c r="K9" s="62" t="s">
        <v>215</v>
      </c>
      <c r="L9" s="59">
        <v>37.921700000000001</v>
      </c>
      <c r="M9" s="60">
        <v>37.99</v>
      </c>
    </row>
    <row r="10" spans="2:14" ht="20" customHeight="1" x14ac:dyDescent="0.2">
      <c r="B10" s="57">
        <v>2001</v>
      </c>
      <c r="C10" s="58" t="s">
        <v>216</v>
      </c>
      <c r="D10" s="59">
        <v>16.66</v>
      </c>
      <c r="E10" s="60">
        <v>16.66</v>
      </c>
      <c r="F10" s="61">
        <v>2006</v>
      </c>
      <c r="G10" s="62" t="s">
        <v>216</v>
      </c>
      <c r="H10" s="59">
        <v>32.777200000000001</v>
      </c>
      <c r="I10" s="60">
        <v>32.9407</v>
      </c>
      <c r="J10" s="61">
        <v>2011</v>
      </c>
      <c r="K10" s="62" t="s">
        <v>216</v>
      </c>
      <c r="L10" s="59">
        <v>38.084499999999998</v>
      </c>
      <c r="M10" s="60">
        <v>38.154299999999999</v>
      </c>
    </row>
    <row r="11" spans="2:14" ht="20" customHeight="1" x14ac:dyDescent="0.2">
      <c r="B11" s="63">
        <v>2001</v>
      </c>
      <c r="C11" s="64" t="s">
        <v>217</v>
      </c>
      <c r="D11" s="65">
        <v>16.791499999999999</v>
      </c>
      <c r="E11" s="66">
        <v>16.791499999999999</v>
      </c>
      <c r="F11" s="67">
        <v>2006</v>
      </c>
      <c r="G11" s="68" t="s">
        <v>217</v>
      </c>
      <c r="H11" s="65">
        <v>33.378900000000002</v>
      </c>
      <c r="I11" s="66">
        <v>33.554400000000001</v>
      </c>
      <c r="J11" s="67">
        <v>2011</v>
      </c>
      <c r="K11" s="68" t="s">
        <v>217</v>
      </c>
      <c r="L11" s="65">
        <v>38.431699999999999</v>
      </c>
      <c r="M11" s="66">
        <v>38.506</v>
      </c>
    </row>
    <row r="12" spans="2:14" ht="20" customHeight="1" x14ac:dyDescent="0.2">
      <c r="B12" s="69">
        <v>2002</v>
      </c>
      <c r="C12" s="70" t="s">
        <v>214</v>
      </c>
      <c r="D12" s="71">
        <v>17.113099999999999</v>
      </c>
      <c r="E12" s="72">
        <v>17.113099999999999</v>
      </c>
      <c r="F12" s="73">
        <v>2007</v>
      </c>
      <c r="G12" s="74" t="s">
        <v>214</v>
      </c>
      <c r="H12" s="71">
        <v>33.274299999999997</v>
      </c>
      <c r="I12" s="72">
        <v>33.445399999999999</v>
      </c>
      <c r="J12" s="73">
        <v>2012</v>
      </c>
      <c r="K12" s="74" t="s">
        <v>214</v>
      </c>
      <c r="L12" s="71">
        <v>38.933799999999998</v>
      </c>
      <c r="M12" s="72">
        <v>39.014699999999998</v>
      </c>
    </row>
    <row r="13" spans="2:14" ht="20" customHeight="1" x14ac:dyDescent="0.2">
      <c r="B13" s="57">
        <v>2002</v>
      </c>
      <c r="C13" s="58" t="s">
        <v>215</v>
      </c>
      <c r="D13" s="59">
        <v>17.561399999999999</v>
      </c>
      <c r="E13" s="60">
        <v>17.7379</v>
      </c>
      <c r="F13" s="61">
        <v>2007</v>
      </c>
      <c r="G13" s="62" t="s">
        <v>215</v>
      </c>
      <c r="H13" s="59">
        <v>32.255800000000001</v>
      </c>
      <c r="I13" s="60">
        <v>32.415999999999997</v>
      </c>
      <c r="J13" s="61">
        <v>2012</v>
      </c>
      <c r="K13" s="62" t="s">
        <v>215</v>
      </c>
      <c r="L13" s="59">
        <v>39.034999999999997</v>
      </c>
      <c r="M13" s="60">
        <v>39.105200000000004</v>
      </c>
    </row>
    <row r="14" spans="2:14" ht="20" customHeight="1" x14ac:dyDescent="0.2">
      <c r="B14" s="57">
        <v>2002</v>
      </c>
      <c r="C14" s="58" t="s">
        <v>216</v>
      </c>
      <c r="D14" s="59">
        <v>17.559999999999999</v>
      </c>
      <c r="E14" s="60">
        <v>17.760000000000002</v>
      </c>
      <c r="F14" s="61">
        <v>2007</v>
      </c>
      <c r="G14" s="62" t="s">
        <v>216</v>
      </c>
      <c r="H14" s="59">
        <v>33.056100000000001</v>
      </c>
      <c r="I14" s="60">
        <v>33.206200000000003</v>
      </c>
      <c r="J14" s="61">
        <v>2012</v>
      </c>
      <c r="K14" s="62" t="s">
        <v>216</v>
      </c>
      <c r="L14" s="59">
        <v>39.128599999999999</v>
      </c>
      <c r="M14" s="60">
        <v>39.202800000000003</v>
      </c>
    </row>
    <row r="15" spans="2:14" ht="20" customHeight="1" x14ac:dyDescent="0.2">
      <c r="B15" s="63">
        <v>2002</v>
      </c>
      <c r="C15" s="64" t="s">
        <v>217</v>
      </c>
      <c r="D15" s="65">
        <v>17.559999999999999</v>
      </c>
      <c r="E15" s="66">
        <v>17.760000000000002</v>
      </c>
      <c r="F15" s="67">
        <v>2007</v>
      </c>
      <c r="G15" s="68" t="s">
        <v>217</v>
      </c>
      <c r="H15" s="65">
        <v>33.459499999999998</v>
      </c>
      <c r="I15" s="66">
        <v>33.591999999999999</v>
      </c>
      <c r="J15" s="67">
        <v>2012</v>
      </c>
      <c r="K15" s="68" t="s">
        <v>217</v>
      </c>
      <c r="L15" s="65">
        <v>39.826599999999999</v>
      </c>
      <c r="M15" s="66">
        <v>39.9377</v>
      </c>
    </row>
    <row r="16" spans="2:14" ht="20" customHeight="1" x14ac:dyDescent="0.2">
      <c r="B16" s="69">
        <v>2003</v>
      </c>
      <c r="C16" s="70" t="s">
        <v>214</v>
      </c>
      <c r="D16" s="71">
        <v>19.558</v>
      </c>
      <c r="E16" s="72">
        <v>19.757999999999999</v>
      </c>
      <c r="F16" s="73">
        <v>2008</v>
      </c>
      <c r="G16" s="74" t="s">
        <v>214</v>
      </c>
      <c r="H16" s="71">
        <v>33.834800000000001</v>
      </c>
      <c r="I16" s="72">
        <v>33.962299999999999</v>
      </c>
      <c r="J16" s="73">
        <v>2013</v>
      </c>
      <c r="K16" s="74" t="s">
        <v>214</v>
      </c>
      <c r="L16" s="71">
        <v>40.762900000000002</v>
      </c>
      <c r="M16" s="72">
        <v>40.879899999999999</v>
      </c>
      <c r="N16" s="166">
        <f t="shared" ref="N16:N18" si="0">AVERAGE(L16:M16)</f>
        <v>40.821399999999997</v>
      </c>
    </row>
    <row r="17" spans="2:15" ht="20" customHeight="1" x14ac:dyDescent="0.2">
      <c r="B17" s="57">
        <v>2003</v>
      </c>
      <c r="C17" s="58" t="s">
        <v>215</v>
      </c>
      <c r="D17" s="59">
        <v>26.0471</v>
      </c>
      <c r="E17" s="60">
        <v>26.2471</v>
      </c>
      <c r="F17" s="61">
        <v>2008</v>
      </c>
      <c r="G17" s="62" t="s">
        <v>215</v>
      </c>
      <c r="H17" s="59">
        <v>34.065899999999999</v>
      </c>
      <c r="I17" s="60">
        <v>34.179400000000001</v>
      </c>
      <c r="J17" s="61">
        <v>2013</v>
      </c>
      <c r="K17" s="62" t="s">
        <v>215</v>
      </c>
      <c r="L17" s="59">
        <v>41.197600000000001</v>
      </c>
      <c r="M17" s="60">
        <v>41.3018</v>
      </c>
      <c r="N17" s="166">
        <f t="shared" si="0"/>
        <v>41.249700000000004</v>
      </c>
    </row>
    <row r="18" spans="2:15" ht="20" customHeight="1" x14ac:dyDescent="0.2">
      <c r="B18" s="57">
        <v>2003</v>
      </c>
      <c r="C18" s="58" t="s">
        <v>216</v>
      </c>
      <c r="D18" s="59">
        <v>33.325400000000002</v>
      </c>
      <c r="E18" s="60">
        <v>33.7774</v>
      </c>
      <c r="F18" s="61">
        <v>2008</v>
      </c>
      <c r="G18" s="62" t="s">
        <v>216</v>
      </c>
      <c r="H18" s="59">
        <v>34.5837</v>
      </c>
      <c r="I18" s="60">
        <v>34.700699999999998</v>
      </c>
      <c r="J18" s="61">
        <v>2013</v>
      </c>
      <c r="K18" s="62" t="s">
        <v>216</v>
      </c>
      <c r="L18" s="59">
        <v>42.280799999999999</v>
      </c>
      <c r="M18" s="60">
        <v>42.386800000000001</v>
      </c>
      <c r="N18" s="166">
        <f t="shared" si="0"/>
        <v>42.333799999999997</v>
      </c>
    </row>
    <row r="19" spans="2:15" ht="20" customHeight="1" x14ac:dyDescent="0.2">
      <c r="B19" s="63">
        <v>2003</v>
      </c>
      <c r="C19" s="64" t="s">
        <v>217</v>
      </c>
      <c r="D19" s="65">
        <v>37.215000000000003</v>
      </c>
      <c r="E19" s="66">
        <v>37.606699999999996</v>
      </c>
      <c r="F19" s="67">
        <v>2008</v>
      </c>
      <c r="G19" s="68" t="s">
        <v>217</v>
      </c>
      <c r="H19" s="65">
        <v>35.142299999999999</v>
      </c>
      <c r="I19" s="66">
        <v>35.259500000000003</v>
      </c>
      <c r="J19" s="67">
        <v>2013</v>
      </c>
      <c r="K19" s="68" t="s">
        <v>217</v>
      </c>
      <c r="L19" s="65">
        <v>42.500300000000003</v>
      </c>
      <c r="M19" s="66">
        <v>42.579000000000001</v>
      </c>
      <c r="N19" s="166">
        <f>AVERAGE(L19:M19)</f>
        <v>42.539650000000002</v>
      </c>
      <c r="O19" s="166">
        <f>AVERAGE(N16:N19)</f>
        <v>41.736137499999998</v>
      </c>
    </row>
    <row r="20" spans="2:15" ht="20" customHeight="1" x14ac:dyDescent="0.2">
      <c r="B20" s="69">
        <v>2004</v>
      </c>
      <c r="C20" s="70" t="s">
        <v>214</v>
      </c>
      <c r="D20" s="71">
        <v>47.2485</v>
      </c>
      <c r="E20" s="72">
        <v>48.052</v>
      </c>
      <c r="F20" s="73">
        <v>2009</v>
      </c>
      <c r="G20" s="74" t="s">
        <v>214</v>
      </c>
      <c r="H20" s="71">
        <v>35.540999999999997</v>
      </c>
      <c r="I20" s="72">
        <v>35.645400000000002</v>
      </c>
      <c r="J20" s="73">
        <v>2014</v>
      </c>
      <c r="K20" s="74" t="s">
        <v>214</v>
      </c>
      <c r="L20" s="71">
        <v>43.022300000000001</v>
      </c>
      <c r="M20" s="72">
        <v>43.123899999999999</v>
      </c>
      <c r="N20" s="166">
        <f>AVERAGE(L20:M20)</f>
        <v>43.073099999999997</v>
      </c>
    </row>
    <row r="21" spans="2:15" ht="20" customHeight="1" x14ac:dyDescent="0.2">
      <c r="B21" s="57">
        <v>2004</v>
      </c>
      <c r="C21" s="58" t="s">
        <v>215</v>
      </c>
      <c r="D21" s="59">
        <v>46.456800000000001</v>
      </c>
      <c r="E21" s="60">
        <v>47.047899999999998</v>
      </c>
      <c r="F21" s="61">
        <v>2009</v>
      </c>
      <c r="G21" s="62" t="s">
        <v>215</v>
      </c>
      <c r="H21" s="59">
        <v>35.898200000000003</v>
      </c>
      <c r="I21" s="60">
        <v>35.988399999999999</v>
      </c>
      <c r="J21" s="61">
        <v>2014</v>
      </c>
      <c r="K21" s="62" t="s">
        <v>215</v>
      </c>
      <c r="L21" s="59">
        <v>43.214599999999997</v>
      </c>
      <c r="M21" s="60">
        <v>43.322000000000003</v>
      </c>
      <c r="N21" s="166">
        <f>AVERAGE(L21:M21)</f>
        <v>43.268299999999996</v>
      </c>
    </row>
    <row r="22" spans="2:15" ht="20" customHeight="1" x14ac:dyDescent="0.2">
      <c r="B22" s="57">
        <v>2004</v>
      </c>
      <c r="C22" s="58" t="s">
        <v>216</v>
      </c>
      <c r="D22" s="59">
        <v>41.072499999999998</v>
      </c>
      <c r="E22" s="60">
        <v>41.8202</v>
      </c>
      <c r="F22" s="61">
        <v>2009</v>
      </c>
      <c r="G22" s="62" t="s">
        <v>216</v>
      </c>
      <c r="H22" s="59">
        <v>36.019599999999997</v>
      </c>
      <c r="I22" s="60">
        <v>36.098700000000001</v>
      </c>
      <c r="J22" s="61">
        <v>2014</v>
      </c>
      <c r="K22" s="62" t="s">
        <v>216</v>
      </c>
      <c r="L22" s="59">
        <v>43.535699999999999</v>
      </c>
      <c r="M22" s="60">
        <v>43.645000000000003</v>
      </c>
      <c r="N22" s="166">
        <f>AVERAGE(L22:M22)</f>
        <v>43.590350000000001</v>
      </c>
      <c r="O22" s="166">
        <v>43.310583333333334</v>
      </c>
    </row>
    <row r="23" spans="2:15" ht="20" customHeight="1" x14ac:dyDescent="0.2">
      <c r="B23" s="63">
        <v>2004</v>
      </c>
      <c r="C23" s="64" t="s">
        <v>217</v>
      </c>
      <c r="D23" s="65">
        <v>30.177600000000002</v>
      </c>
      <c r="E23" s="66">
        <v>30.758600000000001</v>
      </c>
      <c r="F23" s="67">
        <v>2009</v>
      </c>
      <c r="G23" s="68" t="s">
        <v>217</v>
      </c>
      <c r="H23" s="65">
        <v>36.092500000000001</v>
      </c>
      <c r="I23" s="66">
        <v>36.162199999999999</v>
      </c>
      <c r="J23" s="61"/>
      <c r="K23" s="62"/>
      <c r="L23" s="59"/>
      <c r="M23" s="60"/>
    </row>
    <row r="24" spans="2:15" ht="20" customHeight="1" x14ac:dyDescent="0.2">
      <c r="B24" s="69">
        <v>2005</v>
      </c>
      <c r="C24" s="70" t="s">
        <v>214</v>
      </c>
      <c r="D24" s="71">
        <v>28.953399999999998</v>
      </c>
      <c r="E24" s="72">
        <v>29.356100000000001</v>
      </c>
      <c r="F24" s="73">
        <v>2010</v>
      </c>
      <c r="G24" s="74" t="s">
        <v>214</v>
      </c>
      <c r="H24" s="71">
        <v>36.209099999999999</v>
      </c>
      <c r="I24" s="72">
        <v>36.285400000000003</v>
      </c>
    </row>
    <row r="25" spans="2:15" ht="20" customHeight="1" x14ac:dyDescent="0.2">
      <c r="B25" s="57">
        <v>2005</v>
      </c>
      <c r="C25" s="58" t="s">
        <v>215</v>
      </c>
      <c r="D25" s="59">
        <v>28.618099999999998</v>
      </c>
      <c r="E25" s="60">
        <v>28.848299999999998</v>
      </c>
      <c r="F25" s="61">
        <v>2010</v>
      </c>
      <c r="G25" s="62" t="s">
        <v>215</v>
      </c>
      <c r="H25" s="59">
        <v>36.615600000000001</v>
      </c>
      <c r="I25" s="60">
        <v>36.703699999999998</v>
      </c>
    </row>
    <row r="26" spans="2:15" ht="20" customHeight="1" x14ac:dyDescent="0.2">
      <c r="B26" s="57">
        <v>2005</v>
      </c>
      <c r="C26" s="58" t="s">
        <v>216</v>
      </c>
      <c r="D26" s="59">
        <v>29.458300000000001</v>
      </c>
      <c r="E26" s="60">
        <v>29.678899999999999</v>
      </c>
      <c r="F26" s="61">
        <v>2010</v>
      </c>
      <c r="G26" s="62" t="s">
        <v>216</v>
      </c>
      <c r="H26" s="59">
        <v>36.889899999999997</v>
      </c>
      <c r="I26" s="60">
        <v>36.976500000000001</v>
      </c>
    </row>
    <row r="27" spans="2:15" ht="20" customHeight="1" x14ac:dyDescent="0.2">
      <c r="B27" s="63">
        <v>2005</v>
      </c>
      <c r="C27" s="64" t="s">
        <v>217</v>
      </c>
      <c r="D27" s="65">
        <v>32.934899999999999</v>
      </c>
      <c r="E27" s="66">
        <v>33.220599999999997</v>
      </c>
      <c r="F27" s="67">
        <v>2010</v>
      </c>
      <c r="G27" s="68" t="s">
        <v>217</v>
      </c>
      <c r="H27" s="65">
        <v>37.2453</v>
      </c>
      <c r="I27" s="66">
        <v>37.328699999999998</v>
      </c>
    </row>
    <row r="28" spans="2:15" ht="20" customHeight="1" x14ac:dyDescent="0.2">
      <c r="K28" s="75"/>
      <c r="L28" s="75"/>
      <c r="M28" s="75"/>
    </row>
    <row r="29" spans="2:15" ht="20" customHeight="1" x14ac:dyDescent="0.2">
      <c r="J29" s="124" t="s">
        <v>377</v>
      </c>
      <c r="K29" s="125"/>
      <c r="L29" s="125"/>
      <c r="M29" s="125"/>
    </row>
    <row r="30" spans="2:15" ht="20" customHeight="1" x14ac:dyDescent="0.2">
      <c r="C30" s="51"/>
      <c r="D30" s="51"/>
      <c r="E30" s="51"/>
      <c r="F30" s="55"/>
      <c r="G30" s="55"/>
      <c r="H30" s="55"/>
      <c r="J30" s="124" t="s">
        <v>234</v>
      </c>
      <c r="K30" s="125"/>
      <c r="L30" s="125"/>
      <c r="M30" s="125"/>
      <c r="N30" s="126"/>
    </row>
    <row r="31" spans="2:15" ht="20" customHeight="1" x14ac:dyDescent="0.2">
      <c r="B31" s="55" t="s">
        <v>377</v>
      </c>
      <c r="C31" s="51"/>
      <c r="D31" s="51"/>
      <c r="E31" s="51"/>
      <c r="F31" s="55"/>
      <c r="G31" s="55"/>
      <c r="H31" s="55"/>
      <c r="J31" s="124" t="s">
        <v>302</v>
      </c>
      <c r="K31" s="125"/>
      <c r="L31" s="125"/>
      <c r="M31" s="125"/>
      <c r="N31" s="126"/>
    </row>
    <row r="32" spans="2:15" ht="20" customHeight="1" x14ac:dyDescent="0.2">
      <c r="B32" s="55" t="s">
        <v>258</v>
      </c>
      <c r="C32" s="51"/>
      <c r="D32" s="51"/>
      <c r="E32" s="51"/>
      <c r="F32" s="55"/>
      <c r="G32" s="55"/>
      <c r="H32" s="55"/>
      <c r="J32" s="124" t="s">
        <v>301</v>
      </c>
      <c r="K32" s="125"/>
      <c r="L32" s="125"/>
      <c r="M32" s="125"/>
      <c r="N32" s="126"/>
    </row>
    <row r="33" spans="2:13" ht="20" customHeight="1" x14ac:dyDescent="0.2">
      <c r="B33" s="55" t="s">
        <v>222</v>
      </c>
      <c r="C33" s="51"/>
      <c r="D33" s="51"/>
      <c r="E33" s="51"/>
      <c r="F33" s="55"/>
      <c r="G33" s="55"/>
      <c r="H33" s="55"/>
      <c r="J33" s="260" t="s">
        <v>239</v>
      </c>
      <c r="K33" s="128" t="s">
        <v>236</v>
      </c>
      <c r="L33" s="128" t="s">
        <v>235</v>
      </c>
      <c r="M33" s="128" t="s">
        <v>235</v>
      </c>
    </row>
    <row r="34" spans="2:13" ht="20" customHeight="1" x14ac:dyDescent="0.2">
      <c r="B34" s="55" t="s">
        <v>301</v>
      </c>
      <c r="C34" s="51"/>
      <c r="D34" s="51"/>
      <c r="E34" s="51"/>
      <c r="F34" s="54"/>
      <c r="G34" s="54"/>
      <c r="H34" s="54"/>
      <c r="J34" s="261"/>
      <c r="K34" s="127" t="s">
        <v>86</v>
      </c>
      <c r="L34" s="127" t="s">
        <v>237</v>
      </c>
      <c r="M34" s="127" t="s">
        <v>238</v>
      </c>
    </row>
    <row r="35" spans="2:13" ht="20" customHeight="1" x14ac:dyDescent="0.2">
      <c r="B35" s="55"/>
      <c r="C35" s="52"/>
      <c r="D35" s="52"/>
      <c r="E35" s="52"/>
      <c r="F35" s="53"/>
      <c r="G35" s="53"/>
      <c r="H35" s="53"/>
      <c r="J35" s="33" t="s">
        <v>236</v>
      </c>
      <c r="K35" s="30">
        <v>22873827424.936554</v>
      </c>
      <c r="L35" s="31">
        <v>0.99999999999999967</v>
      </c>
      <c r="M35" s="31">
        <v>0.856751305194145</v>
      </c>
    </row>
    <row r="36" spans="2:13" ht="20" customHeight="1" x14ac:dyDescent="0.2">
      <c r="B36" s="76"/>
      <c r="C36" s="77" t="s">
        <v>225</v>
      </c>
      <c r="D36" s="78"/>
      <c r="E36" s="79"/>
      <c r="F36" s="77" t="s">
        <v>226</v>
      </c>
      <c r="G36" s="78"/>
      <c r="H36" s="79"/>
      <c r="J36" s="32" t="s">
        <v>240</v>
      </c>
      <c r="K36" s="28">
        <v>7525418325.1129923</v>
      </c>
      <c r="L36" s="29">
        <v>0.32899690048850083</v>
      </c>
      <c r="M36" s="29">
        <v>0.28186852389835132</v>
      </c>
    </row>
    <row r="37" spans="2:13" ht="20" customHeight="1" x14ac:dyDescent="0.2">
      <c r="B37" s="76"/>
      <c r="C37" s="262" t="s">
        <v>232</v>
      </c>
      <c r="D37" s="264" t="s">
        <v>224</v>
      </c>
      <c r="E37" s="258" t="s">
        <v>223</v>
      </c>
      <c r="F37" s="262" t="s">
        <v>232</v>
      </c>
      <c r="G37" s="264" t="s">
        <v>224</v>
      </c>
      <c r="H37" s="258" t="s">
        <v>223</v>
      </c>
      <c r="J37" s="36" t="s">
        <v>241</v>
      </c>
      <c r="K37" s="35">
        <v>5961841962.3379192</v>
      </c>
      <c r="L37" s="37">
        <v>0.26064033148376597</v>
      </c>
      <c r="M37" s="37">
        <v>0.22330394418495106</v>
      </c>
    </row>
    <row r="38" spans="2:13" ht="20" customHeight="1" x14ac:dyDescent="0.2">
      <c r="B38" s="80"/>
      <c r="C38" s="263"/>
      <c r="D38" s="265"/>
      <c r="E38" s="259"/>
      <c r="F38" s="263"/>
      <c r="G38" s="265"/>
      <c r="H38" s="259"/>
      <c r="J38" s="32" t="s">
        <v>174</v>
      </c>
      <c r="K38" s="28">
        <v>4364128318.6211224</v>
      </c>
      <c r="L38" s="29">
        <v>0.19079134582712831</v>
      </c>
      <c r="M38" s="29">
        <v>0.16346073455713969</v>
      </c>
    </row>
    <row r="39" spans="2:13" ht="20" customHeight="1" x14ac:dyDescent="0.2">
      <c r="B39" s="81" t="s">
        <v>256</v>
      </c>
      <c r="C39" s="82">
        <v>16202875740.53301</v>
      </c>
      <c r="D39" s="83">
        <v>8829844</v>
      </c>
      <c r="E39" s="84">
        <v>4.1433693910000002</v>
      </c>
      <c r="F39" s="85">
        <v>5275361872.6754627</v>
      </c>
      <c r="G39" s="86">
        <v>312887</v>
      </c>
      <c r="H39" s="87">
        <v>0.95101208800000003</v>
      </c>
      <c r="J39" s="32" t="s">
        <v>242</v>
      </c>
      <c r="K39" s="28">
        <v>1281765179.7193527</v>
      </c>
      <c r="L39" s="29">
        <v>5.6036322907726407E-2</v>
      </c>
      <c r="M39" s="29">
        <v>4.8009192789475158E-2</v>
      </c>
    </row>
    <row r="40" spans="2:13" ht="20" customHeight="1" x14ac:dyDescent="0.2">
      <c r="B40" s="88" t="s">
        <v>228</v>
      </c>
      <c r="C40" s="89">
        <v>10799969984.241726</v>
      </c>
      <c r="D40" s="90">
        <v>5058261</v>
      </c>
      <c r="E40" s="91">
        <v>4.2424750370000002</v>
      </c>
      <c r="F40" s="92">
        <v>3451165708.1506252</v>
      </c>
      <c r="G40" s="93">
        <v>151645</v>
      </c>
      <c r="H40" s="94">
        <v>1.014425197</v>
      </c>
      <c r="J40" s="32" t="s">
        <v>243</v>
      </c>
      <c r="K40" s="28">
        <v>965454149.39766455</v>
      </c>
      <c r="L40" s="29">
        <v>4.2207809452350212E-2</v>
      </c>
      <c r="M40" s="29">
        <v>3.6161595837686814E-2</v>
      </c>
    </row>
    <row r="41" spans="2:13" ht="20" customHeight="1" x14ac:dyDescent="0.2">
      <c r="B41" s="88" t="s">
        <v>229</v>
      </c>
      <c r="C41" s="89">
        <v>3818142986.6064301</v>
      </c>
      <c r="D41" s="90">
        <v>2362212</v>
      </c>
      <c r="E41" s="91">
        <v>4.1252243670000004</v>
      </c>
      <c r="F41" s="92">
        <v>1200520785.4816086</v>
      </c>
      <c r="G41" s="93">
        <v>108532</v>
      </c>
      <c r="H41" s="94">
        <v>0.90255786199999999</v>
      </c>
      <c r="J41" s="32" t="s">
        <v>244</v>
      </c>
      <c r="K41" s="28">
        <v>579466186.03228235</v>
      </c>
      <c r="L41" s="29">
        <v>2.5333153707392267E-2</v>
      </c>
      <c r="M41" s="29">
        <v>2.1704212503492214E-2</v>
      </c>
    </row>
    <row r="42" spans="2:13" ht="20" customHeight="1" x14ac:dyDescent="0.2">
      <c r="B42" s="88" t="s">
        <v>230</v>
      </c>
      <c r="C42" s="89">
        <v>733412744.21378911</v>
      </c>
      <c r="D42" s="90">
        <v>637878</v>
      </c>
      <c r="E42" s="91">
        <v>3.2788569120000002</v>
      </c>
      <c r="F42" s="92">
        <v>426575024.76492465</v>
      </c>
      <c r="G42" s="93">
        <v>31779</v>
      </c>
      <c r="H42" s="94">
        <v>0.62279533099999995</v>
      </c>
      <c r="J42" s="32" t="s">
        <v>245</v>
      </c>
      <c r="K42" s="28">
        <v>438208968.32375461</v>
      </c>
      <c r="L42" s="29">
        <v>1.915765823458249E-2</v>
      </c>
      <c r="M42" s="29">
        <v>1.6413348696941912E-2</v>
      </c>
    </row>
    <row r="43" spans="2:13" ht="20" customHeight="1" x14ac:dyDescent="0.2">
      <c r="B43" s="95" t="s">
        <v>231</v>
      </c>
      <c r="C43" s="96">
        <v>851328851.57015121</v>
      </c>
      <c r="D43" s="97">
        <v>771493</v>
      </c>
      <c r="E43" s="98">
        <v>3.7122629580000002</v>
      </c>
      <c r="F43" s="99">
        <v>197097793.86485597</v>
      </c>
      <c r="G43" s="100">
        <v>20931</v>
      </c>
      <c r="H43" s="101">
        <v>0.84613945800000001</v>
      </c>
      <c r="J43" s="32" t="s">
        <v>246</v>
      </c>
      <c r="K43" s="28">
        <v>349069868.29624015</v>
      </c>
      <c r="L43" s="29">
        <v>1.5260667216352769E-2</v>
      </c>
      <c r="M43" s="29">
        <v>1.3074596555743733E-2</v>
      </c>
    </row>
    <row r="44" spans="2:13" ht="20" customHeight="1" x14ac:dyDescent="0.2">
      <c r="C44" s="102"/>
      <c r="D44" s="102"/>
      <c r="E44" s="102"/>
      <c r="F44" s="102"/>
      <c r="G44" s="102"/>
      <c r="J44" s="32" t="s">
        <v>247</v>
      </c>
      <c r="K44" s="28">
        <v>310817091.54998684</v>
      </c>
      <c r="L44" s="29">
        <v>1.3588328956750838E-2</v>
      </c>
      <c r="M44" s="29">
        <v>1.1641818569103674E-2</v>
      </c>
    </row>
    <row r="45" spans="2:13" ht="20" customHeight="1" x14ac:dyDescent="0.2">
      <c r="C45" s="77" t="s">
        <v>227</v>
      </c>
      <c r="D45" s="78"/>
      <c r="E45" s="79"/>
      <c r="F45" s="77" t="s">
        <v>233</v>
      </c>
      <c r="G45" s="78"/>
      <c r="H45" s="79"/>
      <c r="J45" s="32" t="s">
        <v>248</v>
      </c>
      <c r="K45" s="28">
        <v>260275438.66683856</v>
      </c>
      <c r="L45" s="29">
        <v>1.137874452891482E-2</v>
      </c>
      <c r="M45" s="29">
        <v>9.7487542266185088E-3</v>
      </c>
    </row>
    <row r="46" spans="2:13" ht="20" customHeight="1" x14ac:dyDescent="0.2">
      <c r="C46" s="262" t="s">
        <v>232</v>
      </c>
      <c r="D46" s="264" t="s">
        <v>224</v>
      </c>
      <c r="E46" s="258" t="s">
        <v>223</v>
      </c>
      <c r="F46" s="262" t="s">
        <v>232</v>
      </c>
      <c r="G46" s="264" t="s">
        <v>224</v>
      </c>
      <c r="H46" s="258" t="s">
        <v>223</v>
      </c>
      <c r="J46" s="32" t="s">
        <v>249</v>
      </c>
      <c r="K46" s="28">
        <v>246437273.60710526</v>
      </c>
      <c r="L46" s="29">
        <v>1.0773766411232283E-2</v>
      </c>
      <c r="M46" s="29">
        <v>9.230438434680098E-3</v>
      </c>
    </row>
    <row r="47" spans="2:13" ht="20" customHeight="1" x14ac:dyDescent="0.2">
      <c r="C47" s="263"/>
      <c r="D47" s="265"/>
      <c r="E47" s="259"/>
      <c r="F47" s="263"/>
      <c r="G47" s="265"/>
      <c r="H47" s="259"/>
      <c r="J47" s="32" t="s">
        <v>250</v>
      </c>
      <c r="K47" s="28">
        <v>191702403.93899104</v>
      </c>
      <c r="L47" s="29">
        <v>8.3808625630357441E-3</v>
      </c>
      <c r="M47" s="29">
        <v>7.1803149395336212E-3</v>
      </c>
    </row>
    <row r="48" spans="2:13" ht="20" customHeight="1" x14ac:dyDescent="0.2">
      <c r="B48" s="81" t="s">
        <v>256</v>
      </c>
      <c r="C48" s="103">
        <v>149594557.4580501</v>
      </c>
      <c r="D48" s="104">
        <v>15051</v>
      </c>
      <c r="E48" s="87">
        <v>0.23766912300000001</v>
      </c>
      <c r="F48" s="103">
        <v>21627831534.632607</v>
      </c>
      <c r="G48" s="104">
        <v>9157782</v>
      </c>
      <c r="H48" s="105">
        <v>3.337688649</v>
      </c>
      <c r="J48" s="32" t="s">
        <v>251</v>
      </c>
      <c r="K48" s="28">
        <v>191487114.94303739</v>
      </c>
      <c r="L48" s="29">
        <v>8.3714505397676602E-3</v>
      </c>
      <c r="M48" s="29">
        <v>7.1722511763141726E-3</v>
      </c>
    </row>
    <row r="49" spans="2:13" ht="20" customHeight="1" x14ac:dyDescent="0.2">
      <c r="B49" s="106" t="s">
        <v>228</v>
      </c>
      <c r="C49" s="107">
        <v>82795757.364924282</v>
      </c>
      <c r="D49" s="108">
        <v>7623</v>
      </c>
      <c r="E49" s="94">
        <v>0.227171976</v>
      </c>
      <c r="F49" s="107">
        <v>14333933007.136438</v>
      </c>
      <c r="G49" s="108">
        <v>5217529</v>
      </c>
      <c r="H49" s="109">
        <v>3.4420667219999999</v>
      </c>
      <c r="J49" s="32" t="s">
        <v>252</v>
      </c>
      <c r="K49" s="28">
        <v>95485584.070098341</v>
      </c>
      <c r="L49" s="29">
        <v>4.1744471660218095E-3</v>
      </c>
      <c r="M49" s="29">
        <v>3.5764630579531854E-3</v>
      </c>
    </row>
    <row r="50" spans="2:13" ht="20" customHeight="1" x14ac:dyDescent="0.2">
      <c r="B50" s="106" t="s">
        <v>229</v>
      </c>
      <c r="C50" s="107">
        <v>35573775.378227413</v>
      </c>
      <c r="D50" s="108">
        <v>4024</v>
      </c>
      <c r="E50" s="94">
        <v>0.25489030800000001</v>
      </c>
      <c r="F50" s="107">
        <v>5054238090.3820658</v>
      </c>
      <c r="G50" s="108">
        <v>2474768</v>
      </c>
      <c r="H50" s="109">
        <v>3.3325126429999998</v>
      </c>
      <c r="J50" s="32" t="s">
        <v>253</v>
      </c>
      <c r="K50" s="28">
        <v>83555881.576289088</v>
      </c>
      <c r="L50" s="29">
        <v>3.6529033827193374E-3</v>
      </c>
      <c r="M50" s="29">
        <v>3.1296297408929001E-3</v>
      </c>
    </row>
    <row r="51" spans="2:13" ht="20" customHeight="1" x14ac:dyDescent="0.2">
      <c r="B51" s="106" t="s">
        <v>230</v>
      </c>
      <c r="C51" s="107">
        <v>24564215.328432042</v>
      </c>
      <c r="D51" s="108">
        <v>2355</v>
      </c>
      <c r="E51" s="94">
        <v>0.209122119</v>
      </c>
      <c r="F51" s="107">
        <v>1184551984.2840569</v>
      </c>
      <c r="G51" s="108">
        <v>672012</v>
      </c>
      <c r="H51" s="109">
        <v>2.2587115940000002</v>
      </c>
      <c r="J51" s="32" t="s">
        <v>254</v>
      </c>
      <c r="K51" s="28">
        <v>17591589.199714467</v>
      </c>
      <c r="L51" s="29">
        <v>7.6907064449286235E-4</v>
      </c>
      <c r="M51" s="29">
        <v>6.5890227845576219E-4</v>
      </c>
    </row>
    <row r="52" spans="2:13" ht="20" customHeight="1" x14ac:dyDescent="0.2">
      <c r="B52" s="110" t="s">
        <v>231</v>
      </c>
      <c r="C52" s="111">
        <v>6660809.3910841653</v>
      </c>
      <c r="D52" s="112">
        <v>1049</v>
      </c>
      <c r="E52" s="101">
        <v>0.38145515899999999</v>
      </c>
      <c r="F52" s="111">
        <v>1055087454.8214736</v>
      </c>
      <c r="G52" s="112">
        <v>793473</v>
      </c>
      <c r="H52" s="113">
        <v>3.1558233069999999</v>
      </c>
      <c r="J52" s="32" t="s">
        <v>255</v>
      </c>
      <c r="K52" s="28">
        <v>11122089.543164007</v>
      </c>
      <c r="L52" s="29">
        <v>4.8623648926541017E-4</v>
      </c>
      <c r="M52" s="29">
        <v>4.1658374681115902E-4</v>
      </c>
    </row>
    <row r="54" spans="2:13" ht="20" customHeight="1" x14ac:dyDescent="0.2">
      <c r="K54" s="75"/>
    </row>
    <row r="55" spans="2:13" ht="20" customHeight="1" x14ac:dyDescent="0.2">
      <c r="K55" s="75"/>
    </row>
    <row r="56" spans="2:13" ht="20" customHeight="1" x14ac:dyDescent="0.2">
      <c r="K56" s="75"/>
    </row>
    <row r="57" spans="2:13" ht="20" customHeight="1" x14ac:dyDescent="0.2">
      <c r="K57" s="75"/>
    </row>
    <row r="58" spans="2:13" ht="20" customHeight="1" x14ac:dyDescent="0.2">
      <c r="K58" s="75"/>
    </row>
    <row r="59" spans="2:13" ht="20" customHeight="1" x14ac:dyDescent="0.2">
      <c r="K59" s="75"/>
    </row>
    <row r="60" spans="2:13" ht="20" customHeight="1" x14ac:dyDescent="0.2">
      <c r="K60" s="75"/>
    </row>
    <row r="61" spans="2:13" ht="20" customHeight="1" x14ac:dyDescent="0.2">
      <c r="K61" s="75"/>
    </row>
    <row r="62" spans="2:13" ht="20" customHeight="1" x14ac:dyDescent="0.2">
      <c r="K62" s="75"/>
    </row>
    <row r="63" spans="2:13" ht="20" customHeight="1" x14ac:dyDescent="0.2">
      <c r="K63" s="75"/>
    </row>
    <row r="64" spans="2:13" ht="20" customHeight="1" x14ac:dyDescent="0.2">
      <c r="K64" s="75"/>
    </row>
    <row r="65" spans="11:11" ht="20" customHeight="1" x14ac:dyDescent="0.2">
      <c r="K65" s="75"/>
    </row>
    <row r="66" spans="11:11" ht="20" customHeight="1" x14ac:dyDescent="0.2">
      <c r="K66" s="75"/>
    </row>
    <row r="67" spans="11:11" ht="20" customHeight="1" x14ac:dyDescent="0.2">
      <c r="K67" s="75"/>
    </row>
    <row r="68" spans="11:11" ht="20" customHeight="1" x14ac:dyDescent="0.2">
      <c r="K68" s="75"/>
    </row>
    <row r="69" spans="11:11" ht="20" customHeight="1" x14ac:dyDescent="0.2">
      <c r="K69" s="75"/>
    </row>
    <row r="70" spans="11:11" ht="20" customHeight="1" x14ac:dyDescent="0.2">
      <c r="K70" s="75"/>
    </row>
    <row r="71" spans="11:11" ht="20" customHeight="1" x14ac:dyDescent="0.2">
      <c r="K71" s="75"/>
    </row>
    <row r="72" spans="11:11" ht="20" customHeight="1" x14ac:dyDescent="0.2">
      <c r="K72" s="75"/>
    </row>
    <row r="73" spans="11:11" ht="20" customHeight="1" x14ac:dyDescent="0.2">
      <c r="K73" s="75"/>
    </row>
    <row r="74" spans="11:11" ht="20" customHeight="1" x14ac:dyDescent="0.2">
      <c r="K74" s="75"/>
    </row>
    <row r="75" spans="11:11" ht="20" customHeight="1" x14ac:dyDescent="0.2">
      <c r="K75" s="75"/>
    </row>
    <row r="76" spans="11:11" ht="20" customHeight="1" x14ac:dyDescent="0.2">
      <c r="K76" s="75"/>
    </row>
    <row r="77" spans="11:11" ht="20" customHeight="1" x14ac:dyDescent="0.2">
      <c r="K77" s="75"/>
    </row>
    <row r="78" spans="11:11" ht="20" customHeight="1" x14ac:dyDescent="0.2">
      <c r="K78" s="75"/>
    </row>
    <row r="79" spans="11:11" ht="20" customHeight="1" x14ac:dyDescent="0.2">
      <c r="K79" s="75"/>
    </row>
    <row r="80" spans="11:11" ht="20" customHeight="1" x14ac:dyDescent="0.2">
      <c r="K80" s="75"/>
    </row>
  </sheetData>
  <mergeCells count="13">
    <mergeCell ref="H46:H47"/>
    <mergeCell ref="J33:J34"/>
    <mergeCell ref="C37:C38"/>
    <mergeCell ref="D37:D38"/>
    <mergeCell ref="E37:E38"/>
    <mergeCell ref="F37:F38"/>
    <mergeCell ref="G37:G38"/>
    <mergeCell ref="H37:H38"/>
    <mergeCell ref="C46:C47"/>
    <mergeCell ref="D46:D47"/>
    <mergeCell ref="E46:E47"/>
    <mergeCell ref="F46:F47"/>
    <mergeCell ref="G46:G47"/>
  </mergeCells>
  <phoneticPr fontId="8" type="noConversion"/>
  <pageMargins left="0.75" right="0.75" top="1" bottom="1" header="0.5" footer="0.5"/>
  <pageSetup scale="4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P102"/>
  <sheetViews>
    <sheetView showGridLines="0" workbookViewId="0">
      <selection activeCell="K8" sqref="K8"/>
    </sheetView>
  </sheetViews>
  <sheetFormatPr baseColWidth="10" defaultColWidth="15.83203125" defaultRowHeight="20" customHeight="1" x14ac:dyDescent="0.2"/>
  <cols>
    <col min="1" max="1" width="3.83203125" style="56" customWidth="1"/>
    <col min="2" max="2" width="20.83203125" style="56" customWidth="1"/>
    <col min="3" max="5" width="15.83203125" style="56"/>
    <col min="6" max="11" width="16" style="56" bestFit="1" customWidth="1"/>
    <col min="12" max="16384" width="15.83203125" style="56"/>
  </cols>
  <sheetData>
    <row r="2" spans="2:16" s="130" customFormat="1" ht="20" customHeight="1" x14ac:dyDescent="0.2">
      <c r="B2" s="51" t="s">
        <v>376</v>
      </c>
      <c r="C2" s="131"/>
      <c r="D2" s="131"/>
      <c r="E2" s="131"/>
      <c r="F2" s="131"/>
      <c r="G2" s="131"/>
      <c r="H2" s="131"/>
      <c r="I2" s="131"/>
      <c r="J2" s="131"/>
      <c r="K2" s="131"/>
      <c r="L2" s="132"/>
      <c r="M2" s="132"/>
      <c r="N2" s="132"/>
    </row>
    <row r="3" spans="2:16" s="130" customFormat="1" ht="20" customHeight="1" x14ac:dyDescent="0.2">
      <c r="B3" s="51" t="s">
        <v>303</v>
      </c>
      <c r="C3" s="131"/>
      <c r="D3" s="131"/>
      <c r="E3" s="131"/>
      <c r="F3" s="131"/>
      <c r="G3" s="131"/>
      <c r="H3" s="131"/>
      <c r="I3" s="131"/>
      <c r="J3" s="131"/>
      <c r="K3" s="131"/>
      <c r="L3" s="132"/>
      <c r="M3" s="132"/>
      <c r="N3" s="132"/>
    </row>
    <row r="4" spans="2:16" s="130" customFormat="1" ht="20" customHeight="1" x14ac:dyDescent="0.2">
      <c r="B4" s="51" t="s">
        <v>304</v>
      </c>
      <c r="C4" s="131"/>
      <c r="D4" s="131"/>
      <c r="E4" s="131"/>
      <c r="F4" s="131"/>
      <c r="G4" s="131"/>
      <c r="H4" s="131"/>
      <c r="I4" s="131"/>
      <c r="J4" s="131"/>
      <c r="K4" s="131"/>
      <c r="L4" s="132"/>
      <c r="M4" s="132"/>
      <c r="N4" s="132"/>
    </row>
    <row r="5" spans="2:16" s="130" customFormat="1" ht="20" customHeight="1" x14ac:dyDescent="0.2">
      <c r="B5" s="51" t="s">
        <v>301</v>
      </c>
      <c r="C5" s="131"/>
      <c r="D5" s="131"/>
      <c r="E5" s="131"/>
      <c r="F5" s="131"/>
      <c r="G5" s="131"/>
      <c r="H5" s="131"/>
      <c r="I5" s="131"/>
      <c r="J5" s="131"/>
      <c r="K5" s="131"/>
      <c r="L5" s="133"/>
      <c r="M5" s="133"/>
      <c r="N5" s="133"/>
    </row>
    <row r="6" spans="2:16" ht="20" customHeight="1" x14ac:dyDescent="0.2">
      <c r="B6" s="134"/>
      <c r="C6" s="134"/>
      <c r="D6" s="134"/>
      <c r="E6" s="134"/>
      <c r="F6" s="266" t="s">
        <v>239</v>
      </c>
      <c r="G6" s="267"/>
      <c r="H6" s="268"/>
      <c r="I6" s="266" t="s">
        <v>173</v>
      </c>
      <c r="J6" s="267"/>
      <c r="K6" s="267"/>
    </row>
    <row r="7" spans="2:16" ht="20" customHeight="1" x14ac:dyDescent="0.2">
      <c r="B7" s="68"/>
      <c r="C7" s="68"/>
      <c r="D7" s="68"/>
      <c r="E7" s="68"/>
      <c r="F7" s="269"/>
      <c r="G7" s="270"/>
      <c r="H7" s="271"/>
      <c r="I7" s="269"/>
      <c r="J7" s="270"/>
      <c r="K7" s="270"/>
    </row>
    <row r="8" spans="2:16" ht="20" customHeight="1" thickBot="1" x14ac:dyDescent="0.25">
      <c r="B8" s="135" t="s">
        <v>305</v>
      </c>
      <c r="C8" s="135"/>
      <c r="D8" s="135"/>
      <c r="E8" s="135"/>
      <c r="F8" s="136">
        <f>+F10+F57</f>
        <v>18840016783.37289</v>
      </c>
      <c r="G8" s="114">
        <f>F8/$F8</f>
        <v>1</v>
      </c>
      <c r="H8" s="137">
        <f>G10*H10+G57*H57</f>
        <v>2.9844619924049502</v>
      </c>
      <c r="I8" s="136">
        <f>+I10+I57</f>
        <v>5032234493.273819</v>
      </c>
      <c r="J8" s="114">
        <f>I8/$F8</f>
        <v>0.2671035037354626</v>
      </c>
      <c r="K8" s="138">
        <f>J10*K10+J57*K57</f>
        <v>2.1577984444628755</v>
      </c>
    </row>
    <row r="9" spans="2:16" ht="20" customHeight="1" thickTop="1" x14ac:dyDescent="0.2">
      <c r="B9" s="62"/>
      <c r="C9" s="62"/>
      <c r="D9" s="62"/>
      <c r="E9" s="62"/>
      <c r="F9" s="139"/>
      <c r="G9" s="131"/>
      <c r="H9" s="140"/>
      <c r="I9" s="131"/>
      <c r="J9" s="131"/>
      <c r="K9" s="131"/>
    </row>
    <row r="10" spans="2:16" ht="20" customHeight="1" x14ac:dyDescent="0.2">
      <c r="B10" s="141" t="s">
        <v>259</v>
      </c>
      <c r="C10" s="141"/>
      <c r="D10" s="141"/>
      <c r="E10" s="141"/>
      <c r="F10" s="142">
        <f>+F12+F34</f>
        <v>18648268576.157719</v>
      </c>
      <c r="G10" s="115">
        <f>F10/F$8</f>
        <v>0.98982229106163022</v>
      </c>
      <c r="H10" s="143">
        <f>G12*H12+G34*H34</f>
        <v>3.0006207362868751</v>
      </c>
      <c r="I10" s="142">
        <f>+I12+I34</f>
        <v>4951321656.6043367</v>
      </c>
      <c r="J10" s="115">
        <f>I10/I$8</f>
        <v>0.9839210917580189</v>
      </c>
      <c r="K10" s="144">
        <f>J12*K12+J34*K34</f>
        <v>2.1615254534712678</v>
      </c>
    </row>
    <row r="11" spans="2:16" ht="20" customHeight="1" x14ac:dyDescent="0.2">
      <c r="B11" s="62"/>
      <c r="C11" s="62"/>
      <c r="D11" s="62"/>
      <c r="E11" s="62"/>
      <c r="F11" s="139"/>
      <c r="G11" s="131"/>
      <c r="H11" s="140"/>
      <c r="I11" s="131"/>
      <c r="J11" s="131"/>
      <c r="K11" s="131"/>
    </row>
    <row r="12" spans="2:16" ht="20" customHeight="1" x14ac:dyDescent="0.2">
      <c r="B12" s="49" t="s">
        <v>260</v>
      </c>
      <c r="C12" s="49"/>
      <c r="D12" s="49"/>
      <c r="E12" s="49"/>
      <c r="F12" s="145">
        <f>+F14+F23</f>
        <v>1594443151.3219054</v>
      </c>
      <c r="G12" s="129">
        <f>IF(F$10=0,0,F12/F$10)</f>
        <v>8.5500868073105779E-2</v>
      </c>
      <c r="H12" s="146">
        <f>G14*H14+G23*H23</f>
        <v>2.359798558392876</v>
      </c>
      <c r="I12" s="147">
        <f>+I14+I23</f>
        <v>31270759.705460753</v>
      </c>
      <c r="J12" s="129">
        <f>IF(I$10=0,0,I12/I$10)</f>
        <v>6.3156389090072845E-3</v>
      </c>
      <c r="K12" s="148">
        <f>J14*K14+J23*K23</f>
        <v>3.0104077376747287</v>
      </c>
    </row>
    <row r="13" spans="2:16" ht="20" customHeight="1" x14ac:dyDescent="0.2">
      <c r="B13" s="149"/>
      <c r="C13" s="149"/>
      <c r="D13" s="149"/>
      <c r="E13" s="149"/>
      <c r="F13" s="150"/>
      <c r="G13" s="117" t="str">
        <f>IF(F13="","",F13/F$12)</f>
        <v/>
      </c>
      <c r="H13" s="151"/>
      <c r="I13" s="152"/>
      <c r="J13" s="117" t="str">
        <f>IF(I13="","",I13/I$12)</f>
        <v/>
      </c>
      <c r="K13" s="153"/>
    </row>
    <row r="14" spans="2:16" ht="20" customHeight="1" x14ac:dyDescent="0.2">
      <c r="B14" s="154" t="s">
        <v>261</v>
      </c>
      <c r="C14" s="154"/>
      <c r="D14" s="154"/>
      <c r="E14" s="154"/>
      <c r="F14" s="155">
        <f>SUM(F15:F21)</f>
        <v>56992596.556653783</v>
      </c>
      <c r="G14" s="121">
        <f>IF(F$12=0,0,F14/F$12)</f>
        <v>3.5744514634719282E-2</v>
      </c>
      <c r="H14" s="156">
        <f>IF(ISERROR(SUMPRODUCT(G15:G21,H15:H21)),0,SUMPRODUCT(G15:G21,H15:H21))</f>
        <v>3.290340092838973</v>
      </c>
      <c r="I14" s="157">
        <f>SUM(I15:I21)</f>
        <v>16235281.767466381</v>
      </c>
      <c r="J14" s="121">
        <f>IF(I$12=0,0,I14/I$12)</f>
        <v>0.51918411705972223</v>
      </c>
      <c r="K14" s="158">
        <f>IF(ISERROR(SUMPRODUCT(J15:J21,K15:K21)),0,SUMPRODUCT(J15:J21,K15:K21))</f>
        <v>0</v>
      </c>
      <c r="M14" s="166">
        <v>43.310583333333334</v>
      </c>
    </row>
    <row r="15" spans="2:16" ht="20" customHeight="1" x14ac:dyDescent="0.2">
      <c r="B15" s="159" t="s">
        <v>262</v>
      </c>
      <c r="C15" s="159"/>
      <c r="D15" s="159"/>
      <c r="E15" s="159"/>
      <c r="F15" s="160">
        <f>M15</f>
        <v>11181319.499506472</v>
      </c>
      <c r="G15" s="117">
        <f t="shared" ref="G15:G21" si="0">IF(F15="","",IF(F$14=0,0,F15/F$14))</f>
        <v>0.19618898199157542</v>
      </c>
      <c r="H15" s="161">
        <v>1.0389605618573447E-3</v>
      </c>
      <c r="I15" s="162">
        <f>P15</f>
        <v>0</v>
      </c>
      <c r="J15" s="117">
        <f t="shared" ref="J15:J21" si="1">IF(I15="","",IF(I$14=0,0,I15/I$14))</f>
        <v>0</v>
      </c>
      <c r="K15" s="163"/>
      <c r="M15" s="56">
        <v>11181319.499506472</v>
      </c>
      <c r="P15" s="56">
        <v>0</v>
      </c>
    </row>
    <row r="16" spans="2:16" ht="20" customHeight="1" x14ac:dyDescent="0.2">
      <c r="B16" s="159" t="s">
        <v>263</v>
      </c>
      <c r="C16" s="159"/>
      <c r="D16" s="159"/>
      <c r="E16" s="159"/>
      <c r="F16" s="160">
        <f t="shared" ref="F16:F21" si="2">M16</f>
        <v>4482680.0300927218</v>
      </c>
      <c r="G16" s="117">
        <f t="shared" si="0"/>
        <v>7.8653725236692645E-2</v>
      </c>
      <c r="H16" s="161">
        <v>6.4122375114789252</v>
      </c>
      <c r="I16" s="162">
        <f t="shared" ref="I16:I21" si="3">P16</f>
        <v>0</v>
      </c>
      <c r="J16" s="117">
        <f t="shared" si="1"/>
        <v>0</v>
      </c>
      <c r="K16" s="163"/>
      <c r="M16" s="56">
        <v>4482680.0300927218</v>
      </c>
      <c r="P16" s="56">
        <v>0</v>
      </c>
    </row>
    <row r="17" spans="2:16" ht="20" customHeight="1" x14ac:dyDescent="0.2">
      <c r="B17" s="159" t="s">
        <v>264</v>
      </c>
      <c r="C17" s="159"/>
      <c r="D17" s="159"/>
      <c r="E17" s="159"/>
      <c r="F17" s="160">
        <f t="shared" si="2"/>
        <v>20178592.071222004</v>
      </c>
      <c r="G17" s="117">
        <f t="shared" si="0"/>
        <v>0.35405637381626176</v>
      </c>
      <c r="H17" s="161">
        <v>6.6306318340614595E-2</v>
      </c>
      <c r="I17" s="162">
        <f t="shared" si="3"/>
        <v>16227727.574592045</v>
      </c>
      <c r="J17" s="117">
        <f t="shared" si="1"/>
        <v>0.99953470515741372</v>
      </c>
      <c r="K17" s="163">
        <v>0</v>
      </c>
      <c r="M17" s="56">
        <v>20178592.071222004</v>
      </c>
      <c r="P17" s="56">
        <v>16227727.574592045</v>
      </c>
    </row>
    <row r="18" spans="2:16" ht="20" customHeight="1" x14ac:dyDescent="0.2">
      <c r="B18" s="159" t="s">
        <v>265</v>
      </c>
      <c r="C18" s="159"/>
      <c r="D18" s="159"/>
      <c r="E18" s="159"/>
      <c r="F18" s="160">
        <f t="shared" si="2"/>
        <v>41497.108597398255</v>
      </c>
      <c r="G18" s="117">
        <f t="shared" si="0"/>
        <v>7.2811402014554363E-4</v>
      </c>
      <c r="H18" s="161">
        <v>1.8082835898254788E-2</v>
      </c>
      <c r="I18" s="162">
        <f t="shared" si="3"/>
        <v>0</v>
      </c>
      <c r="J18" s="117">
        <f t="shared" si="1"/>
        <v>0</v>
      </c>
      <c r="K18" s="163"/>
      <c r="M18" s="56">
        <v>41497.108597398255</v>
      </c>
      <c r="P18" s="56">
        <v>0</v>
      </c>
    </row>
    <row r="19" spans="2:16" ht="20" customHeight="1" x14ac:dyDescent="0.2">
      <c r="B19" s="159" t="s">
        <v>266</v>
      </c>
      <c r="C19" s="159"/>
      <c r="D19" s="159"/>
      <c r="E19" s="159"/>
      <c r="F19" s="160">
        <f t="shared" si="2"/>
        <v>523855.37053106725</v>
      </c>
      <c r="G19" s="117">
        <f t="shared" si="0"/>
        <v>9.1916389527949682E-3</v>
      </c>
      <c r="H19" s="161">
        <v>5.0325319716289414</v>
      </c>
      <c r="I19" s="162">
        <f t="shared" si="3"/>
        <v>0</v>
      </c>
      <c r="J19" s="117">
        <f t="shared" si="1"/>
        <v>0</v>
      </c>
      <c r="K19" s="163"/>
      <c r="M19" s="56">
        <v>523855.37053106725</v>
      </c>
      <c r="P19" s="56">
        <v>0</v>
      </c>
    </row>
    <row r="20" spans="2:16" ht="20" customHeight="1" x14ac:dyDescent="0.2">
      <c r="B20" s="159" t="s">
        <v>267</v>
      </c>
      <c r="C20" s="159"/>
      <c r="D20" s="159"/>
      <c r="E20" s="159"/>
      <c r="F20" s="160">
        <f t="shared" si="2"/>
        <v>17589041.454532858</v>
      </c>
      <c r="G20" s="117">
        <f t="shared" si="0"/>
        <v>0.30861975970946298</v>
      </c>
      <c r="H20" s="161">
        <v>7.4381241399433282</v>
      </c>
      <c r="I20" s="162">
        <f t="shared" si="3"/>
        <v>7554.1928743359495</v>
      </c>
      <c r="J20" s="117">
        <f t="shared" si="1"/>
        <v>4.6529484258620474E-4</v>
      </c>
      <c r="K20" s="163">
        <v>0</v>
      </c>
      <c r="M20" s="56">
        <v>17589041.454532858</v>
      </c>
      <c r="P20" s="56">
        <v>7554.1928743359495</v>
      </c>
    </row>
    <row r="21" spans="2:16" ht="20" customHeight="1" x14ac:dyDescent="0.2">
      <c r="B21" s="159" t="s">
        <v>268</v>
      </c>
      <c r="C21" s="159"/>
      <c r="D21" s="159"/>
      <c r="E21" s="159"/>
      <c r="F21" s="160">
        <f t="shared" si="2"/>
        <v>2995611.0221712552</v>
      </c>
      <c r="G21" s="117">
        <f t="shared" si="0"/>
        <v>5.2561406273066588E-2</v>
      </c>
      <c r="H21" s="161">
        <v>8</v>
      </c>
      <c r="I21" s="162">
        <f t="shared" si="3"/>
        <v>0</v>
      </c>
      <c r="J21" s="117">
        <f t="shared" si="1"/>
        <v>0</v>
      </c>
      <c r="K21" s="163"/>
      <c r="M21" s="56">
        <v>2995611.0221712552</v>
      </c>
      <c r="P21" s="56">
        <v>0</v>
      </c>
    </row>
    <row r="22" spans="2:16" ht="20" customHeight="1" x14ac:dyDescent="0.2">
      <c r="B22" s="149"/>
      <c r="C22" s="149"/>
      <c r="D22" s="149"/>
      <c r="E22" s="149"/>
      <c r="F22" s="150"/>
      <c r="G22" s="117"/>
      <c r="H22" s="151"/>
      <c r="I22" s="152"/>
      <c r="J22" s="117"/>
      <c r="K22" s="153"/>
    </row>
    <row r="23" spans="2:16" ht="20" customHeight="1" x14ac:dyDescent="0.2">
      <c r="B23" s="154" t="s">
        <v>269</v>
      </c>
      <c r="C23" s="154"/>
      <c r="D23" s="154"/>
      <c r="E23" s="154"/>
      <c r="F23" s="155">
        <f>+SUM(F24:F32)</f>
        <v>1537450554.7652516</v>
      </c>
      <c r="G23" s="121">
        <f>IF(F$12=0,0,F23/F$12)</f>
        <v>0.96425548536528072</v>
      </c>
      <c r="H23" s="156">
        <f>IF(ISERROR(SUMPRODUCT(G24:G32,H24:H32)),0,SUMPRODUCT(G24:G32,H24:H32))</f>
        <v>2.3253038046672883</v>
      </c>
      <c r="I23" s="157">
        <f>+SUM(I24:I32)</f>
        <v>15035477.937994372</v>
      </c>
      <c r="J23" s="121">
        <f>IF(I$12=0,0,I23/I$12)</f>
        <v>0.48081588294027777</v>
      </c>
      <c r="K23" s="158">
        <f>IF(ISERROR(SUMPRODUCT(J24:J32,K24:K32)),0,SUMPRODUCT(J24:J32,K24:K32))</f>
        <v>6.2610405448038247</v>
      </c>
    </row>
    <row r="24" spans="2:16" ht="20" customHeight="1" x14ac:dyDescent="0.2">
      <c r="B24" s="159" t="s">
        <v>270</v>
      </c>
      <c r="C24" s="159"/>
      <c r="D24" s="159"/>
      <c r="E24" s="159"/>
      <c r="F24" s="160">
        <f t="shared" ref="F24:F32" si="4">M24</f>
        <v>88399599.529830098</v>
      </c>
      <c r="G24" s="117">
        <f t="shared" ref="G24:G32" si="5">IF(F24="","",IF(F$23=0,0,F24/F$23))</f>
        <v>5.7497523582686894E-2</v>
      </c>
      <c r="H24" s="161">
        <v>1.0052727590239452</v>
      </c>
      <c r="I24" s="162">
        <f t="shared" ref="I24:I32" si="6">P24</f>
        <v>544583.38781706546</v>
      </c>
      <c r="J24" s="117">
        <f t="shared" ref="J24:J32" si="7">IF(I24="","",IF(I$23=0,0,I24/I$23))</f>
        <v>3.6219892048852897E-2</v>
      </c>
      <c r="K24" s="163">
        <v>0.41200344344814632</v>
      </c>
      <c r="M24" s="56">
        <v>88399599.529830098</v>
      </c>
      <c r="P24" s="56">
        <v>544583.38781706546</v>
      </c>
    </row>
    <row r="25" spans="2:16" ht="20" customHeight="1" x14ac:dyDescent="0.2">
      <c r="B25" s="159" t="s">
        <v>271</v>
      </c>
      <c r="C25" s="159"/>
      <c r="D25" s="159"/>
      <c r="E25" s="159"/>
      <c r="F25" s="160">
        <f t="shared" si="4"/>
        <v>68686.538971421527</v>
      </c>
      <c r="G25" s="117">
        <f t="shared" si="5"/>
        <v>4.4675608434060534E-5</v>
      </c>
      <c r="H25" s="161">
        <v>0</v>
      </c>
      <c r="I25" s="162">
        <f t="shared" si="6"/>
        <v>0</v>
      </c>
      <c r="J25" s="117">
        <f t="shared" si="7"/>
        <v>0</v>
      </c>
      <c r="K25" s="163"/>
      <c r="M25" s="56">
        <v>68686.538971421527</v>
      </c>
      <c r="P25" s="56">
        <v>0</v>
      </c>
    </row>
    <row r="26" spans="2:16" ht="20" customHeight="1" x14ac:dyDescent="0.2">
      <c r="B26" s="159" t="s">
        <v>272</v>
      </c>
      <c r="C26" s="159"/>
      <c r="D26" s="159"/>
      <c r="E26" s="159"/>
      <c r="F26" s="160">
        <f t="shared" si="4"/>
        <v>78112.055290566015</v>
      </c>
      <c r="G26" s="117">
        <f t="shared" si="5"/>
        <v>5.0806222709707041E-5</v>
      </c>
      <c r="H26" s="161">
        <v>1.9938324343080308E-2</v>
      </c>
      <c r="I26" s="162">
        <f t="shared" si="6"/>
        <v>0</v>
      </c>
      <c r="J26" s="117">
        <f t="shared" si="7"/>
        <v>0</v>
      </c>
      <c r="K26" s="163"/>
      <c r="M26" s="56">
        <v>78112.055290566015</v>
      </c>
      <c r="P26" s="56">
        <v>0</v>
      </c>
    </row>
    <row r="27" spans="2:16" ht="20" customHeight="1" x14ac:dyDescent="0.2">
      <c r="B27" s="159" t="s">
        <v>273</v>
      </c>
      <c r="C27" s="159"/>
      <c r="D27" s="159"/>
      <c r="E27" s="159"/>
      <c r="F27" s="160">
        <f t="shared" si="4"/>
        <v>1046784950.4355942</v>
      </c>
      <c r="G27" s="117">
        <f t="shared" si="5"/>
        <v>0.68085763616341111</v>
      </c>
      <c r="H27" s="161">
        <v>2.0914908559951093</v>
      </c>
      <c r="I27" s="162">
        <f t="shared" si="6"/>
        <v>0</v>
      </c>
      <c r="J27" s="117">
        <f t="shared" si="7"/>
        <v>0</v>
      </c>
      <c r="K27" s="163"/>
      <c r="M27" s="56">
        <v>1046784950.4355942</v>
      </c>
      <c r="P27" s="56">
        <v>0</v>
      </c>
    </row>
    <row r="28" spans="2:16" ht="20" customHeight="1" x14ac:dyDescent="0.2">
      <c r="B28" s="159" t="s">
        <v>274</v>
      </c>
      <c r="C28" s="159"/>
      <c r="D28" s="159"/>
      <c r="E28" s="159"/>
      <c r="F28" s="160">
        <f t="shared" si="4"/>
        <v>162234212.1594606</v>
      </c>
      <c r="G28" s="117">
        <f t="shared" si="5"/>
        <v>0.10552158029188238</v>
      </c>
      <c r="H28" s="161">
        <v>2.7656955948584403</v>
      </c>
      <c r="I28" s="162">
        <f t="shared" si="6"/>
        <v>5805180.7047930937</v>
      </c>
      <c r="J28" s="117">
        <f t="shared" si="7"/>
        <v>0.38609884758791141</v>
      </c>
      <c r="K28" s="163">
        <v>5.4984130582801507</v>
      </c>
      <c r="M28" s="56">
        <v>162234212.1594606</v>
      </c>
      <c r="P28" s="56">
        <v>5805180.7047930937</v>
      </c>
    </row>
    <row r="29" spans="2:16" ht="20" customHeight="1" x14ac:dyDescent="0.2">
      <c r="B29" s="159" t="s">
        <v>275</v>
      </c>
      <c r="C29" s="159"/>
      <c r="D29" s="159"/>
      <c r="E29" s="159"/>
      <c r="F29" s="160">
        <f t="shared" si="4"/>
        <v>144893407.3247686</v>
      </c>
      <c r="G29" s="117">
        <f t="shared" si="5"/>
        <v>9.4242645316741203E-2</v>
      </c>
      <c r="H29" s="161">
        <v>5.8065894755716014</v>
      </c>
      <c r="I29" s="162">
        <f t="shared" si="6"/>
        <v>8685713.8453842122</v>
      </c>
      <c r="J29" s="117">
        <f t="shared" si="7"/>
        <v>0.57768126036323564</v>
      </c>
      <c r="K29" s="163">
        <v>7.1374772943153815</v>
      </c>
      <c r="M29" s="56">
        <v>144893407.3247686</v>
      </c>
      <c r="P29" s="56">
        <v>8685713.8453842122</v>
      </c>
    </row>
    <row r="30" spans="2:16" ht="20" customHeight="1" x14ac:dyDescent="0.2">
      <c r="B30" s="159" t="s">
        <v>276</v>
      </c>
      <c r="C30" s="159"/>
      <c r="D30" s="159"/>
      <c r="E30" s="159"/>
      <c r="F30" s="160">
        <f t="shared" si="4"/>
        <v>170908.40368116339</v>
      </c>
      <c r="G30" s="117">
        <f t="shared" si="5"/>
        <v>1.111635123168295E-4</v>
      </c>
      <c r="H30" s="161">
        <v>0.71845447518029859</v>
      </c>
      <c r="I30" s="162">
        <f t="shared" si="6"/>
        <v>0</v>
      </c>
      <c r="J30" s="117">
        <f t="shared" si="7"/>
        <v>0</v>
      </c>
      <c r="K30" s="163"/>
      <c r="M30" s="56">
        <v>170908.40368116339</v>
      </c>
      <c r="P30" s="56">
        <v>0</v>
      </c>
    </row>
    <row r="31" spans="2:16" ht="20" customHeight="1" x14ac:dyDescent="0.2">
      <c r="B31" s="159" t="s">
        <v>277</v>
      </c>
      <c r="C31" s="159"/>
      <c r="D31" s="159"/>
      <c r="E31" s="159"/>
      <c r="F31" s="160">
        <f t="shared" si="4"/>
        <v>42691702.046574444</v>
      </c>
      <c r="G31" s="117">
        <f t="shared" si="5"/>
        <v>2.7767853681052463E-2</v>
      </c>
      <c r="H31" s="161">
        <v>0.15650432122513214</v>
      </c>
      <c r="I31" s="162">
        <f t="shared" si="6"/>
        <v>0</v>
      </c>
      <c r="J31" s="117">
        <f t="shared" si="7"/>
        <v>0</v>
      </c>
      <c r="K31" s="163"/>
      <c r="M31" s="56">
        <v>42691702.046574444</v>
      </c>
      <c r="P31" s="56">
        <v>0</v>
      </c>
    </row>
    <row r="32" spans="2:16" ht="20" customHeight="1" x14ac:dyDescent="0.2">
      <c r="B32" s="159" t="s">
        <v>278</v>
      </c>
      <c r="C32" s="159"/>
      <c r="D32" s="159"/>
      <c r="E32" s="159"/>
      <c r="F32" s="160">
        <f t="shared" si="4"/>
        <v>52128976.271080777</v>
      </c>
      <c r="G32" s="117">
        <f t="shared" si="5"/>
        <v>3.3906115620765565E-2</v>
      </c>
      <c r="H32" s="161">
        <v>0</v>
      </c>
      <c r="I32" s="162">
        <f t="shared" si="6"/>
        <v>0</v>
      </c>
      <c r="J32" s="117">
        <f t="shared" si="7"/>
        <v>0</v>
      </c>
      <c r="K32" s="163"/>
      <c r="M32" s="56">
        <v>52128976.271080777</v>
      </c>
      <c r="P32" s="56">
        <v>0</v>
      </c>
    </row>
    <row r="33" spans="2:16" ht="20" customHeight="1" x14ac:dyDescent="0.2">
      <c r="B33" s="149"/>
      <c r="C33" s="149"/>
      <c r="D33" s="149"/>
      <c r="E33" s="149"/>
      <c r="F33" s="150"/>
      <c r="G33" s="117"/>
      <c r="H33" s="151"/>
      <c r="I33" s="152"/>
      <c r="J33" s="117"/>
      <c r="K33" s="153"/>
    </row>
    <row r="34" spans="2:16" ht="20" customHeight="1" x14ac:dyDescent="0.2">
      <c r="B34" s="49" t="s">
        <v>279</v>
      </c>
      <c r="C34" s="49"/>
      <c r="D34" s="49"/>
      <c r="E34" s="49"/>
      <c r="F34" s="145">
        <f>+F36+F48</f>
        <v>17053825424.835812</v>
      </c>
      <c r="G34" s="129">
        <f>IF(F$10=0,0,F34/F$10)</f>
        <v>0.91449913192689414</v>
      </c>
      <c r="H34" s="146">
        <f>G36*H36+G48*H48</f>
        <v>3.0605342458546625</v>
      </c>
      <c r="I34" s="147">
        <f>+I36+I48</f>
        <v>4920050896.8988762</v>
      </c>
      <c r="J34" s="129">
        <f>IF(I$10=0,0,I34/I$10)</f>
        <v>0.99368436109099278</v>
      </c>
      <c r="K34" s="148">
        <f>J36*K36+J48*K48</f>
        <v>2.1561301446657675</v>
      </c>
    </row>
    <row r="35" spans="2:16" ht="20" customHeight="1" x14ac:dyDescent="0.2">
      <c r="B35" s="149"/>
      <c r="C35" s="149"/>
      <c r="D35" s="149"/>
      <c r="E35" s="149"/>
      <c r="F35" s="150"/>
      <c r="G35" s="117"/>
      <c r="H35" s="151"/>
      <c r="I35" s="152"/>
      <c r="J35" s="117"/>
      <c r="K35" s="153"/>
    </row>
    <row r="36" spans="2:16" ht="20" customHeight="1" x14ac:dyDescent="0.2">
      <c r="B36" s="154" t="s">
        <v>261</v>
      </c>
      <c r="C36" s="154"/>
      <c r="D36" s="154"/>
      <c r="E36" s="154"/>
      <c r="F36" s="155">
        <f>SUM(F37:F46)</f>
        <v>2125905094.8479493</v>
      </c>
      <c r="G36" s="121">
        <f>IF(F$34=0,0,F36/F$34)</f>
        <v>0.1246585468004119</v>
      </c>
      <c r="H36" s="156">
        <f>IF(ISERROR(SUMPRODUCT(G37:G46,H37:H46)),0,SUMPRODUCT(G37:G46,H37:H46))</f>
        <v>5.8096168946728053</v>
      </c>
      <c r="I36" s="157">
        <f>SUM(I37:I46)</f>
        <v>553192652.76808786</v>
      </c>
      <c r="J36" s="121">
        <f>IF(I$34=0,0,I36/I$34)</f>
        <v>0.11243636790765051</v>
      </c>
      <c r="K36" s="158">
        <f>IF(ISERROR(SUMPRODUCT(J37:J46,K37:K46)),0,SUMPRODUCT(J37:J46,K37:K46))</f>
        <v>6.1465769399968186</v>
      </c>
    </row>
    <row r="37" spans="2:16" ht="20" customHeight="1" x14ac:dyDescent="0.2">
      <c r="B37" s="159" t="s">
        <v>280</v>
      </c>
      <c r="C37" s="159"/>
      <c r="D37" s="159"/>
      <c r="E37" s="159"/>
      <c r="F37" s="160">
        <f t="shared" ref="F37:F46" si="8">M37</f>
        <v>1481385719.6525099</v>
      </c>
      <c r="G37" s="117">
        <f t="shared" ref="G37:G46" si="9">IF(F37="","",IF(F$36=0,0,F37/F$36))</f>
        <v>0.69682589464722211</v>
      </c>
      <c r="H37" s="161">
        <v>6.8407938448863161</v>
      </c>
      <c r="I37" s="162">
        <f t="shared" ref="I37:I46" si="10">P37</f>
        <v>381107060.76074553</v>
      </c>
      <c r="J37" s="117">
        <f t="shared" ref="J37:J46" si="11">IF(I37="","",IF(I$36=0,0,I37/I$36))</f>
        <v>0.68892285328401692</v>
      </c>
      <c r="K37" s="163">
        <v>7.6848468526975546</v>
      </c>
      <c r="M37" s="56">
        <v>1481385719.6525099</v>
      </c>
      <c r="P37" s="56">
        <v>381107060.76074553</v>
      </c>
    </row>
    <row r="38" spans="2:16" ht="20" customHeight="1" x14ac:dyDescent="0.2">
      <c r="B38" s="159" t="s">
        <v>281</v>
      </c>
      <c r="C38" s="159"/>
      <c r="D38" s="159"/>
      <c r="E38" s="159"/>
      <c r="F38" s="160">
        <f t="shared" si="8"/>
        <v>5132902.1458573453</v>
      </c>
      <c r="G38" s="117">
        <f t="shared" si="9"/>
        <v>2.4144549812203471E-3</v>
      </c>
      <c r="H38" s="161">
        <v>3.6589054793126636</v>
      </c>
      <c r="I38" s="162">
        <f t="shared" si="10"/>
        <v>0</v>
      </c>
      <c r="J38" s="117">
        <f t="shared" si="11"/>
        <v>0</v>
      </c>
      <c r="K38" s="163"/>
      <c r="M38" s="56">
        <v>5132902.1458573453</v>
      </c>
      <c r="P38" s="56">
        <v>0</v>
      </c>
    </row>
    <row r="39" spans="2:16" ht="20" customHeight="1" x14ac:dyDescent="0.2">
      <c r="B39" s="159" t="s">
        <v>282</v>
      </c>
      <c r="C39" s="159"/>
      <c r="D39" s="159"/>
      <c r="E39" s="159"/>
      <c r="F39" s="160">
        <f t="shared" si="8"/>
        <v>11123943.390972566</v>
      </c>
      <c r="G39" s="117">
        <f t="shared" si="9"/>
        <v>5.2325681978612412E-3</v>
      </c>
      <c r="H39" s="161">
        <v>2.6012589058665552</v>
      </c>
      <c r="I39" s="162">
        <f t="shared" si="10"/>
        <v>0</v>
      </c>
      <c r="J39" s="117">
        <f t="shared" si="11"/>
        <v>0</v>
      </c>
      <c r="K39" s="163"/>
      <c r="M39" s="56">
        <v>11123943.390972566</v>
      </c>
      <c r="P39" s="56">
        <v>0</v>
      </c>
    </row>
    <row r="40" spans="2:16" ht="20" customHeight="1" x14ac:dyDescent="0.2">
      <c r="B40" s="159" t="s">
        <v>283</v>
      </c>
      <c r="C40" s="159"/>
      <c r="D40" s="159"/>
      <c r="E40" s="159"/>
      <c r="F40" s="160">
        <f t="shared" si="8"/>
        <v>91554667.411698818</v>
      </c>
      <c r="G40" s="117">
        <f t="shared" si="9"/>
        <v>4.3066206310704132E-2</v>
      </c>
      <c r="H40" s="161">
        <v>2.3290999578898886</v>
      </c>
      <c r="I40" s="162">
        <f t="shared" si="10"/>
        <v>24403699.744827569</v>
      </c>
      <c r="J40" s="117">
        <f t="shared" si="11"/>
        <v>4.4114287532047554E-2</v>
      </c>
      <c r="K40" s="163">
        <v>0.1725698403273527</v>
      </c>
      <c r="M40" s="56">
        <v>91554667.411698818</v>
      </c>
      <c r="P40" s="56">
        <v>24403699.744827569</v>
      </c>
    </row>
    <row r="41" spans="2:16" ht="20" customHeight="1" x14ac:dyDescent="0.2">
      <c r="B41" s="159" t="s">
        <v>284</v>
      </c>
      <c r="C41" s="159"/>
      <c r="D41" s="159"/>
      <c r="E41" s="159"/>
      <c r="F41" s="160">
        <f t="shared" si="8"/>
        <v>31847420.426416174</v>
      </c>
      <c r="G41" s="117">
        <f t="shared" si="9"/>
        <v>1.4980640717968641E-2</v>
      </c>
      <c r="H41" s="161">
        <v>4.4270006894391472</v>
      </c>
      <c r="I41" s="162">
        <f t="shared" si="10"/>
        <v>7597105.6045962591</v>
      </c>
      <c r="J41" s="117">
        <f t="shared" si="11"/>
        <v>1.3733200480124878E-2</v>
      </c>
      <c r="K41" s="163">
        <v>1.4175373911059899</v>
      </c>
      <c r="M41" s="56">
        <v>31847420.426416174</v>
      </c>
      <c r="P41" s="56">
        <v>7597105.6045962591</v>
      </c>
    </row>
    <row r="42" spans="2:16" ht="20" customHeight="1" x14ac:dyDescent="0.2">
      <c r="B42" s="159" t="s">
        <v>285</v>
      </c>
      <c r="C42" s="159"/>
      <c r="D42" s="159"/>
      <c r="E42" s="159"/>
      <c r="F42" s="160">
        <f t="shared" si="8"/>
        <v>66297321.615386538</v>
      </c>
      <c r="G42" s="117">
        <f t="shared" si="9"/>
        <v>3.118545685602598E-2</v>
      </c>
      <c r="H42" s="161">
        <v>2.553235385135713</v>
      </c>
      <c r="I42" s="162">
        <f t="shared" si="10"/>
        <v>21436509.205024943</v>
      </c>
      <c r="J42" s="117">
        <f t="shared" si="11"/>
        <v>3.8750531298201572E-2</v>
      </c>
      <c r="K42" s="163">
        <v>1.2801889059062113</v>
      </c>
      <c r="M42" s="56">
        <v>66297321.615386538</v>
      </c>
      <c r="P42" s="56">
        <v>21436509.205024943</v>
      </c>
    </row>
    <row r="43" spans="2:16" ht="20" customHeight="1" x14ac:dyDescent="0.2">
      <c r="B43" s="159" t="s">
        <v>286</v>
      </c>
      <c r="C43" s="159"/>
      <c r="D43" s="159"/>
      <c r="E43" s="159"/>
      <c r="F43" s="160">
        <f t="shared" si="8"/>
        <v>145144024.96079677</v>
      </c>
      <c r="G43" s="117">
        <f t="shared" si="9"/>
        <v>6.8273990834561635E-2</v>
      </c>
      <c r="H43" s="161">
        <v>4.4514627491958354</v>
      </c>
      <c r="I43" s="162">
        <f t="shared" si="10"/>
        <v>56309032.884187274</v>
      </c>
      <c r="J43" s="117">
        <f t="shared" si="11"/>
        <v>0.10178919152744681</v>
      </c>
      <c r="K43" s="163">
        <v>3.8249950351016624</v>
      </c>
      <c r="M43" s="56">
        <v>145144024.96079677</v>
      </c>
      <c r="P43" s="56">
        <v>56309032.884187274</v>
      </c>
    </row>
    <row r="44" spans="2:16" ht="20" customHeight="1" x14ac:dyDescent="0.2">
      <c r="B44" s="159" t="s">
        <v>287</v>
      </c>
      <c r="C44" s="159"/>
      <c r="D44" s="159"/>
      <c r="E44" s="159"/>
      <c r="F44" s="160">
        <f t="shared" si="8"/>
        <v>210768117.95338708</v>
      </c>
      <c r="G44" s="117">
        <f t="shared" si="9"/>
        <v>9.9142769102993189E-2</v>
      </c>
      <c r="H44" s="161">
        <v>3.7558337577079213</v>
      </c>
      <c r="I44" s="162">
        <f t="shared" si="10"/>
        <v>41703427.680686221</v>
      </c>
      <c r="J44" s="117">
        <f t="shared" si="11"/>
        <v>7.5386806878234763E-2</v>
      </c>
      <c r="K44" s="163">
        <v>4.005323635229221</v>
      </c>
      <c r="M44" s="56">
        <v>210768117.95338708</v>
      </c>
      <c r="P44" s="56">
        <v>41703427.680686221</v>
      </c>
    </row>
    <row r="45" spans="2:16" ht="20" customHeight="1" x14ac:dyDescent="0.2">
      <c r="B45" s="159" t="s">
        <v>288</v>
      </c>
      <c r="C45" s="159"/>
      <c r="D45" s="159"/>
      <c r="E45" s="159"/>
      <c r="F45" s="160">
        <f t="shared" si="8"/>
        <v>28006079.557844792</v>
      </c>
      <c r="G45" s="117">
        <f t="shared" si="9"/>
        <v>1.3173720513543369E-2</v>
      </c>
      <c r="H45" s="161">
        <v>2.7044757572251896</v>
      </c>
      <c r="I45" s="162">
        <f t="shared" si="10"/>
        <v>1508849.9325222666</v>
      </c>
      <c r="J45" s="117">
        <f t="shared" si="11"/>
        <v>2.7275306802652241E-3</v>
      </c>
      <c r="K45" s="163">
        <v>3.3003719208771098E-2</v>
      </c>
      <c r="M45" s="56">
        <v>28006079.557844792</v>
      </c>
      <c r="P45" s="56">
        <v>1508849.9325222666</v>
      </c>
    </row>
    <row r="46" spans="2:16" ht="20" customHeight="1" x14ac:dyDescent="0.2">
      <c r="B46" s="159" t="s">
        <v>289</v>
      </c>
      <c r="C46" s="159"/>
      <c r="D46" s="159"/>
      <c r="E46" s="159"/>
      <c r="F46" s="160">
        <f t="shared" si="8"/>
        <v>54644897.733079091</v>
      </c>
      <c r="G46" s="117">
        <f t="shared" si="9"/>
        <v>2.5704297837899227E-2</v>
      </c>
      <c r="H46" s="161">
        <v>2.4186447360408039</v>
      </c>
      <c r="I46" s="162">
        <f t="shared" si="10"/>
        <v>19126966.95549779</v>
      </c>
      <c r="J46" s="117">
        <f t="shared" si="11"/>
        <v>3.4575598319662233E-2</v>
      </c>
      <c r="K46" s="163">
        <v>2.4364138880611028</v>
      </c>
      <c r="M46" s="56">
        <v>54644897.733079091</v>
      </c>
      <c r="P46" s="56">
        <v>19126966.95549779</v>
      </c>
    </row>
    <row r="47" spans="2:16" ht="20" customHeight="1" x14ac:dyDescent="0.2">
      <c r="B47" s="149"/>
      <c r="C47" s="149"/>
      <c r="D47" s="149"/>
      <c r="E47" s="149"/>
      <c r="F47" s="150"/>
      <c r="G47" s="117"/>
      <c r="H47" s="151"/>
      <c r="I47" s="152"/>
      <c r="J47" s="117"/>
      <c r="K47" s="153"/>
    </row>
    <row r="48" spans="2:16" ht="20" customHeight="1" x14ac:dyDescent="0.2">
      <c r="B48" s="154" t="s">
        <v>269</v>
      </c>
      <c r="C48" s="154"/>
      <c r="D48" s="154"/>
      <c r="E48" s="154"/>
      <c r="F48" s="155">
        <f>+SUM(F49:F54)</f>
        <v>14927920329.987862</v>
      </c>
      <c r="G48" s="121">
        <f>IF(F$34=0,0,F48/F$34)</f>
        <v>0.87534145319958812</v>
      </c>
      <c r="H48" s="156">
        <f>IF(ISERROR(SUMPRODUCT(G49:G55,H49:H55)),0,SUMPRODUCT(G49:G55,H49:H55))</f>
        <v>2.6690337099400701</v>
      </c>
      <c r="I48" s="157">
        <f>+SUM(I49:I54)</f>
        <v>4366858244.1307878</v>
      </c>
      <c r="J48" s="121">
        <f>IF(I$34=0,0,I48/I$34)</f>
        <v>0.88756363209234945</v>
      </c>
      <c r="K48" s="158">
        <f>IF(ISERROR(SUMPRODUCT(J49:J55,K49:K55)),0,SUMPRODUCT(J49:J55,K49:K55))</f>
        <v>1.6506212123787996</v>
      </c>
    </row>
    <row r="49" spans="2:16" ht="20" customHeight="1" x14ac:dyDescent="0.2">
      <c r="B49" s="159" t="s">
        <v>290</v>
      </c>
      <c r="C49" s="159"/>
      <c r="D49" s="159"/>
      <c r="E49" s="159"/>
      <c r="F49" s="160">
        <f>M49</f>
        <v>4131673346.0996208</v>
      </c>
      <c r="G49" s="117">
        <f t="shared" ref="G49:G54" si="12">IF(F49="","",IF(F$48=0,0,F49/F$48))</f>
        <v>0.27677487920401972</v>
      </c>
      <c r="H49" s="161">
        <v>2.0097576907641814</v>
      </c>
      <c r="I49" s="162">
        <f>P49</f>
        <v>1519769633.7592607</v>
      </c>
      <c r="J49" s="117">
        <f t="shared" ref="J49:J54" si="13">IF(I49="","",IF(I$48=0,0,I49/I$48))</f>
        <v>0.34802357869112993</v>
      </c>
      <c r="K49" s="163">
        <v>1.307127266120212</v>
      </c>
      <c r="M49" s="56">
        <v>4131673346.0996208</v>
      </c>
      <c r="P49" s="56">
        <v>1519769633.7592607</v>
      </c>
    </row>
    <row r="50" spans="2:16" ht="20" customHeight="1" x14ac:dyDescent="0.2">
      <c r="B50" s="159" t="s">
        <v>291</v>
      </c>
      <c r="C50" s="159"/>
      <c r="D50" s="159"/>
      <c r="E50" s="159"/>
      <c r="F50" s="160">
        <f t="shared" ref="F50:F54" si="14">M50</f>
        <v>9825048063.3043957</v>
      </c>
      <c r="G50" s="117">
        <f t="shared" si="12"/>
        <v>0.65816589626134381</v>
      </c>
      <c r="H50" s="161">
        <v>3.0127719461643343</v>
      </c>
      <c r="I50" s="162">
        <f t="shared" ref="I50:I54" si="15">P50</f>
        <v>2847088610.3715272</v>
      </c>
      <c r="J50" s="117">
        <f t="shared" si="13"/>
        <v>0.65197642130887012</v>
      </c>
      <c r="K50" s="163">
        <v>1.8339775248596444</v>
      </c>
      <c r="M50" s="56">
        <v>9825048063.3043957</v>
      </c>
      <c r="P50" s="56">
        <v>2847088610.3715272</v>
      </c>
    </row>
    <row r="51" spans="2:16" ht="20" customHeight="1" x14ac:dyDescent="0.2">
      <c r="B51" s="159" t="s">
        <v>292</v>
      </c>
      <c r="C51" s="159"/>
      <c r="D51" s="159"/>
      <c r="E51" s="159"/>
      <c r="F51" s="160">
        <f t="shared" si="14"/>
        <v>132666597.7093358</v>
      </c>
      <c r="G51" s="117">
        <f t="shared" si="12"/>
        <v>8.8871453475558356E-3</v>
      </c>
      <c r="H51" s="161">
        <v>2.6958653892251943</v>
      </c>
      <c r="I51" s="162">
        <f t="shared" si="15"/>
        <v>0</v>
      </c>
      <c r="J51" s="117">
        <f t="shared" si="13"/>
        <v>0</v>
      </c>
      <c r="K51" s="163"/>
      <c r="M51" s="56">
        <v>132666597.7093358</v>
      </c>
      <c r="P51" s="56">
        <v>0</v>
      </c>
    </row>
    <row r="52" spans="2:16" ht="20" customHeight="1" x14ac:dyDescent="0.2">
      <c r="B52" s="159" t="s">
        <v>293</v>
      </c>
      <c r="C52" s="159"/>
      <c r="D52" s="159"/>
      <c r="E52" s="159"/>
      <c r="F52" s="160">
        <f t="shared" si="14"/>
        <v>822687812.99297476</v>
      </c>
      <c r="G52" s="117">
        <f t="shared" si="12"/>
        <v>5.5110678165954795E-2</v>
      </c>
      <c r="H52" s="161">
        <v>1.8786085412396487</v>
      </c>
      <c r="I52" s="162">
        <f t="shared" si="15"/>
        <v>0</v>
      </c>
      <c r="J52" s="117">
        <f t="shared" si="13"/>
        <v>0</v>
      </c>
      <c r="K52" s="163"/>
      <c r="M52" s="56">
        <v>822687812.99297476</v>
      </c>
      <c r="P52" s="56">
        <v>0</v>
      </c>
    </row>
    <row r="53" spans="2:16" ht="20" customHeight="1" x14ac:dyDescent="0.2">
      <c r="B53" s="159" t="s">
        <v>294</v>
      </c>
      <c r="C53" s="159"/>
      <c r="D53" s="159"/>
      <c r="E53" s="159"/>
      <c r="F53" s="160">
        <f t="shared" si="14"/>
        <v>7632952.2374631306</v>
      </c>
      <c r="G53" s="117">
        <f t="shared" si="12"/>
        <v>5.113205368687373E-4</v>
      </c>
      <c r="H53" s="161">
        <v>1.3668484247863371</v>
      </c>
      <c r="I53" s="162">
        <f t="shared" si="15"/>
        <v>0</v>
      </c>
      <c r="J53" s="117">
        <f t="shared" si="13"/>
        <v>0</v>
      </c>
      <c r="K53" s="163"/>
      <c r="M53" s="56">
        <v>7632952.2374631306</v>
      </c>
      <c r="P53" s="56">
        <v>0</v>
      </c>
    </row>
    <row r="54" spans="2:16" ht="20" customHeight="1" x14ac:dyDescent="0.2">
      <c r="B54" s="159" t="s">
        <v>295</v>
      </c>
      <c r="C54" s="159"/>
      <c r="D54" s="159"/>
      <c r="E54" s="159"/>
      <c r="F54" s="160">
        <f t="shared" si="14"/>
        <v>8211557.6440708321</v>
      </c>
      <c r="G54" s="117">
        <f t="shared" si="12"/>
        <v>5.5008048425707996E-4</v>
      </c>
      <c r="H54" s="161">
        <v>3.073520660387393</v>
      </c>
      <c r="I54" s="162">
        <f t="shared" si="15"/>
        <v>0</v>
      </c>
      <c r="J54" s="117">
        <f t="shared" si="13"/>
        <v>0</v>
      </c>
      <c r="K54" s="163"/>
      <c r="M54" s="56">
        <v>8211557.6440708321</v>
      </c>
      <c r="P54" s="56">
        <v>0</v>
      </c>
    </row>
    <row r="55" spans="2:16" ht="20" customHeight="1" x14ac:dyDescent="0.2">
      <c r="B55" s="149"/>
      <c r="C55" s="149"/>
      <c r="D55" s="149"/>
      <c r="E55" s="149"/>
      <c r="F55" s="164"/>
      <c r="G55" s="62"/>
      <c r="H55" s="165"/>
      <c r="I55" s="149"/>
      <c r="J55" s="149"/>
      <c r="K55" s="62"/>
    </row>
    <row r="56" spans="2:16" ht="20" customHeight="1" x14ac:dyDescent="0.2">
      <c r="F56" s="139"/>
      <c r="G56" s="131"/>
      <c r="H56" s="140"/>
      <c r="I56" s="131"/>
      <c r="J56" s="131"/>
      <c r="K56" s="131"/>
    </row>
    <row r="57" spans="2:16" ht="20" customHeight="1" x14ac:dyDescent="0.2">
      <c r="B57" s="141" t="s">
        <v>296</v>
      </c>
      <c r="C57" s="141"/>
      <c r="D57" s="141"/>
      <c r="E57" s="141"/>
      <c r="F57" s="142">
        <f>+F59+F64</f>
        <v>191748207.21517259</v>
      </c>
      <c r="G57" s="115">
        <f>F57/F$8</f>
        <v>1.0177708938369867E-2</v>
      </c>
      <c r="H57" s="143">
        <f>G59*H59+G64*H64</f>
        <v>1.4129604897841308</v>
      </c>
      <c r="I57" s="142">
        <f>+I59+I64</f>
        <v>80912836.669482246</v>
      </c>
      <c r="J57" s="115">
        <f>I57/I$8</f>
        <v>1.607890824198115E-2</v>
      </c>
      <c r="K57" s="144">
        <f>J59*K59+J64*K64</f>
        <v>1.9297305484750851</v>
      </c>
    </row>
    <row r="58" spans="2:16" ht="20" customHeight="1" x14ac:dyDescent="0.2">
      <c r="B58" s="62"/>
      <c r="C58" s="62"/>
      <c r="D58" s="62"/>
      <c r="E58" s="62"/>
      <c r="F58" s="139"/>
      <c r="G58" s="131"/>
      <c r="H58" s="140"/>
      <c r="I58" s="131"/>
      <c r="J58" s="131"/>
      <c r="K58" s="131"/>
    </row>
    <row r="59" spans="2:16" ht="20" customHeight="1" x14ac:dyDescent="0.2">
      <c r="B59" s="49" t="s">
        <v>260</v>
      </c>
      <c r="C59" s="49"/>
      <c r="D59" s="49"/>
      <c r="E59" s="49"/>
      <c r="F59" s="145">
        <f>+F61</f>
        <v>6054066.8291622326</v>
      </c>
      <c r="G59" s="129">
        <f>IF(F$57=0,0,F59/F$57)</f>
        <v>3.1573003560698677E-2</v>
      </c>
      <c r="H59" s="146">
        <f>G61*H61</f>
        <v>0.28244011076242337</v>
      </c>
      <c r="I59" s="147">
        <f>+I61</f>
        <v>0</v>
      </c>
      <c r="J59" s="129">
        <f>IF(I$57=0,0,I59/I$57)</f>
        <v>0</v>
      </c>
      <c r="K59" s="148">
        <f>J61*K61</f>
        <v>0</v>
      </c>
    </row>
    <row r="60" spans="2:16" ht="20" customHeight="1" x14ac:dyDescent="0.2">
      <c r="B60" s="149"/>
      <c r="C60" s="149"/>
      <c r="D60" s="149"/>
      <c r="E60" s="149"/>
      <c r="F60" s="150"/>
      <c r="G60" s="117" t="str">
        <f>IF(F60="","",F60/F$59)</f>
        <v/>
      </c>
      <c r="H60" s="151"/>
      <c r="I60" s="152"/>
      <c r="J60" s="117" t="str">
        <f>IF(I60="","",I60/I$59)</f>
        <v/>
      </c>
      <c r="K60" s="153"/>
    </row>
    <row r="61" spans="2:16" ht="20" customHeight="1" x14ac:dyDescent="0.2">
      <c r="B61" s="154" t="s">
        <v>269</v>
      </c>
      <c r="C61" s="154"/>
      <c r="D61" s="154"/>
      <c r="E61" s="154"/>
      <c r="F61" s="155">
        <f>+SUM(F62:F62)</f>
        <v>6054066.8291622326</v>
      </c>
      <c r="G61" s="121">
        <f>IF(F$59=0,0,F61/F$59)</f>
        <v>1</v>
      </c>
      <c r="H61" s="156">
        <f>IF(ISERROR(SUMPRODUCT(G62:G62,H62:H62)),0,SUMPRODUCT(G62:G62,H62:H62))</f>
        <v>0.28244011076242337</v>
      </c>
      <c r="I61" s="157">
        <f>+SUM(I62:I62)</f>
        <v>0</v>
      </c>
      <c r="J61" s="121">
        <f>IF(I$59=0,0,I61/I$59)</f>
        <v>0</v>
      </c>
      <c r="K61" s="158">
        <f>IF(ISERROR(SUMPRODUCT(J62:J62,K62:K62)),0,SUMPRODUCT(J62:J62,K62:K62))</f>
        <v>0</v>
      </c>
    </row>
    <row r="62" spans="2:16" ht="20" customHeight="1" x14ac:dyDescent="0.2">
      <c r="B62" s="159" t="s">
        <v>297</v>
      </c>
      <c r="C62" s="159"/>
      <c r="D62" s="159"/>
      <c r="E62" s="159"/>
      <c r="F62" s="160">
        <f t="shared" ref="F62" si="16">M62</f>
        <v>6054066.8291622326</v>
      </c>
      <c r="G62" s="117">
        <f>IF(F62="","",IF(F$61=0,0,F62/F$61))</f>
        <v>1</v>
      </c>
      <c r="H62" s="161">
        <v>0.28244011076242337</v>
      </c>
      <c r="I62" s="162">
        <f t="shared" ref="I62" si="17">P62</f>
        <v>0</v>
      </c>
      <c r="J62" s="117">
        <f>IF(I62="","",IF(I$61=0,0,I62/I$61))</f>
        <v>0</v>
      </c>
      <c r="K62" s="163">
        <v>0</v>
      </c>
      <c r="M62" s="56">
        <v>6054066.8291622326</v>
      </c>
      <c r="P62" s="56">
        <v>0</v>
      </c>
    </row>
    <row r="63" spans="2:16" ht="20" customHeight="1" x14ac:dyDescent="0.2">
      <c r="B63" s="149"/>
      <c r="C63" s="149"/>
      <c r="D63" s="149"/>
      <c r="E63" s="149"/>
      <c r="F63" s="150"/>
      <c r="G63" s="117"/>
      <c r="H63" s="151"/>
      <c r="I63" s="152"/>
      <c r="J63" s="117"/>
      <c r="K63" s="153"/>
    </row>
    <row r="64" spans="2:16" ht="20" customHeight="1" x14ac:dyDescent="0.2">
      <c r="B64" s="49" t="s">
        <v>279</v>
      </c>
      <c r="C64" s="49"/>
      <c r="D64" s="49"/>
      <c r="E64" s="49"/>
      <c r="F64" s="145">
        <f>+F66+F70</f>
        <v>185694140.38601035</v>
      </c>
      <c r="G64" s="129">
        <f>IF(F$57=0,0,F64/F$57)</f>
        <v>0.9684269964393013</v>
      </c>
      <c r="H64" s="146">
        <f>G66*H66+G70*H70</f>
        <v>1.4498181198208129</v>
      </c>
      <c r="I64" s="147">
        <f>+I66+I70</f>
        <v>80912836.669482246</v>
      </c>
      <c r="J64" s="129">
        <f>IF(I$57=0,0,I64/I$57)</f>
        <v>1</v>
      </c>
      <c r="K64" s="148">
        <f>J66*K66+J70*K70</f>
        <v>1.9297305484750851</v>
      </c>
    </row>
    <row r="65" spans="2:16" ht="20" customHeight="1" x14ac:dyDescent="0.2">
      <c r="B65" s="149"/>
      <c r="C65" s="149"/>
      <c r="D65" s="149"/>
      <c r="E65" s="149"/>
      <c r="F65" s="150"/>
      <c r="G65" s="117"/>
      <c r="H65" s="151"/>
      <c r="I65" s="152"/>
      <c r="J65" s="117"/>
      <c r="K65" s="153"/>
    </row>
    <row r="66" spans="2:16" ht="20" customHeight="1" x14ac:dyDescent="0.2">
      <c r="B66" s="154" t="s">
        <v>261</v>
      </c>
      <c r="C66" s="154"/>
      <c r="D66" s="154"/>
      <c r="E66" s="154"/>
      <c r="F66" s="155">
        <f>SUM(F67:F68)</f>
        <v>135923133.16729745</v>
      </c>
      <c r="G66" s="121">
        <f>IF(F$64=0,0,F66/F$64)</f>
        <v>0.73197319465626765</v>
      </c>
      <c r="H66" s="156">
        <f>IF(ISERROR(SUMPRODUCT(G67:G68,H67:H68)),0,SUMPRODUCT(G67:G68,H67:H68))</f>
        <v>1.6415551325333397</v>
      </c>
      <c r="I66" s="157">
        <f>SUM(I67:I68)</f>
        <v>43282472.374765977</v>
      </c>
      <c r="J66" s="121">
        <f>IF(I$64=0,0,I66/I$64)</f>
        <v>0.53492714081411941</v>
      </c>
      <c r="K66" s="158">
        <f>IF(ISERROR(SUMPRODUCT(J67:J68,K67:K68)),0,SUMPRODUCT(J67:J68,K67:K68))</f>
        <v>2.5898472961191921</v>
      </c>
    </row>
    <row r="67" spans="2:16" ht="20" customHeight="1" x14ac:dyDescent="0.2">
      <c r="B67" s="159" t="s">
        <v>298</v>
      </c>
      <c r="C67" s="159"/>
      <c r="D67" s="159"/>
      <c r="E67" s="159"/>
      <c r="F67" s="160">
        <f t="shared" ref="F67:F68" si="18">M67</f>
        <v>46968745.17906516</v>
      </c>
      <c r="G67" s="117">
        <f>IF(F67="","",IF(F$66=0,0,F67/F$66))</f>
        <v>0.34555372646725929</v>
      </c>
      <c r="H67" s="161">
        <v>1.1934005476514264</v>
      </c>
      <c r="I67" s="162">
        <f t="shared" ref="I67:I68" si="19">P67</f>
        <v>32037.967933164913</v>
      </c>
      <c r="J67" s="117">
        <f>IF(I67="","",IF(I$66=0,0,I67/I$66))</f>
        <v>7.4020651259846474E-4</v>
      </c>
      <c r="K67" s="163">
        <v>2.5699999999999997E-2</v>
      </c>
      <c r="M67" s="56">
        <v>46968745.17906516</v>
      </c>
      <c r="P67" s="56">
        <v>32037.967933164913</v>
      </c>
    </row>
    <row r="68" spans="2:16" ht="20" customHeight="1" x14ac:dyDescent="0.2">
      <c r="B68" s="159" t="s">
        <v>267</v>
      </c>
      <c r="C68" s="159"/>
      <c r="D68" s="159"/>
      <c r="E68" s="159"/>
      <c r="F68" s="160">
        <f t="shared" si="18"/>
        <v>88954387.988232285</v>
      </c>
      <c r="G68" s="117">
        <f>IF(F68="","",IF(F$66=0,0,F68/F$66))</f>
        <v>0.65444627353274065</v>
      </c>
      <c r="H68" s="161">
        <v>1.8781849264557364</v>
      </c>
      <c r="I68" s="162">
        <f t="shared" si="19"/>
        <v>43250434.406832814</v>
      </c>
      <c r="J68" s="117">
        <f>IF(I68="","",IF(I$66=0,0,I68/I$66))</f>
        <v>0.99925979348740157</v>
      </c>
      <c r="K68" s="163">
        <v>2.5917467005986068</v>
      </c>
      <c r="M68" s="56">
        <v>88954387.988232285</v>
      </c>
      <c r="P68" s="56">
        <v>43250434.406832814</v>
      </c>
    </row>
    <row r="69" spans="2:16" ht="20" customHeight="1" x14ac:dyDescent="0.2">
      <c r="B69" s="149"/>
      <c r="C69" s="149"/>
      <c r="D69" s="149"/>
      <c r="E69" s="149"/>
      <c r="F69" s="150"/>
      <c r="G69" s="117"/>
      <c r="H69" s="151"/>
      <c r="I69" s="152"/>
      <c r="J69" s="117"/>
      <c r="K69" s="153"/>
    </row>
    <row r="70" spans="2:16" ht="20" customHeight="1" x14ac:dyDescent="0.2">
      <c r="B70" s="154" t="s">
        <v>269</v>
      </c>
      <c r="C70" s="154"/>
      <c r="D70" s="154"/>
      <c r="E70" s="154"/>
      <c r="F70" s="155">
        <f>+SUM(F71:F71)</f>
        <v>49771007.218712904</v>
      </c>
      <c r="G70" s="121">
        <f>IF(F$64=0,0,F70/F$64)</f>
        <v>0.26802680534373235</v>
      </c>
      <c r="H70" s="156">
        <f>IF(ISERROR(SUMPRODUCT(G71:G71,H71:H71)),0,SUMPRODUCT(G71:G71,H71:H71))</f>
        <v>0.92619006870462073</v>
      </c>
      <c r="I70" s="157">
        <f>+SUM(I71:I71)</f>
        <v>37630364.294716269</v>
      </c>
      <c r="J70" s="121">
        <f>IF(I$64=0,0,I70/I$64)</f>
        <v>0.46507285918588054</v>
      </c>
      <c r="K70" s="158">
        <f>IF(ISERROR(SUMPRODUCT(J71:J71,K71:K71)),0,SUMPRODUCT(J71:J71,K71:K71))</f>
        <v>1.170463785329819</v>
      </c>
    </row>
    <row r="71" spans="2:16" ht="20" customHeight="1" x14ac:dyDescent="0.2">
      <c r="B71" s="159" t="s">
        <v>290</v>
      </c>
      <c r="C71" s="159"/>
      <c r="D71" s="159"/>
      <c r="E71" s="159"/>
      <c r="F71" s="160">
        <f t="shared" ref="F71" si="20">M71</f>
        <v>49771007.218712904</v>
      </c>
      <c r="G71" s="117">
        <f>IF(F71="","",IF(F$70=0,0,F71/F$70))</f>
        <v>1</v>
      </c>
      <c r="H71" s="161">
        <v>0.92619006870462073</v>
      </c>
      <c r="I71" s="162">
        <f t="shared" ref="I71" si="21">P71</f>
        <v>37630364.294716269</v>
      </c>
      <c r="J71" s="117">
        <f>IF(I71="","",IF(I$70=0,0,I71/I$70))</f>
        <v>1</v>
      </c>
      <c r="K71" s="163">
        <v>1.170463785329819</v>
      </c>
      <c r="M71" s="56">
        <v>49771007.218712904</v>
      </c>
      <c r="P71" s="56">
        <v>37630364.294716269</v>
      </c>
    </row>
    <row r="72" spans="2:16" ht="20" customHeight="1" x14ac:dyDescent="0.2">
      <c r="K72" s="75"/>
    </row>
    <row r="73" spans="2:16" ht="20" customHeight="1" x14ac:dyDescent="0.2">
      <c r="K73" s="75"/>
    </row>
    <row r="74" spans="2:16" ht="20" customHeight="1" x14ac:dyDescent="0.2">
      <c r="K74" s="75"/>
    </row>
    <row r="75" spans="2:16" ht="20" customHeight="1" x14ac:dyDescent="0.2">
      <c r="K75" s="75"/>
    </row>
    <row r="76" spans="2:16" ht="20" customHeight="1" x14ac:dyDescent="0.2">
      <c r="K76" s="75"/>
    </row>
    <row r="77" spans="2:16" ht="20" customHeight="1" x14ac:dyDescent="0.2">
      <c r="K77" s="75"/>
    </row>
    <row r="78" spans="2:16" ht="20" customHeight="1" x14ac:dyDescent="0.2">
      <c r="K78" s="75"/>
    </row>
    <row r="79" spans="2:16" ht="20" customHeight="1" x14ac:dyDescent="0.2">
      <c r="K79" s="75"/>
    </row>
    <row r="80" spans="2:16" ht="20" customHeight="1" x14ac:dyDescent="0.2">
      <c r="K80" s="75"/>
    </row>
    <row r="81" spans="11:11" ht="20" customHeight="1" x14ac:dyDescent="0.2">
      <c r="K81" s="75"/>
    </row>
    <row r="82" spans="11:11" ht="20" customHeight="1" x14ac:dyDescent="0.2">
      <c r="K82" s="75"/>
    </row>
    <row r="83" spans="11:11" ht="20" customHeight="1" x14ac:dyDescent="0.2">
      <c r="K83" s="75"/>
    </row>
    <row r="84" spans="11:11" ht="20" customHeight="1" x14ac:dyDescent="0.2">
      <c r="K84" s="75"/>
    </row>
    <row r="85" spans="11:11" ht="20" customHeight="1" x14ac:dyDescent="0.2">
      <c r="K85" s="75"/>
    </row>
    <row r="86" spans="11:11" ht="20" customHeight="1" x14ac:dyDescent="0.2">
      <c r="K86" s="75"/>
    </row>
    <row r="87" spans="11:11" ht="20" customHeight="1" x14ac:dyDescent="0.2">
      <c r="K87" s="75"/>
    </row>
    <row r="88" spans="11:11" ht="20" customHeight="1" x14ac:dyDescent="0.2">
      <c r="K88" s="75"/>
    </row>
    <row r="89" spans="11:11" ht="20" customHeight="1" x14ac:dyDescent="0.2">
      <c r="K89" s="75"/>
    </row>
    <row r="90" spans="11:11" ht="20" customHeight="1" x14ac:dyDescent="0.2">
      <c r="K90" s="75"/>
    </row>
    <row r="91" spans="11:11" ht="20" customHeight="1" x14ac:dyDescent="0.2">
      <c r="K91" s="75"/>
    </row>
    <row r="92" spans="11:11" ht="20" customHeight="1" x14ac:dyDescent="0.2">
      <c r="K92" s="75"/>
    </row>
    <row r="93" spans="11:11" ht="20" customHeight="1" x14ac:dyDescent="0.2">
      <c r="K93" s="75"/>
    </row>
    <row r="94" spans="11:11" ht="20" customHeight="1" x14ac:dyDescent="0.2">
      <c r="K94" s="75"/>
    </row>
    <row r="95" spans="11:11" ht="20" customHeight="1" x14ac:dyDescent="0.2">
      <c r="K95" s="75"/>
    </row>
    <row r="96" spans="11:11" ht="20" customHeight="1" x14ac:dyDescent="0.2">
      <c r="K96" s="75"/>
    </row>
    <row r="97" spans="11:11" ht="20" customHeight="1" x14ac:dyDescent="0.2">
      <c r="K97" s="75"/>
    </row>
    <row r="98" spans="11:11" ht="20" customHeight="1" x14ac:dyDescent="0.2">
      <c r="K98" s="75"/>
    </row>
    <row r="99" spans="11:11" ht="20" customHeight="1" x14ac:dyDescent="0.2">
      <c r="K99" s="75"/>
    </row>
    <row r="100" spans="11:11" ht="20" customHeight="1" x14ac:dyDescent="0.2">
      <c r="K100" s="75"/>
    </row>
    <row r="101" spans="11:11" ht="20" customHeight="1" x14ac:dyDescent="0.2">
      <c r="K101" s="75"/>
    </row>
    <row r="102" spans="11:11" ht="20" customHeight="1" x14ac:dyDescent="0.2">
      <c r="K102" s="75"/>
    </row>
  </sheetData>
  <mergeCells count="2">
    <mergeCell ref="F6:H7"/>
    <mergeCell ref="I6:K7"/>
  </mergeCells>
  <phoneticPr fontId="8" type="noConversion"/>
  <pageMargins left="0.75" right="0.75" top="1" bottom="1" header="0.5" footer="0.5"/>
  <pageSetup scale="4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P102"/>
  <sheetViews>
    <sheetView showGridLines="0" topLeftCell="G1" workbookViewId="0">
      <selection activeCell="M14" sqref="M14"/>
    </sheetView>
  </sheetViews>
  <sheetFormatPr baseColWidth="10" defaultColWidth="15.83203125" defaultRowHeight="20" customHeight="1" x14ac:dyDescent="0.2"/>
  <cols>
    <col min="1" max="1" width="3.83203125" style="56" customWidth="1"/>
    <col min="2" max="2" width="20.83203125" style="56" customWidth="1"/>
    <col min="3" max="5" width="15.83203125" style="56"/>
    <col min="6" max="11" width="16" style="56" bestFit="1" customWidth="1"/>
    <col min="12" max="16384" width="15.83203125" style="56"/>
  </cols>
  <sheetData>
    <row r="2" spans="2:16" s="130" customFormat="1" ht="20" customHeight="1" x14ac:dyDescent="0.2">
      <c r="B2" s="51" t="s">
        <v>376</v>
      </c>
      <c r="C2" s="131"/>
      <c r="D2" s="131"/>
      <c r="E2" s="131"/>
      <c r="F2" s="131"/>
      <c r="G2" s="131"/>
      <c r="H2" s="131"/>
      <c r="I2" s="131"/>
      <c r="J2" s="131"/>
      <c r="K2" s="131"/>
      <c r="L2" s="132"/>
      <c r="M2" s="132"/>
      <c r="N2" s="132"/>
    </row>
    <row r="3" spans="2:16" s="130" customFormat="1" ht="20" customHeight="1" x14ac:dyDescent="0.2">
      <c r="B3" s="51" t="s">
        <v>345</v>
      </c>
      <c r="C3" s="131"/>
      <c r="D3" s="131"/>
      <c r="E3" s="131"/>
      <c r="F3" s="131"/>
      <c r="G3" s="131"/>
      <c r="H3" s="131"/>
      <c r="I3" s="131"/>
      <c r="J3" s="131"/>
      <c r="K3" s="131"/>
      <c r="L3" s="132"/>
      <c r="M3" s="132"/>
      <c r="N3" s="132"/>
    </row>
    <row r="4" spans="2:16" s="130" customFormat="1" ht="20" customHeight="1" x14ac:dyDescent="0.2">
      <c r="B4" s="51" t="s">
        <v>304</v>
      </c>
      <c r="C4" s="131"/>
      <c r="D4" s="131"/>
      <c r="E4" s="131"/>
      <c r="F4" s="131"/>
      <c r="G4" s="131"/>
      <c r="H4" s="131"/>
      <c r="I4" s="131"/>
      <c r="J4" s="131"/>
      <c r="K4" s="131"/>
      <c r="L4" s="132"/>
      <c r="M4" s="132"/>
      <c r="N4" s="132"/>
    </row>
    <row r="5" spans="2:16" s="130" customFormat="1" ht="20" customHeight="1" x14ac:dyDescent="0.2">
      <c r="B5" s="51" t="s">
        <v>301</v>
      </c>
      <c r="C5" s="131"/>
      <c r="D5" s="131"/>
      <c r="E5" s="131"/>
      <c r="F5" s="131"/>
      <c r="G5" s="131"/>
      <c r="H5" s="131"/>
      <c r="I5" s="131"/>
      <c r="J5" s="131"/>
      <c r="K5" s="131"/>
      <c r="L5" s="133"/>
      <c r="M5" s="133"/>
      <c r="N5" s="133"/>
    </row>
    <row r="6" spans="2:16" ht="20" customHeight="1" x14ac:dyDescent="0.2">
      <c r="B6" s="134"/>
      <c r="C6" s="134"/>
      <c r="D6" s="134"/>
      <c r="E6" s="134"/>
      <c r="F6" s="266" t="s">
        <v>240</v>
      </c>
      <c r="G6" s="267"/>
      <c r="H6" s="268"/>
      <c r="I6" s="266" t="s">
        <v>174</v>
      </c>
      <c r="J6" s="267"/>
      <c r="K6" s="267"/>
    </row>
    <row r="7" spans="2:16" ht="20" customHeight="1" x14ac:dyDescent="0.2">
      <c r="B7" s="68"/>
      <c r="C7" s="68"/>
      <c r="D7" s="68"/>
      <c r="E7" s="68"/>
      <c r="F7" s="269"/>
      <c r="G7" s="270"/>
      <c r="H7" s="271"/>
      <c r="I7" s="269"/>
      <c r="J7" s="270"/>
      <c r="K7" s="270"/>
    </row>
    <row r="8" spans="2:16" ht="20" customHeight="1" thickBot="1" x14ac:dyDescent="0.25">
      <c r="B8" s="135" t="s">
        <v>305</v>
      </c>
      <c r="C8" s="135"/>
      <c r="D8" s="135"/>
      <c r="E8" s="135"/>
      <c r="F8" s="136">
        <f>+F10+F57</f>
        <v>6202573120.785408</v>
      </c>
      <c r="G8" s="114">
        <f>F8/Page2!$F8</f>
        <v>0.32922333308425927</v>
      </c>
      <c r="H8" s="137">
        <f>G10*H10+G57*H57</f>
        <v>3.2582891586355021</v>
      </c>
      <c r="I8" s="136">
        <f>+I10+I57</f>
        <v>3582502648.5187831</v>
      </c>
      <c r="J8" s="114">
        <f>I8/Page2!$F8</f>
        <v>0.19015389899654933</v>
      </c>
      <c r="K8" s="138">
        <f>J10*K10+J57*K57</f>
        <v>3.1340364375633025</v>
      </c>
    </row>
    <row r="9" spans="2:16" ht="20" customHeight="1" thickTop="1" x14ac:dyDescent="0.2">
      <c r="B9" s="62"/>
      <c r="C9" s="62"/>
      <c r="D9" s="62"/>
      <c r="E9" s="62"/>
      <c r="F9" s="139"/>
      <c r="G9" s="131"/>
      <c r="H9" s="140"/>
      <c r="I9" s="131"/>
      <c r="J9" s="131"/>
      <c r="K9" s="131"/>
    </row>
    <row r="10" spans="2:16" ht="20" customHeight="1" x14ac:dyDescent="0.2">
      <c r="B10" s="141" t="s">
        <v>259</v>
      </c>
      <c r="C10" s="141"/>
      <c r="D10" s="141"/>
      <c r="E10" s="141"/>
      <c r="F10" s="142">
        <f>+F12+F34</f>
        <v>6171072154.7254572</v>
      </c>
      <c r="G10" s="115">
        <f>F10/F$8</f>
        <v>0.99492130677921586</v>
      </c>
      <c r="H10" s="143">
        <f>G12*H12+G34*H34</f>
        <v>3.2698782169407457</v>
      </c>
      <c r="I10" s="142">
        <f>+I12+I34</f>
        <v>3563902636.9116893</v>
      </c>
      <c r="J10" s="115">
        <f>I10/I$8</f>
        <v>0.99480809550419058</v>
      </c>
      <c r="K10" s="144">
        <f>J12*K12+J34*K34</f>
        <v>3.1486304958253366</v>
      </c>
    </row>
    <row r="11" spans="2:16" ht="20" customHeight="1" x14ac:dyDescent="0.2">
      <c r="B11" s="62"/>
      <c r="C11" s="62"/>
      <c r="D11" s="62"/>
      <c r="E11" s="62"/>
      <c r="F11" s="139"/>
      <c r="G11" s="131"/>
      <c r="H11" s="140"/>
      <c r="I11" s="131"/>
      <c r="J11" s="131"/>
      <c r="K11" s="131"/>
    </row>
    <row r="12" spans="2:16" ht="20" customHeight="1" x14ac:dyDescent="0.2">
      <c r="B12" s="49" t="s">
        <v>260</v>
      </c>
      <c r="C12" s="49"/>
      <c r="D12" s="49"/>
      <c r="E12" s="49"/>
      <c r="F12" s="145">
        <f>+F14+F23</f>
        <v>1474074807.4361346</v>
      </c>
      <c r="G12" s="129">
        <f>IF(F$10=0,0,F12/F$10)</f>
        <v>0.23886850947081725</v>
      </c>
      <c r="H12" s="146">
        <f>G14*H14+G23*H23</f>
        <v>2.1326501741113155</v>
      </c>
      <c r="I12" s="147">
        <f>+I14+I23</f>
        <v>45064890.829069868</v>
      </c>
      <c r="J12" s="129">
        <f>IF(I$10=0,0,I12/I$10)</f>
        <v>1.2644815366819613E-2</v>
      </c>
      <c r="K12" s="148">
        <f>J14*K14+J23*K23</f>
        <v>3.1221184435193146</v>
      </c>
    </row>
    <row r="13" spans="2:16" ht="20" customHeight="1" x14ac:dyDescent="0.2">
      <c r="B13" s="149"/>
      <c r="C13" s="149"/>
      <c r="D13" s="149"/>
      <c r="E13" s="149"/>
      <c r="F13" s="150"/>
      <c r="G13" s="117" t="str">
        <f>IF(F13="","",F13/F$12)</f>
        <v/>
      </c>
      <c r="H13" s="151"/>
      <c r="I13" s="152"/>
      <c r="J13" s="117" t="str">
        <f>IF(I13="","",I13/I$12)</f>
        <v/>
      </c>
      <c r="K13" s="153"/>
    </row>
    <row r="14" spans="2:16" ht="20" customHeight="1" x14ac:dyDescent="0.2">
      <c r="B14" s="154" t="s">
        <v>261</v>
      </c>
      <c r="C14" s="154"/>
      <c r="D14" s="154"/>
      <c r="E14" s="154"/>
      <c r="F14" s="155">
        <f>SUM(F15:F21)</f>
        <v>18767571.830518715</v>
      </c>
      <c r="G14" s="121">
        <f>IF(F$12=0,0,F14/F$12)</f>
        <v>1.2731763500633488E-2</v>
      </c>
      <c r="H14" s="156">
        <f>IF(ISERROR(SUMPRODUCT(G15:G21,H15:H21)),0,SUMPRODUCT(G15:G21,H15:H21))</f>
        <v>1.8669212178508936</v>
      </c>
      <c r="I14" s="157">
        <f>SUM(I15:I21)</f>
        <v>17457787.945517544</v>
      </c>
      <c r="J14" s="121">
        <f>IF(I$12=0,0,I14/I$12)</f>
        <v>0.387392216520274</v>
      </c>
      <c r="K14" s="158">
        <f>IF(ISERROR(SUMPRODUCT(J15:J21,K15:K21)),0,SUMPRODUCT(J15:J21,K15:K21))</f>
        <v>5.8113026878901068E-2</v>
      </c>
      <c r="M14" s="166">
        <v>43.310583333333334</v>
      </c>
    </row>
    <row r="15" spans="2:16" ht="20" customHeight="1" x14ac:dyDescent="0.2">
      <c r="B15" s="159" t="s">
        <v>262</v>
      </c>
      <c r="C15" s="159"/>
      <c r="D15" s="159"/>
      <c r="E15" s="159"/>
      <c r="F15" s="160">
        <f>M15</f>
        <v>11003471.344224948</v>
      </c>
      <c r="G15" s="117">
        <f t="shared" ref="G15:G21" si="0">IF(F15="","",IF(F$14=0,0,F15/F$14))</f>
        <v>0.58630234340341003</v>
      </c>
      <c r="H15" s="161">
        <v>6.0404681481234196E-4</v>
      </c>
      <c r="I15" s="162">
        <f>P15</f>
        <v>177848.15528152278</v>
      </c>
      <c r="J15" s="117">
        <f t="shared" ref="J15:J21" si="1">IF(I15="","",IF(I$14=0,0,I15/I$14))</f>
        <v>1.0187324753660272E-2</v>
      </c>
      <c r="K15" s="163">
        <v>2.7947088707712616E-2</v>
      </c>
      <c r="M15" s="56">
        <v>11003471.344224948</v>
      </c>
      <c r="P15" s="56">
        <v>177848.15528152278</v>
      </c>
    </row>
    <row r="16" spans="2:16" ht="20" customHeight="1" x14ac:dyDescent="0.2">
      <c r="B16" s="159" t="s">
        <v>263</v>
      </c>
      <c r="C16" s="159"/>
      <c r="D16" s="159"/>
      <c r="E16" s="159"/>
      <c r="F16" s="160">
        <f t="shared" ref="F16:F21" si="2">M16</f>
        <v>0</v>
      </c>
      <c r="G16" s="117">
        <f t="shared" si="0"/>
        <v>0</v>
      </c>
      <c r="H16" s="161"/>
      <c r="I16" s="162">
        <f t="shared" ref="I16:I21" si="3">P16</f>
        <v>0</v>
      </c>
      <c r="J16" s="117">
        <f t="shared" si="1"/>
        <v>0</v>
      </c>
      <c r="K16" s="163"/>
      <c r="M16" s="56">
        <v>0</v>
      </c>
      <c r="P16" s="56">
        <v>0</v>
      </c>
    </row>
    <row r="17" spans="2:16" ht="20" customHeight="1" x14ac:dyDescent="0.2">
      <c r="B17" s="159" t="s">
        <v>264</v>
      </c>
      <c r="C17" s="159"/>
      <c r="D17" s="159"/>
      <c r="E17" s="159"/>
      <c r="F17" s="160">
        <f t="shared" si="2"/>
        <v>188318.21929589956</v>
      </c>
      <c r="G17" s="117">
        <f t="shared" si="0"/>
        <v>1.0034234636026148E-2</v>
      </c>
      <c r="H17" s="161">
        <v>0</v>
      </c>
      <c r="I17" s="162">
        <f t="shared" si="3"/>
        <v>3762546.2773340605</v>
      </c>
      <c r="J17" s="117">
        <f t="shared" si="1"/>
        <v>0.21552251001537287</v>
      </c>
      <c r="K17" s="163">
        <v>6.6306318340614595E-2</v>
      </c>
      <c r="M17" s="56">
        <v>188318.21929589956</v>
      </c>
      <c r="P17" s="56">
        <v>3762546.2773340605</v>
      </c>
    </row>
    <row r="18" spans="2:16" ht="20" customHeight="1" x14ac:dyDescent="0.2">
      <c r="B18" s="159" t="s">
        <v>265</v>
      </c>
      <c r="C18" s="159"/>
      <c r="D18" s="159"/>
      <c r="E18" s="159"/>
      <c r="F18" s="160">
        <f t="shared" si="2"/>
        <v>0</v>
      </c>
      <c r="G18" s="117">
        <f t="shared" si="0"/>
        <v>0</v>
      </c>
      <c r="H18" s="161"/>
      <c r="I18" s="162">
        <f t="shared" si="3"/>
        <v>41497.108597398255</v>
      </c>
      <c r="J18" s="117">
        <f t="shared" si="1"/>
        <v>2.3769969441090068E-3</v>
      </c>
      <c r="K18" s="163">
        <v>7.8306238117179128E-2</v>
      </c>
      <c r="M18" s="56">
        <v>0</v>
      </c>
      <c r="P18" s="56">
        <v>41497.108597398255</v>
      </c>
    </row>
    <row r="19" spans="2:16" ht="20" customHeight="1" x14ac:dyDescent="0.2">
      <c r="B19" s="159" t="s">
        <v>266</v>
      </c>
      <c r="C19" s="159"/>
      <c r="D19" s="159"/>
      <c r="E19" s="159"/>
      <c r="F19" s="160">
        <f t="shared" si="2"/>
        <v>402884.28409530385</v>
      </c>
      <c r="G19" s="117">
        <f t="shared" si="0"/>
        <v>2.1467043671582343E-2</v>
      </c>
      <c r="H19" s="161">
        <v>3.2171917754412389</v>
      </c>
      <c r="I19" s="162">
        <f t="shared" si="3"/>
        <v>120971.08643576337</v>
      </c>
      <c r="J19" s="117">
        <f t="shared" si="1"/>
        <v>6.9293479112755444E-3</v>
      </c>
      <c r="K19" s="163">
        <v>5.6443201096785147</v>
      </c>
      <c r="M19" s="56">
        <v>402884.28409530385</v>
      </c>
      <c r="P19" s="56">
        <v>120971.08643576337</v>
      </c>
    </row>
    <row r="20" spans="2:16" ht="20" customHeight="1" x14ac:dyDescent="0.2">
      <c r="B20" s="159" t="s">
        <v>267</v>
      </c>
      <c r="C20" s="159"/>
      <c r="D20" s="159"/>
      <c r="E20" s="159"/>
      <c r="F20" s="160">
        <f t="shared" si="2"/>
        <v>4319790.4648401942</v>
      </c>
      <c r="G20" s="117">
        <f t="shared" si="0"/>
        <v>0.23017311476680252</v>
      </c>
      <c r="H20" s="161">
        <v>7.8093545776000504</v>
      </c>
      <c r="I20" s="162">
        <f t="shared" si="3"/>
        <v>13212421.813759914</v>
      </c>
      <c r="J20" s="117">
        <f t="shared" si="1"/>
        <v>0.75682107349415539</v>
      </c>
      <c r="K20" s="163">
        <v>5.6026785575769298E-3</v>
      </c>
      <c r="M20" s="56">
        <v>4319790.4648401942</v>
      </c>
      <c r="P20" s="56">
        <v>13212421.813759914</v>
      </c>
    </row>
    <row r="21" spans="2:16" ht="20" customHeight="1" x14ac:dyDescent="0.2">
      <c r="B21" s="159" t="s">
        <v>268</v>
      </c>
      <c r="C21" s="159"/>
      <c r="D21" s="159"/>
      <c r="E21" s="159"/>
      <c r="F21" s="160">
        <f t="shared" si="2"/>
        <v>2853107.5180623676</v>
      </c>
      <c r="G21" s="117">
        <f t="shared" si="0"/>
        <v>0.15202326352217888</v>
      </c>
      <c r="H21" s="161">
        <v>0</v>
      </c>
      <c r="I21" s="162">
        <f t="shared" si="3"/>
        <v>142503.50410888798</v>
      </c>
      <c r="J21" s="117">
        <f t="shared" si="1"/>
        <v>8.1627468814270444E-3</v>
      </c>
      <c r="K21" s="163">
        <v>0</v>
      </c>
      <c r="M21" s="56">
        <v>2853107.5180623676</v>
      </c>
      <c r="P21" s="56">
        <v>142503.50410888798</v>
      </c>
    </row>
    <row r="22" spans="2:16" ht="20" customHeight="1" x14ac:dyDescent="0.2">
      <c r="B22" s="149"/>
      <c r="C22" s="149"/>
      <c r="D22" s="149"/>
      <c r="E22" s="149"/>
      <c r="F22" s="150"/>
      <c r="G22" s="117"/>
      <c r="H22" s="151"/>
      <c r="I22" s="152"/>
      <c r="J22" s="117"/>
      <c r="K22" s="153"/>
    </row>
    <row r="23" spans="2:16" ht="20" customHeight="1" x14ac:dyDescent="0.2">
      <c r="B23" s="154" t="s">
        <v>269</v>
      </c>
      <c r="C23" s="154"/>
      <c r="D23" s="154"/>
      <c r="E23" s="154"/>
      <c r="F23" s="155">
        <f>+SUM(F24:F32)</f>
        <v>1455307235.6056159</v>
      </c>
      <c r="G23" s="121">
        <f>IF(F$12=0,0,F23/F$12)</f>
        <v>0.98726823649936646</v>
      </c>
      <c r="H23" s="156">
        <f>IF(ISERROR(SUMPRODUCT(G24:G32,H24:H32)),0,SUMPRODUCT(G24:G32,H24:H32))</f>
        <v>2.1360770018986392</v>
      </c>
      <c r="I23" s="157">
        <f>+SUM(I24:I32)</f>
        <v>27607102.88355232</v>
      </c>
      <c r="J23" s="121">
        <f>IF(I$12=0,0,I23/I$12)</f>
        <v>0.61260778347972589</v>
      </c>
      <c r="K23" s="158">
        <f>IF(ISERROR(SUMPRODUCT(J24:J32,K24:K32)),0,SUMPRODUCT(J24:J32,K24:K32))</f>
        <v>5.0596907071954877</v>
      </c>
    </row>
    <row r="24" spans="2:16" ht="20" customHeight="1" x14ac:dyDescent="0.2">
      <c r="B24" s="159" t="s">
        <v>270</v>
      </c>
      <c r="C24" s="159"/>
      <c r="D24" s="159"/>
      <c r="E24" s="159"/>
      <c r="F24" s="160">
        <f>M24</f>
        <v>78706381.646364361</v>
      </c>
      <c r="G24" s="117">
        <f t="shared" ref="G24:G32" si="4">IF(F24="","",IF(F$23=0,0,F24/F$23))</f>
        <v>5.4082313150605105E-2</v>
      </c>
      <c r="H24" s="161">
        <v>0.87668029573070971</v>
      </c>
      <c r="I24" s="162">
        <f>P24</f>
        <v>7856785.0109769152</v>
      </c>
      <c r="J24" s="117">
        <f t="shared" ref="J24:J32" si="5">IF(I24="","",IF(I$23=0,0,I24/I$23))</f>
        <v>0.28459288336473032</v>
      </c>
      <c r="K24" s="163">
        <v>2.488051820085718</v>
      </c>
      <c r="M24" s="56">
        <v>78706381.646364361</v>
      </c>
      <c r="P24" s="56">
        <v>7856785.0109769152</v>
      </c>
    </row>
    <row r="25" spans="2:16" ht="20" customHeight="1" x14ac:dyDescent="0.2">
      <c r="B25" s="159" t="s">
        <v>271</v>
      </c>
      <c r="C25" s="159"/>
      <c r="D25" s="159"/>
      <c r="E25" s="159"/>
      <c r="F25" s="160">
        <f t="shared" ref="F25:F32" si="6">M25</f>
        <v>68686.538971421527</v>
      </c>
      <c r="G25" s="117">
        <f t="shared" si="4"/>
        <v>4.7197277173460977E-5</v>
      </c>
      <c r="H25" s="161">
        <v>0</v>
      </c>
      <c r="I25" s="162">
        <f t="shared" ref="I25:I32" si="7">P25</f>
        <v>0</v>
      </c>
      <c r="J25" s="117">
        <f t="shared" si="5"/>
        <v>0</v>
      </c>
      <c r="K25" s="163"/>
      <c r="M25" s="56">
        <v>68686.538971421527</v>
      </c>
      <c r="P25" s="56">
        <v>0</v>
      </c>
    </row>
    <row r="26" spans="2:16" ht="20" customHeight="1" x14ac:dyDescent="0.2">
      <c r="B26" s="159" t="s">
        <v>272</v>
      </c>
      <c r="C26" s="159"/>
      <c r="D26" s="159"/>
      <c r="E26" s="159"/>
      <c r="F26" s="160">
        <f t="shared" si="6"/>
        <v>78071.490840383514</v>
      </c>
      <c r="G26" s="117">
        <f t="shared" si="4"/>
        <v>5.3646054200984312E-5</v>
      </c>
      <c r="H26" s="161">
        <v>1.9948683914235304E-2</v>
      </c>
      <c r="I26" s="162">
        <f t="shared" si="7"/>
        <v>0</v>
      </c>
      <c r="J26" s="117">
        <f t="shared" si="5"/>
        <v>0</v>
      </c>
      <c r="K26" s="163"/>
      <c r="M26" s="56">
        <v>78071.490840383514</v>
      </c>
      <c r="P26" s="56">
        <v>0</v>
      </c>
    </row>
    <row r="27" spans="2:16" ht="20" customHeight="1" x14ac:dyDescent="0.2">
      <c r="B27" s="159" t="s">
        <v>273</v>
      </c>
      <c r="C27" s="159"/>
      <c r="D27" s="159"/>
      <c r="E27" s="159"/>
      <c r="F27" s="160">
        <f t="shared" si="6"/>
        <v>1046458590.0912594</v>
      </c>
      <c r="G27" s="117">
        <f t="shared" si="4"/>
        <v>0.71906368943172538</v>
      </c>
      <c r="H27" s="161">
        <v>2.0920984016609232</v>
      </c>
      <c r="I27" s="162">
        <f t="shared" si="7"/>
        <v>33.205740706178439</v>
      </c>
      <c r="J27" s="117">
        <f t="shared" si="5"/>
        <v>1.2027970064892851E-6</v>
      </c>
      <c r="K27" s="163">
        <v>0</v>
      </c>
      <c r="M27" s="56">
        <v>1046458590.0912594</v>
      </c>
      <c r="P27" s="56">
        <v>33.205740706178439</v>
      </c>
    </row>
    <row r="28" spans="2:16" ht="20" customHeight="1" x14ac:dyDescent="0.2">
      <c r="B28" s="159" t="s">
        <v>274</v>
      </c>
      <c r="C28" s="159"/>
      <c r="D28" s="159"/>
      <c r="E28" s="159"/>
      <c r="F28" s="160">
        <f t="shared" si="6"/>
        <v>112544955.1079701</v>
      </c>
      <c r="G28" s="117">
        <f t="shared" si="4"/>
        <v>7.7334154846784173E-2</v>
      </c>
      <c r="H28" s="161">
        <v>1.4857487924060671</v>
      </c>
      <c r="I28" s="162">
        <f t="shared" si="7"/>
        <v>19750284.666834701</v>
      </c>
      <c r="J28" s="117">
        <f t="shared" si="5"/>
        <v>0.71540591383826324</v>
      </c>
      <c r="K28" s="163">
        <v>6.0827130186964409</v>
      </c>
      <c r="M28" s="56">
        <v>112544955.1079701</v>
      </c>
      <c r="P28" s="56">
        <v>19750284.666834701</v>
      </c>
    </row>
    <row r="29" spans="2:16" ht="20" customHeight="1" x14ac:dyDescent="0.2">
      <c r="B29" s="159" t="s">
        <v>275</v>
      </c>
      <c r="C29" s="159"/>
      <c r="D29" s="159"/>
      <c r="E29" s="159"/>
      <c r="F29" s="160">
        <f t="shared" si="6"/>
        <v>122827326.45292626</v>
      </c>
      <c r="G29" s="117">
        <f t="shared" si="4"/>
        <v>8.4399584807817257E-2</v>
      </c>
      <c r="H29" s="161">
        <v>5.5063831820550186</v>
      </c>
      <c r="I29" s="162">
        <f t="shared" si="7"/>
        <v>0</v>
      </c>
      <c r="J29" s="117">
        <f t="shared" si="5"/>
        <v>0</v>
      </c>
      <c r="K29" s="163"/>
      <c r="M29" s="56">
        <v>122827326.45292626</v>
      </c>
      <c r="P29" s="56">
        <v>0</v>
      </c>
    </row>
    <row r="30" spans="2:16" ht="20" customHeight="1" x14ac:dyDescent="0.2">
      <c r="B30" s="159" t="s">
        <v>276</v>
      </c>
      <c r="C30" s="159"/>
      <c r="D30" s="159"/>
      <c r="E30" s="159"/>
      <c r="F30" s="160">
        <f t="shared" si="6"/>
        <v>170908.40368116339</v>
      </c>
      <c r="G30" s="117">
        <f t="shared" si="4"/>
        <v>1.1743802236373892E-4</v>
      </c>
      <c r="H30" s="161">
        <v>0.71845447518029859</v>
      </c>
      <c r="I30" s="162">
        <f t="shared" si="7"/>
        <v>0</v>
      </c>
      <c r="J30" s="117">
        <f t="shared" si="5"/>
        <v>0</v>
      </c>
      <c r="K30" s="163"/>
      <c r="M30" s="56">
        <v>170908.40368116339</v>
      </c>
      <c r="P30" s="56">
        <v>0</v>
      </c>
    </row>
    <row r="31" spans="2:16" ht="20" customHeight="1" x14ac:dyDescent="0.2">
      <c r="B31" s="159" t="s">
        <v>277</v>
      </c>
      <c r="C31" s="159"/>
      <c r="D31" s="159"/>
      <c r="E31" s="159"/>
      <c r="F31" s="160">
        <f t="shared" si="6"/>
        <v>42367604.412701271</v>
      </c>
      <c r="G31" s="117">
        <f t="shared" si="4"/>
        <v>2.9112481114731963E-2</v>
      </c>
      <c r="H31" s="161">
        <v>0.15770152557272527</v>
      </c>
      <c r="I31" s="162">
        <f t="shared" si="7"/>
        <v>0</v>
      </c>
      <c r="J31" s="117">
        <f t="shared" si="5"/>
        <v>0</v>
      </c>
      <c r="K31" s="163"/>
      <c r="M31" s="56">
        <v>42367604.412701271</v>
      </c>
      <c r="P31" s="56">
        <v>0</v>
      </c>
    </row>
    <row r="32" spans="2:16" ht="20" customHeight="1" x14ac:dyDescent="0.2">
      <c r="B32" s="159" t="s">
        <v>278</v>
      </c>
      <c r="C32" s="159"/>
      <c r="D32" s="159"/>
      <c r="E32" s="159"/>
      <c r="F32" s="160">
        <f t="shared" si="6"/>
        <v>52084711.460901588</v>
      </c>
      <c r="G32" s="117">
        <f t="shared" si="4"/>
        <v>3.5789495294597982E-2</v>
      </c>
      <c r="H32" s="161">
        <v>0</v>
      </c>
      <c r="I32" s="162">
        <f t="shared" si="7"/>
        <v>0</v>
      </c>
      <c r="J32" s="117">
        <f t="shared" si="5"/>
        <v>0</v>
      </c>
      <c r="K32" s="163"/>
      <c r="M32" s="56">
        <v>52084711.460901588</v>
      </c>
      <c r="P32" s="56">
        <v>0</v>
      </c>
    </row>
    <row r="33" spans="2:16" ht="20" customHeight="1" x14ac:dyDescent="0.2">
      <c r="B33" s="149"/>
      <c r="C33" s="149"/>
      <c r="D33" s="149"/>
      <c r="E33" s="149"/>
      <c r="F33" s="150"/>
      <c r="G33" s="117"/>
      <c r="H33" s="151"/>
      <c r="I33" s="152"/>
      <c r="J33" s="117"/>
      <c r="K33" s="153"/>
    </row>
    <row r="34" spans="2:16" ht="20" customHeight="1" x14ac:dyDescent="0.2">
      <c r="B34" s="49" t="s">
        <v>279</v>
      </c>
      <c r="C34" s="49"/>
      <c r="D34" s="49"/>
      <c r="E34" s="49"/>
      <c r="F34" s="145">
        <f>+F36+F48</f>
        <v>4696997347.2893229</v>
      </c>
      <c r="G34" s="129">
        <f>IF(F$10=0,0,F34/F$10)</f>
        <v>0.76113149052918272</v>
      </c>
      <c r="H34" s="146">
        <f>G36*H36+G48*H48</f>
        <v>3.6267783989713371</v>
      </c>
      <c r="I34" s="147">
        <f>+I36+I48</f>
        <v>3518837746.0826192</v>
      </c>
      <c r="J34" s="129">
        <f>IF(I$10=0,0,I34/I$10)</f>
        <v>0.98735518463318028</v>
      </c>
      <c r="K34" s="148">
        <f>J36*K36+J48*K48</f>
        <v>3.148970029168173</v>
      </c>
    </row>
    <row r="35" spans="2:16" ht="20" customHeight="1" x14ac:dyDescent="0.2">
      <c r="B35" s="149"/>
      <c r="C35" s="149"/>
      <c r="D35" s="149"/>
      <c r="E35" s="149"/>
      <c r="F35" s="150"/>
      <c r="G35" s="117"/>
      <c r="H35" s="151"/>
      <c r="I35" s="152"/>
      <c r="J35" s="117"/>
      <c r="K35" s="153"/>
    </row>
    <row r="36" spans="2:16" ht="20" customHeight="1" x14ac:dyDescent="0.2">
      <c r="B36" s="154" t="s">
        <v>261</v>
      </c>
      <c r="C36" s="154"/>
      <c r="D36" s="154"/>
      <c r="E36" s="154"/>
      <c r="F36" s="155">
        <f>SUM(F37:F46)</f>
        <v>774322832.79683387</v>
      </c>
      <c r="G36" s="121">
        <f>IF(F$34=0,0,F36/F$34)</f>
        <v>0.16485485844349096</v>
      </c>
      <c r="H36" s="156">
        <f>IF(ISERROR(SUMPRODUCT(G37:G46,H37:H46)),0,SUMPRODUCT(G37:G46,H37:H46))</f>
        <v>5.8162283103816019</v>
      </c>
      <c r="I36" s="157">
        <f>SUM(I37:I46)</f>
        <v>400679937.8244347</v>
      </c>
      <c r="J36" s="121">
        <f>IF(I$34=0,0,I36/I$34)</f>
        <v>0.11386712509563579</v>
      </c>
      <c r="K36" s="158">
        <f>IF(ISERROR(SUMPRODUCT(J37:J46,K37:K46)),0,SUMPRODUCT(J37:J46,K37:K46))</f>
        <v>6.2016825485509273</v>
      </c>
    </row>
    <row r="37" spans="2:16" ht="20" customHeight="1" x14ac:dyDescent="0.2">
      <c r="B37" s="159" t="s">
        <v>280</v>
      </c>
      <c r="C37" s="159"/>
      <c r="D37" s="159"/>
      <c r="E37" s="159"/>
      <c r="F37" s="160">
        <f>M37</f>
        <v>604152839.56915855</v>
      </c>
      <c r="G37" s="117">
        <f t="shared" ref="G37:G46" si="8">IF(F37="","",IF(F$36=0,0,F37/F$36))</f>
        <v>0.78023379135931492</v>
      </c>
      <c r="H37" s="161">
        <v>6.5442822417124216</v>
      </c>
      <c r="I37" s="162">
        <f>P37</f>
        <v>304206264.91146314</v>
      </c>
      <c r="J37" s="117">
        <f t="shared" ref="J37:J46" si="9">IF(I37="","",IF(I$36=0,0,I37/I$36))</f>
        <v>0.75922509762581802</v>
      </c>
      <c r="K37" s="163">
        <v>6.9350421454314208</v>
      </c>
      <c r="M37" s="56">
        <v>604152839.56915855</v>
      </c>
      <c r="P37" s="56">
        <v>304206264.91146314</v>
      </c>
    </row>
    <row r="38" spans="2:16" ht="20" customHeight="1" x14ac:dyDescent="0.2">
      <c r="B38" s="159" t="s">
        <v>281</v>
      </c>
      <c r="C38" s="159"/>
      <c r="D38" s="159"/>
      <c r="E38" s="159"/>
      <c r="F38" s="160">
        <f t="shared" ref="F38:F46" si="10">M38</f>
        <v>3667624.1337471404</v>
      </c>
      <c r="G38" s="117">
        <f t="shared" si="8"/>
        <v>4.7365568706010872E-3</v>
      </c>
      <c r="H38" s="161">
        <v>2.9859795036689656</v>
      </c>
      <c r="I38" s="162">
        <f t="shared" ref="I38:I46" si="11">P38</f>
        <v>1056733.8993740946</v>
      </c>
      <c r="J38" s="117">
        <f t="shared" si="9"/>
        <v>2.6373516605593616E-3</v>
      </c>
      <c r="K38" s="163">
        <v>5.6235661772404519</v>
      </c>
      <c r="M38" s="56">
        <v>3667624.1337471404</v>
      </c>
      <c r="P38" s="56">
        <v>1056733.8993740946</v>
      </c>
    </row>
    <row r="39" spans="2:16" ht="20" customHeight="1" x14ac:dyDescent="0.2">
      <c r="B39" s="159" t="s">
        <v>282</v>
      </c>
      <c r="C39" s="159"/>
      <c r="D39" s="159"/>
      <c r="E39" s="159"/>
      <c r="F39" s="160">
        <f t="shared" si="10"/>
        <v>536379.05939079553</v>
      </c>
      <c r="G39" s="117">
        <f t="shared" si="8"/>
        <v>6.9270727488870293E-4</v>
      </c>
      <c r="H39" s="161">
        <v>1.5099516843951128</v>
      </c>
      <c r="I39" s="162">
        <f t="shared" si="11"/>
        <v>3690677.0816216962</v>
      </c>
      <c r="J39" s="117">
        <f t="shared" si="9"/>
        <v>9.2110353756689328E-3</v>
      </c>
      <c r="K39" s="163">
        <v>0.46658311868991414</v>
      </c>
      <c r="M39" s="56">
        <v>536379.05939079553</v>
      </c>
      <c r="P39" s="56">
        <v>3690677.0816216962</v>
      </c>
    </row>
    <row r="40" spans="2:16" ht="20" customHeight="1" x14ac:dyDescent="0.2">
      <c r="B40" s="159" t="s">
        <v>283</v>
      </c>
      <c r="C40" s="159"/>
      <c r="D40" s="159"/>
      <c r="E40" s="159"/>
      <c r="F40" s="160">
        <f t="shared" si="10"/>
        <v>19856544.965722382</v>
      </c>
      <c r="G40" s="117">
        <f t="shared" si="8"/>
        <v>2.5643754936169272E-2</v>
      </c>
      <c r="H40" s="161">
        <v>2.5167052664780769</v>
      </c>
      <c r="I40" s="162">
        <f t="shared" si="11"/>
        <v>13216588.264916003</v>
      </c>
      <c r="J40" s="117">
        <f t="shared" si="9"/>
        <v>3.2985400608470432E-2</v>
      </c>
      <c r="K40" s="163">
        <v>2.0766819212760335</v>
      </c>
      <c r="M40" s="56">
        <v>19856544.965722382</v>
      </c>
      <c r="P40" s="56">
        <v>13216588.264916003</v>
      </c>
    </row>
    <row r="41" spans="2:16" ht="20" customHeight="1" x14ac:dyDescent="0.2">
      <c r="B41" s="159" t="s">
        <v>284</v>
      </c>
      <c r="C41" s="159"/>
      <c r="D41" s="159"/>
      <c r="E41" s="159"/>
      <c r="F41" s="160">
        <f t="shared" si="10"/>
        <v>2380871.6713967142</v>
      </c>
      <c r="G41" s="117">
        <f t="shared" si="8"/>
        <v>3.074779110925953E-3</v>
      </c>
      <c r="H41" s="161">
        <v>3.9098054825315889</v>
      </c>
      <c r="I41" s="162">
        <f t="shared" si="11"/>
        <v>6976947.8421555934</v>
      </c>
      <c r="J41" s="117">
        <f t="shared" si="9"/>
        <v>1.7412770601987742E-2</v>
      </c>
      <c r="K41" s="163">
        <v>2.1781465680849088</v>
      </c>
      <c r="M41" s="56">
        <v>2380871.6713967142</v>
      </c>
      <c r="P41" s="56">
        <v>6976947.8421555934</v>
      </c>
    </row>
    <row r="42" spans="2:16" ht="20" customHeight="1" x14ac:dyDescent="0.2">
      <c r="B42" s="159" t="s">
        <v>285</v>
      </c>
      <c r="C42" s="159"/>
      <c r="D42" s="159"/>
      <c r="E42" s="159"/>
      <c r="F42" s="160">
        <f t="shared" si="10"/>
        <v>13897581.724482276</v>
      </c>
      <c r="G42" s="117">
        <f t="shared" si="8"/>
        <v>1.794804587420543E-2</v>
      </c>
      <c r="H42" s="161">
        <v>5.3399012073015539</v>
      </c>
      <c r="I42" s="162">
        <f t="shared" si="11"/>
        <v>8057089.4124030489</v>
      </c>
      <c r="J42" s="117">
        <f t="shared" si="9"/>
        <v>2.010854213502801E-2</v>
      </c>
      <c r="K42" s="163">
        <v>4.2978825889321692</v>
      </c>
      <c r="M42" s="56">
        <v>13897581.724482276</v>
      </c>
      <c r="P42" s="56">
        <v>8057089.4124030489</v>
      </c>
    </row>
    <row r="43" spans="2:16" ht="20" customHeight="1" x14ac:dyDescent="0.2">
      <c r="B43" s="159" t="s">
        <v>286</v>
      </c>
      <c r="C43" s="159"/>
      <c r="D43" s="159"/>
      <c r="E43" s="159"/>
      <c r="F43" s="160">
        <f t="shared" si="10"/>
        <v>22429608.773990959</v>
      </c>
      <c r="G43" s="117">
        <f t="shared" si="8"/>
        <v>2.8966740775260104E-2</v>
      </c>
      <c r="H43" s="161">
        <v>5.2382116509455212</v>
      </c>
      <c r="I43" s="162">
        <f t="shared" si="11"/>
        <v>29826259.660090782</v>
      </c>
      <c r="J43" s="117">
        <f t="shared" si="9"/>
        <v>7.4439114226776459E-2</v>
      </c>
      <c r="K43" s="163">
        <v>5.1246713397903827</v>
      </c>
      <c r="M43" s="56">
        <v>22429608.773990959</v>
      </c>
      <c r="P43" s="56">
        <v>29826259.660090782</v>
      </c>
    </row>
    <row r="44" spans="2:16" ht="20" customHeight="1" x14ac:dyDescent="0.2">
      <c r="B44" s="159" t="s">
        <v>287</v>
      </c>
      <c r="C44" s="159"/>
      <c r="D44" s="159"/>
      <c r="E44" s="159"/>
      <c r="F44" s="160">
        <f t="shared" si="10"/>
        <v>98890466.071687669</v>
      </c>
      <c r="G44" s="117">
        <f t="shared" si="8"/>
        <v>0.12771219171530546</v>
      </c>
      <c r="H44" s="161">
        <v>2.8414376324265755</v>
      </c>
      <c r="I44" s="162">
        <f t="shared" si="11"/>
        <v>24345162.410419311</v>
      </c>
      <c r="J44" s="117">
        <f t="shared" si="9"/>
        <v>6.0759624109472117E-2</v>
      </c>
      <c r="K44" s="163">
        <v>4.3033256176508718</v>
      </c>
      <c r="M44" s="56">
        <v>98890466.071687669</v>
      </c>
      <c r="P44" s="56">
        <v>24345162.410419311</v>
      </c>
    </row>
    <row r="45" spans="2:16" ht="20" customHeight="1" x14ac:dyDescent="0.2">
      <c r="B45" s="159" t="s">
        <v>288</v>
      </c>
      <c r="C45" s="159"/>
      <c r="D45" s="159"/>
      <c r="E45" s="159"/>
      <c r="F45" s="160">
        <f t="shared" si="10"/>
        <v>939840.65180373541</v>
      </c>
      <c r="G45" s="117">
        <f t="shared" si="8"/>
        <v>1.2137581535714961E-3</v>
      </c>
      <c r="H45" s="161">
        <v>1.2980082408144886</v>
      </c>
      <c r="I45" s="162">
        <f t="shared" si="11"/>
        <v>4756932.3985861801</v>
      </c>
      <c r="J45" s="117">
        <f t="shared" si="9"/>
        <v>1.1872150186542451E-2</v>
      </c>
      <c r="K45" s="163">
        <v>4.0627626154469709</v>
      </c>
      <c r="M45" s="56">
        <v>939840.65180373541</v>
      </c>
      <c r="P45" s="56">
        <v>4756932.3985861801</v>
      </c>
    </row>
    <row r="46" spans="2:16" ht="20" customHeight="1" x14ac:dyDescent="0.2">
      <c r="B46" s="159" t="s">
        <v>289</v>
      </c>
      <c r="C46" s="159"/>
      <c r="D46" s="159"/>
      <c r="E46" s="159"/>
      <c r="F46" s="160">
        <f t="shared" si="10"/>
        <v>7571076.1754536517</v>
      </c>
      <c r="G46" s="117">
        <f t="shared" si="8"/>
        <v>9.7776739297575944E-3</v>
      </c>
      <c r="H46" s="161">
        <v>0.65178907360566385</v>
      </c>
      <c r="I46" s="162">
        <f t="shared" si="11"/>
        <v>4547281.9434049027</v>
      </c>
      <c r="J46" s="117">
        <f t="shared" si="9"/>
        <v>1.1348913469676583E-2</v>
      </c>
      <c r="K46" s="163">
        <v>2.9311518349504793</v>
      </c>
      <c r="M46" s="56">
        <v>7571076.1754536517</v>
      </c>
      <c r="P46" s="56">
        <v>4547281.9434049027</v>
      </c>
    </row>
    <row r="47" spans="2:16" ht="20" customHeight="1" x14ac:dyDescent="0.2">
      <c r="B47" s="149"/>
      <c r="C47" s="149"/>
      <c r="D47" s="149"/>
      <c r="E47" s="149"/>
      <c r="F47" s="150"/>
      <c r="G47" s="117"/>
      <c r="H47" s="151"/>
      <c r="I47" s="152"/>
      <c r="J47" s="117"/>
      <c r="K47" s="153"/>
    </row>
    <row r="48" spans="2:16" ht="20" customHeight="1" x14ac:dyDescent="0.2">
      <c r="B48" s="154" t="s">
        <v>269</v>
      </c>
      <c r="C48" s="154"/>
      <c r="D48" s="154"/>
      <c r="E48" s="154"/>
      <c r="F48" s="155">
        <f>+SUM(F49:F54)</f>
        <v>3922674514.4924893</v>
      </c>
      <c r="G48" s="121">
        <f>IF(F$34=0,0,F48/F$34)</f>
        <v>0.8351451415565091</v>
      </c>
      <c r="H48" s="156">
        <f>IF(ISERROR(SUMPRODUCT(G49:G55,H49:H55)),0,SUMPRODUCT(G49:G55,H49:H55))</f>
        <v>3.1945883073880399</v>
      </c>
      <c r="I48" s="157">
        <f>+SUM(I49:I54)</f>
        <v>3118157808.2581844</v>
      </c>
      <c r="J48" s="121">
        <f>IF(I$34=0,0,I48/I$34)</f>
        <v>0.88613287490436421</v>
      </c>
      <c r="K48" s="158">
        <f>IF(ISERROR(SUMPRODUCT(J49:J55,K49:K55)),0,SUMPRODUCT(J49:J55,K49:K55))</f>
        <v>2.7566997408515541</v>
      </c>
    </row>
    <row r="49" spans="2:16" ht="20" customHeight="1" x14ac:dyDescent="0.2">
      <c r="B49" s="159" t="s">
        <v>290</v>
      </c>
      <c r="C49" s="159"/>
      <c r="D49" s="159"/>
      <c r="E49" s="159"/>
      <c r="F49" s="160">
        <f>M49</f>
        <v>136736957.16497311</v>
      </c>
      <c r="G49" s="117">
        <f t="shared" ref="G49:G54" si="12">IF(F49="","",IF(F$48=0,0,F49/F$48))</f>
        <v>3.485809405286943E-2</v>
      </c>
      <c r="H49" s="161">
        <v>3.3483818757190038</v>
      </c>
      <c r="I49" s="162">
        <f>P49</f>
        <v>863228936.54391479</v>
      </c>
      <c r="J49" s="117">
        <f t="shared" ref="J49:J54" si="13">IF(I49="","",IF(I$48=0,0,I49/I$48))</f>
        <v>0.27683939993598911</v>
      </c>
      <c r="K49" s="163">
        <v>1.7360603155597916</v>
      </c>
      <c r="M49" s="56">
        <v>136736957.16497311</v>
      </c>
      <c r="P49" s="56">
        <v>863228936.54391479</v>
      </c>
    </row>
    <row r="50" spans="2:16" ht="20" customHeight="1" x14ac:dyDescent="0.2">
      <c r="B50" s="159" t="s">
        <v>291</v>
      </c>
      <c r="C50" s="159"/>
      <c r="D50" s="159"/>
      <c r="E50" s="159"/>
      <c r="F50" s="160">
        <f t="shared" ref="F50:F54" si="14">M50</f>
        <v>3084835397.7865272</v>
      </c>
      <c r="G50" s="117">
        <f t="shared" si="12"/>
        <v>0.78641125752072227</v>
      </c>
      <c r="H50" s="161">
        <v>3.5048740104153242</v>
      </c>
      <c r="I50" s="162">
        <f t="shared" ref="I50:I54" si="15">P50</f>
        <v>2099283012.4747844</v>
      </c>
      <c r="J50" s="117">
        <f t="shared" si="13"/>
        <v>0.67324463403199353</v>
      </c>
      <c r="K50" s="163">
        <v>3.1509152791692783</v>
      </c>
      <c r="M50" s="56">
        <v>3084835397.7865272</v>
      </c>
      <c r="P50" s="56">
        <v>2099283012.4747844</v>
      </c>
    </row>
    <row r="51" spans="2:16" ht="20" customHeight="1" x14ac:dyDescent="0.2">
      <c r="B51" s="159" t="s">
        <v>292</v>
      </c>
      <c r="C51" s="159"/>
      <c r="D51" s="159"/>
      <c r="E51" s="159"/>
      <c r="F51" s="160">
        <f t="shared" si="14"/>
        <v>47019524.970070839</v>
      </c>
      <c r="G51" s="117">
        <f t="shared" si="12"/>
        <v>1.1986598632222782E-2</v>
      </c>
      <c r="H51" s="161">
        <v>1.3400980306116372</v>
      </c>
      <c r="I51" s="162">
        <f t="shared" si="15"/>
        <v>68164301.744184881</v>
      </c>
      <c r="J51" s="117">
        <f t="shared" si="13"/>
        <v>2.186044002123861E-2</v>
      </c>
      <c r="K51" s="163">
        <v>3.0816119020782358</v>
      </c>
      <c r="M51" s="56">
        <v>47019524.970070839</v>
      </c>
      <c r="P51" s="56">
        <v>68164301.744184881</v>
      </c>
    </row>
    <row r="52" spans="2:16" ht="20" customHeight="1" x14ac:dyDescent="0.2">
      <c r="B52" s="159" t="s">
        <v>293</v>
      </c>
      <c r="C52" s="159"/>
      <c r="D52" s="159"/>
      <c r="E52" s="159"/>
      <c r="F52" s="160">
        <f t="shared" si="14"/>
        <v>653481509.26397812</v>
      </c>
      <c r="G52" s="117">
        <f t="shared" si="12"/>
        <v>0.16659080605583323</v>
      </c>
      <c r="H52" s="161">
        <v>1.8310871136658924</v>
      </c>
      <c r="I52" s="162">
        <f t="shared" si="15"/>
        <v>75182532.506642967</v>
      </c>
      <c r="J52" s="117">
        <f t="shared" si="13"/>
        <v>2.4111201911438934E-2</v>
      </c>
      <c r="K52" s="163">
        <v>3.3182974062513164</v>
      </c>
      <c r="M52" s="56">
        <v>653481509.26397812</v>
      </c>
      <c r="P52" s="56">
        <v>75182532.506642967</v>
      </c>
    </row>
    <row r="53" spans="2:16" ht="20" customHeight="1" x14ac:dyDescent="0.2">
      <c r="B53" s="159" t="s">
        <v>294</v>
      </c>
      <c r="C53" s="159"/>
      <c r="D53" s="159"/>
      <c r="E53" s="159"/>
      <c r="F53" s="160">
        <f t="shared" si="14"/>
        <v>421933.7546057835</v>
      </c>
      <c r="G53" s="117">
        <f t="shared" si="12"/>
        <v>1.0756277459343903E-4</v>
      </c>
      <c r="H53" s="161">
        <v>3.5135803455252659</v>
      </c>
      <c r="I53" s="162">
        <f t="shared" si="15"/>
        <v>6829655.037048297</v>
      </c>
      <c r="J53" s="117">
        <f t="shared" si="13"/>
        <v>2.190285244371057E-3</v>
      </c>
      <c r="K53" s="163">
        <v>1.2916655813143958</v>
      </c>
      <c r="M53" s="56">
        <v>421933.7546057835</v>
      </c>
      <c r="P53" s="56">
        <v>6829655.037048297</v>
      </c>
    </row>
    <row r="54" spans="2:16" ht="20" customHeight="1" x14ac:dyDescent="0.2">
      <c r="B54" s="159" t="s">
        <v>295</v>
      </c>
      <c r="C54" s="159"/>
      <c r="D54" s="159"/>
      <c r="E54" s="159"/>
      <c r="F54" s="160">
        <f t="shared" si="14"/>
        <v>179191.55233420621</v>
      </c>
      <c r="G54" s="117">
        <f t="shared" si="12"/>
        <v>4.5680963758827128E-5</v>
      </c>
      <c r="H54" s="161">
        <v>2.5019866469810568</v>
      </c>
      <c r="I54" s="162">
        <f t="shared" si="15"/>
        <v>5469369.951609212</v>
      </c>
      <c r="J54" s="117">
        <f t="shared" si="13"/>
        <v>1.7540388549688009E-3</v>
      </c>
      <c r="K54" s="163">
        <v>2.5942377812261048</v>
      </c>
      <c r="M54" s="56">
        <v>179191.55233420621</v>
      </c>
      <c r="P54" s="56">
        <v>5469369.951609212</v>
      </c>
    </row>
    <row r="55" spans="2:16" ht="20" customHeight="1" x14ac:dyDescent="0.2">
      <c r="B55" s="149"/>
      <c r="C55" s="149"/>
      <c r="D55" s="149"/>
      <c r="E55" s="149"/>
      <c r="F55" s="164"/>
      <c r="G55" s="62"/>
      <c r="H55" s="165"/>
      <c r="I55" s="149"/>
      <c r="J55" s="149"/>
      <c r="K55" s="62"/>
    </row>
    <row r="56" spans="2:16" ht="20" customHeight="1" x14ac:dyDescent="0.2">
      <c r="F56" s="139"/>
      <c r="G56" s="131"/>
      <c r="H56" s="140"/>
      <c r="I56" s="131"/>
      <c r="J56" s="131"/>
      <c r="K56" s="131"/>
    </row>
    <row r="57" spans="2:16" ht="20" customHeight="1" x14ac:dyDescent="0.2">
      <c r="B57" s="141" t="s">
        <v>296</v>
      </c>
      <c r="C57" s="141"/>
      <c r="D57" s="141"/>
      <c r="E57" s="141"/>
      <c r="F57" s="142">
        <f>+F59+F64</f>
        <v>31500966.059950706</v>
      </c>
      <c r="G57" s="115">
        <f>F57/F$8</f>
        <v>5.0786932207841284E-3</v>
      </c>
      <c r="H57" s="143">
        <f>G59*H59+G64*H64</f>
        <v>0.98798053156442767</v>
      </c>
      <c r="I57" s="142">
        <f>+I59+I64</f>
        <v>18600011.607093722</v>
      </c>
      <c r="J57" s="115">
        <f>I57/I$8</f>
        <v>5.1919044958093916E-3</v>
      </c>
      <c r="K57" s="144">
        <f>J59*K59+J64*K64</f>
        <v>0.33770470283098242</v>
      </c>
    </row>
    <row r="58" spans="2:16" ht="20" customHeight="1" x14ac:dyDescent="0.2">
      <c r="B58" s="62"/>
      <c r="C58" s="149"/>
      <c r="D58" s="149"/>
      <c r="E58" s="149"/>
      <c r="F58" s="150"/>
      <c r="G58" s="117" t="str">
        <f>IF(F58="","",F58/F$59)</f>
        <v/>
      </c>
      <c r="H58" s="151"/>
      <c r="I58" s="152"/>
      <c r="J58" s="117" t="str">
        <f>IF(I58="","",I58/I$59)</f>
        <v/>
      </c>
      <c r="K58" s="153"/>
    </row>
    <row r="59" spans="2:16" ht="20" customHeight="1" x14ac:dyDescent="0.2">
      <c r="B59" s="49" t="s">
        <v>260</v>
      </c>
      <c r="C59" s="49"/>
      <c r="D59" s="49"/>
      <c r="E59" s="49"/>
      <c r="F59" s="145">
        <f>+F61</f>
        <v>935389.44299603428</v>
      </c>
      <c r="G59" s="129">
        <f>IF(F$57=0,0,F59/F$57)</f>
        <v>2.9693992279978286E-2</v>
      </c>
      <c r="H59" s="146">
        <f>G61*H61</f>
        <v>0.54347781177312016</v>
      </c>
      <c r="I59" s="147">
        <f>+I61</f>
        <v>5075103.9213279281</v>
      </c>
      <c r="J59" s="129">
        <f>IF(I$57=0,0,I59/I$57)</f>
        <v>0.27285487926213831</v>
      </c>
      <c r="K59" s="148">
        <f>J61*K61</f>
        <v>0.2336307719942475</v>
      </c>
    </row>
    <row r="60" spans="2:16" ht="20" customHeight="1" x14ac:dyDescent="0.2">
      <c r="B60" s="149"/>
      <c r="C60" s="149"/>
      <c r="D60" s="149"/>
      <c r="E60" s="149"/>
      <c r="F60" s="150"/>
      <c r="G60" s="117" t="str">
        <f>IF(F60="","",F60/F$59)</f>
        <v/>
      </c>
      <c r="H60" s="151"/>
      <c r="I60" s="152"/>
      <c r="J60" s="117" t="str">
        <f>IF(I60="","",I60/I$59)</f>
        <v/>
      </c>
      <c r="K60" s="153"/>
    </row>
    <row r="61" spans="2:16" ht="20" customHeight="1" x14ac:dyDescent="0.2">
      <c r="B61" s="154" t="s">
        <v>269</v>
      </c>
      <c r="C61" s="154"/>
      <c r="D61" s="154"/>
      <c r="E61" s="154"/>
      <c r="F61" s="155">
        <f>+SUM(F62:F62)</f>
        <v>935389.44299603428</v>
      </c>
      <c r="G61" s="121">
        <f>IF(F$59=0,0,F61/F$59)</f>
        <v>1</v>
      </c>
      <c r="H61" s="156">
        <f>IF(ISERROR(SUMPRODUCT(G62:G62,H62:H62)),0,SUMPRODUCT(G62:G62,H62:H62))</f>
        <v>0.54347781177312016</v>
      </c>
      <c r="I61" s="157">
        <f>+SUM(I62:I62)</f>
        <v>5075103.9213279281</v>
      </c>
      <c r="J61" s="121">
        <f>IF(I$59=0,0,I61/I$59)</f>
        <v>1</v>
      </c>
      <c r="K61" s="158">
        <f>IF(ISERROR(SUMPRODUCT(J62:J62,K62:K62)),0,SUMPRODUCT(J62:J62,K62:K62))</f>
        <v>0.2336307719942475</v>
      </c>
    </row>
    <row r="62" spans="2:16" ht="20" customHeight="1" x14ac:dyDescent="0.2">
      <c r="B62" s="159" t="s">
        <v>297</v>
      </c>
      <c r="C62" s="159"/>
      <c r="D62" s="159"/>
      <c r="E62" s="159"/>
      <c r="F62" s="160">
        <f>M62</f>
        <v>935389.44299603428</v>
      </c>
      <c r="G62" s="117">
        <f>IF(F62="","",IF(F$61=0,0,F62/F$61))</f>
        <v>1</v>
      </c>
      <c r="H62" s="161">
        <v>0.54347781177312016</v>
      </c>
      <c r="I62" s="162">
        <f>P62</f>
        <v>5075103.9213279281</v>
      </c>
      <c r="J62" s="117">
        <f>IF(I62="","",IF(I$61=0,0,I62/I$61))</f>
        <v>1</v>
      </c>
      <c r="K62" s="163">
        <v>0.2336307719942475</v>
      </c>
      <c r="M62" s="56">
        <v>935389.44299603428</v>
      </c>
      <c r="P62" s="56">
        <v>5075103.9213279281</v>
      </c>
    </row>
    <row r="63" spans="2:16" ht="20" customHeight="1" x14ac:dyDescent="0.2">
      <c r="B63" s="149"/>
      <c r="C63" s="149"/>
      <c r="D63" s="149"/>
      <c r="E63" s="149"/>
      <c r="F63" s="150"/>
      <c r="G63" s="117"/>
      <c r="H63" s="151"/>
      <c r="I63" s="152"/>
      <c r="J63" s="117"/>
      <c r="K63" s="153"/>
    </row>
    <row r="64" spans="2:16" ht="20" customHeight="1" x14ac:dyDescent="0.2">
      <c r="B64" s="49" t="s">
        <v>279</v>
      </c>
      <c r="C64" s="49"/>
      <c r="D64" s="49"/>
      <c r="E64" s="49"/>
      <c r="F64" s="145">
        <f>+F66+F70</f>
        <v>30565576.616954673</v>
      </c>
      <c r="G64" s="129">
        <f>IF(F$57=0,0,F64/F$57)</f>
        <v>0.97030600772002173</v>
      </c>
      <c r="H64" s="146">
        <f>G66*H66+G70*H70</f>
        <v>1.0015835188951223</v>
      </c>
      <c r="I64" s="147">
        <f>+I66+I70</f>
        <v>13524907.685765795</v>
      </c>
      <c r="J64" s="129">
        <f>IF(I$57=0,0,I64/I$57)</f>
        <v>0.72714512073786186</v>
      </c>
      <c r="K64" s="148">
        <f>J66*K66+J70*K70</f>
        <v>0.37675753977222154</v>
      </c>
    </row>
    <row r="65" spans="2:16" ht="20" customHeight="1" x14ac:dyDescent="0.2">
      <c r="B65" s="149"/>
      <c r="C65" s="149"/>
      <c r="D65" s="149"/>
      <c r="E65" s="149"/>
      <c r="F65" s="150"/>
      <c r="G65" s="117"/>
      <c r="H65" s="151"/>
      <c r="I65" s="152"/>
      <c r="J65" s="117"/>
      <c r="K65" s="153"/>
    </row>
    <row r="66" spans="2:16" ht="20" customHeight="1" x14ac:dyDescent="0.2">
      <c r="B66" s="154" t="s">
        <v>261</v>
      </c>
      <c r="C66" s="154"/>
      <c r="D66" s="154"/>
      <c r="E66" s="154"/>
      <c r="F66" s="155">
        <f>SUM(F67:F68)</f>
        <v>30353361.325619031</v>
      </c>
      <c r="G66" s="121">
        <f>IF(F$64=0,0,F66/F$64)</f>
        <v>0.99305704930762118</v>
      </c>
      <c r="H66" s="156">
        <f>IF(ISERROR(SUMPRODUCT(G67:G68,H67:H68)),0,SUMPRODUCT(G67:G68,H67:H68))</f>
        <v>0.99749830317953403</v>
      </c>
      <c r="I66" s="157">
        <f>SUM(I67:I68)</f>
        <v>6962330.5573887825</v>
      </c>
      <c r="J66" s="121">
        <f>IF(I$64=0,0,I66/I$64)</f>
        <v>0.51477841617479159</v>
      </c>
      <c r="K66" s="158">
        <f>IF(ISERROR(SUMPRODUCT(J67:J68,K67:K68)),0,SUMPRODUCT(J67:J68,K67:K68))</f>
        <v>0.4888340551697668</v>
      </c>
    </row>
    <row r="67" spans="2:16" ht="20" customHeight="1" x14ac:dyDescent="0.2">
      <c r="B67" s="159" t="s">
        <v>298</v>
      </c>
      <c r="C67" s="159"/>
      <c r="D67" s="159"/>
      <c r="E67" s="159"/>
      <c r="F67" s="160">
        <f>M67</f>
        <v>0</v>
      </c>
      <c r="G67" s="117">
        <f>IF(F67="","",IF(F$66=0,0,F67/F$66))</f>
        <v>0</v>
      </c>
      <c r="H67" s="161"/>
      <c r="I67" s="162">
        <f>P67</f>
        <v>143474.97220656226</v>
      </c>
      <c r="J67" s="117">
        <f>IF(I67="","",IF(I$66=0,0,I67/I$66))</f>
        <v>2.060731977948092E-2</v>
      </c>
      <c r="K67" s="163">
        <v>0.14336697836821533</v>
      </c>
      <c r="M67" s="56">
        <v>0</v>
      </c>
      <c r="P67" s="56">
        <v>143474.97220656226</v>
      </c>
    </row>
    <row r="68" spans="2:16" ht="20" customHeight="1" x14ac:dyDescent="0.2">
      <c r="B68" s="159" t="s">
        <v>267</v>
      </c>
      <c r="C68" s="159"/>
      <c r="D68" s="159"/>
      <c r="E68" s="159"/>
      <c r="F68" s="160">
        <f t="shared" ref="F68" si="16">M68</f>
        <v>30353361.325619031</v>
      </c>
      <c r="G68" s="117">
        <f>IF(F68="","",IF(F$66=0,0,F68/F$66))</f>
        <v>1</v>
      </c>
      <c r="H68" s="161">
        <v>0.99749830317953403</v>
      </c>
      <c r="I68" s="162">
        <f t="shared" ref="I68" si="17">P68</f>
        <v>6818855.5851822207</v>
      </c>
      <c r="J68" s="117">
        <f>IF(I68="","",IF(I$66=0,0,I68/I$66))</f>
        <v>0.97939268022051917</v>
      </c>
      <c r="K68" s="163">
        <v>0.49610299914771144</v>
      </c>
      <c r="M68" s="56">
        <v>30353361.325619031</v>
      </c>
      <c r="P68" s="56">
        <v>6818855.5851822207</v>
      </c>
    </row>
    <row r="69" spans="2:16" ht="20" customHeight="1" x14ac:dyDescent="0.2">
      <c r="B69" s="149"/>
      <c r="C69" s="149"/>
      <c r="D69" s="149"/>
      <c r="E69" s="149"/>
      <c r="F69" s="150"/>
      <c r="G69" s="117"/>
      <c r="H69" s="151"/>
      <c r="I69" s="152"/>
      <c r="J69" s="117"/>
      <c r="K69" s="153"/>
    </row>
    <row r="70" spans="2:16" ht="20" customHeight="1" x14ac:dyDescent="0.2">
      <c r="B70" s="154" t="s">
        <v>269</v>
      </c>
      <c r="C70" s="154"/>
      <c r="D70" s="154"/>
      <c r="E70" s="154"/>
      <c r="F70" s="155">
        <f>+SUM(F71:F71)</f>
        <v>212215.29133564353</v>
      </c>
      <c r="G70" s="121">
        <f>IF(F$64=0,0,F70/F$64)</f>
        <v>6.9429506923788268E-3</v>
      </c>
      <c r="H70" s="156">
        <f>IF(ISERROR(SUMPRODUCT(G71:G71,H71:H71)),0,SUMPRODUCT(G71:G71,H71:H71))</f>
        <v>1.5858959307289613</v>
      </c>
      <c r="I70" s="157">
        <f>+SUM(I71:I71)</f>
        <v>6562577.1283770138</v>
      </c>
      <c r="J70" s="121">
        <f>IF(I$64=0,0,I70/I$64)</f>
        <v>0.48522158382520847</v>
      </c>
      <c r="K70" s="158">
        <f>IF(ISERROR(SUMPRODUCT(J71:J71,K71:K71)),0,SUMPRODUCT(J71:J71,K71:K71))</f>
        <v>0.25785398516958591</v>
      </c>
    </row>
    <row r="71" spans="2:16" ht="20" customHeight="1" x14ac:dyDescent="0.2">
      <c r="B71" s="159" t="s">
        <v>290</v>
      </c>
      <c r="C71" s="159"/>
      <c r="D71" s="159"/>
      <c r="E71" s="159"/>
      <c r="F71" s="160">
        <f>M71</f>
        <v>212215.29133564353</v>
      </c>
      <c r="G71" s="117">
        <f>IF(F71="","",IF(F$70=0,0,F71/F$70))</f>
        <v>1</v>
      </c>
      <c r="H71" s="161">
        <v>1.5858959307289613</v>
      </c>
      <c r="I71" s="162">
        <f>P71</f>
        <v>6562577.1283770138</v>
      </c>
      <c r="J71" s="117">
        <f>IF(I71="","",IF(I$70=0,0,I71/I$70))</f>
        <v>1</v>
      </c>
      <c r="K71" s="163">
        <v>0.25785398516958591</v>
      </c>
      <c r="M71" s="56">
        <v>212215.29133564353</v>
      </c>
      <c r="P71" s="56">
        <v>6562577.1283770138</v>
      </c>
    </row>
    <row r="72" spans="2:16" ht="20" customHeight="1" x14ac:dyDescent="0.2">
      <c r="K72" s="75"/>
    </row>
    <row r="73" spans="2:16" ht="20" customHeight="1" x14ac:dyDescent="0.2">
      <c r="K73" s="75"/>
    </row>
    <row r="74" spans="2:16" ht="20" customHeight="1" x14ac:dyDescent="0.2">
      <c r="K74" s="75"/>
    </row>
    <row r="75" spans="2:16" ht="20" customHeight="1" x14ac:dyDescent="0.2">
      <c r="K75" s="75"/>
    </row>
    <row r="76" spans="2:16" ht="20" customHeight="1" x14ac:dyDescent="0.2">
      <c r="K76" s="75"/>
    </row>
    <row r="77" spans="2:16" ht="20" customHeight="1" x14ac:dyDescent="0.2">
      <c r="K77" s="75"/>
    </row>
    <row r="78" spans="2:16" ht="20" customHeight="1" x14ac:dyDescent="0.2">
      <c r="K78" s="75"/>
    </row>
    <row r="79" spans="2:16" ht="20" customHeight="1" x14ac:dyDescent="0.2">
      <c r="K79" s="75"/>
    </row>
    <row r="80" spans="2:16" ht="20" customHeight="1" x14ac:dyDescent="0.2">
      <c r="K80" s="75"/>
    </row>
    <row r="81" spans="11:11" ht="20" customHeight="1" x14ac:dyDescent="0.2">
      <c r="K81" s="75"/>
    </row>
    <row r="82" spans="11:11" ht="20" customHeight="1" x14ac:dyDescent="0.2">
      <c r="K82" s="75"/>
    </row>
    <row r="83" spans="11:11" ht="20" customHeight="1" x14ac:dyDescent="0.2">
      <c r="K83" s="75"/>
    </row>
    <row r="84" spans="11:11" ht="20" customHeight="1" x14ac:dyDescent="0.2">
      <c r="K84" s="75"/>
    </row>
    <row r="85" spans="11:11" ht="20" customHeight="1" x14ac:dyDescent="0.2">
      <c r="K85" s="75"/>
    </row>
    <row r="86" spans="11:11" ht="20" customHeight="1" x14ac:dyDescent="0.2">
      <c r="K86" s="75"/>
    </row>
    <row r="87" spans="11:11" ht="20" customHeight="1" x14ac:dyDescent="0.2">
      <c r="K87" s="75"/>
    </row>
    <row r="88" spans="11:11" ht="20" customHeight="1" x14ac:dyDescent="0.2">
      <c r="K88" s="75"/>
    </row>
    <row r="89" spans="11:11" ht="20" customHeight="1" x14ac:dyDescent="0.2">
      <c r="K89" s="75"/>
    </row>
    <row r="90" spans="11:11" ht="20" customHeight="1" x14ac:dyDescent="0.2">
      <c r="K90" s="75"/>
    </row>
    <row r="91" spans="11:11" ht="20" customHeight="1" x14ac:dyDescent="0.2">
      <c r="K91" s="75"/>
    </row>
    <row r="92" spans="11:11" ht="20" customHeight="1" x14ac:dyDescent="0.2">
      <c r="K92" s="75"/>
    </row>
    <row r="93" spans="11:11" ht="20" customHeight="1" x14ac:dyDescent="0.2">
      <c r="K93" s="75"/>
    </row>
    <row r="94" spans="11:11" ht="20" customHeight="1" x14ac:dyDescent="0.2">
      <c r="K94" s="75"/>
    </row>
    <row r="95" spans="11:11" ht="20" customHeight="1" x14ac:dyDescent="0.2">
      <c r="K95" s="75"/>
    </row>
    <row r="96" spans="11:11" ht="20" customHeight="1" x14ac:dyDescent="0.2">
      <c r="K96" s="75"/>
    </row>
    <row r="97" spans="11:11" ht="20" customHeight="1" x14ac:dyDescent="0.2">
      <c r="K97" s="75"/>
    </row>
    <row r="98" spans="11:11" ht="20" customHeight="1" x14ac:dyDescent="0.2">
      <c r="K98" s="75"/>
    </row>
    <row r="99" spans="11:11" ht="20" customHeight="1" x14ac:dyDescent="0.2">
      <c r="K99" s="75"/>
    </row>
    <row r="100" spans="11:11" ht="20" customHeight="1" x14ac:dyDescent="0.2">
      <c r="K100" s="75"/>
    </row>
    <row r="101" spans="11:11" ht="20" customHeight="1" x14ac:dyDescent="0.2">
      <c r="K101" s="75"/>
    </row>
    <row r="102" spans="11:11" ht="20" customHeight="1" x14ac:dyDescent="0.2">
      <c r="K102" s="75"/>
    </row>
  </sheetData>
  <mergeCells count="2">
    <mergeCell ref="F6:H7"/>
    <mergeCell ref="I6:K7"/>
  </mergeCells>
  <phoneticPr fontId="8" type="noConversion"/>
  <pageMargins left="0.75" right="0.75" top="1" bottom="1" header="0.5" footer="0.5"/>
  <pageSetup scale="4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73"/>
  <sheetViews>
    <sheetView showGridLines="0" workbookViewId="0">
      <selection activeCell="F16" sqref="F16"/>
    </sheetView>
  </sheetViews>
  <sheetFormatPr baseColWidth="10" defaultRowHeight="16" x14ac:dyDescent="0.2"/>
  <cols>
    <col min="1" max="1" width="3.83203125" customWidth="1"/>
    <col min="2" max="2" width="64" bestFit="1" customWidth="1"/>
    <col min="3" max="11" width="15.83203125" customWidth="1"/>
  </cols>
  <sheetData>
    <row r="2" spans="2:16" x14ac:dyDescent="0.2">
      <c r="B2" s="51" t="s">
        <v>378</v>
      </c>
      <c r="C2" s="26"/>
      <c r="D2" s="26"/>
      <c r="E2" s="26"/>
      <c r="F2" s="26"/>
      <c r="G2" s="26"/>
      <c r="H2" s="26"/>
      <c r="I2" s="26"/>
      <c r="J2" s="26"/>
      <c r="K2" s="26"/>
    </row>
    <row r="3" spans="2:16" x14ac:dyDescent="0.2">
      <c r="B3" s="51" t="s">
        <v>346</v>
      </c>
      <c r="C3" s="26"/>
      <c r="D3" s="26"/>
      <c r="E3" s="26"/>
      <c r="F3" s="26"/>
      <c r="G3" s="26"/>
      <c r="H3" s="26"/>
      <c r="I3" s="26"/>
      <c r="J3" s="26"/>
      <c r="K3" s="26"/>
    </row>
    <row r="4" spans="2:16" x14ac:dyDescent="0.2">
      <c r="B4" s="51" t="s">
        <v>344</v>
      </c>
      <c r="C4" s="26"/>
      <c r="D4" s="26"/>
      <c r="E4" s="26"/>
      <c r="F4" s="26"/>
      <c r="G4" s="26"/>
      <c r="H4" s="26"/>
      <c r="I4" s="26"/>
      <c r="J4" s="26"/>
      <c r="K4" s="26"/>
    </row>
    <row r="5" spans="2:16" x14ac:dyDescent="0.2">
      <c r="B5" s="51" t="s">
        <v>301</v>
      </c>
      <c r="C5" s="177"/>
      <c r="D5" s="177"/>
      <c r="E5" s="177"/>
      <c r="F5" s="177"/>
      <c r="G5" s="177"/>
      <c r="H5" s="177"/>
      <c r="I5" s="177"/>
      <c r="J5" s="177"/>
      <c r="K5" s="177"/>
    </row>
    <row r="6" spans="2:16" x14ac:dyDescent="0.2">
      <c r="B6" s="51"/>
      <c r="C6" s="177"/>
      <c r="D6" s="177"/>
      <c r="E6" s="177"/>
      <c r="F6" s="177"/>
      <c r="G6" s="177"/>
      <c r="H6" s="177"/>
      <c r="I6" s="177"/>
      <c r="J6" s="177"/>
      <c r="K6" s="177"/>
    </row>
    <row r="7" spans="2:16" x14ac:dyDescent="0.2">
      <c r="B7" s="272" t="s">
        <v>239</v>
      </c>
      <c r="C7" s="266" t="s">
        <v>306</v>
      </c>
      <c r="D7" s="267"/>
      <c r="E7" s="268"/>
      <c r="F7" s="266" t="s">
        <v>307</v>
      </c>
      <c r="G7" s="267"/>
      <c r="H7" s="268"/>
      <c r="I7" s="266" t="s">
        <v>233</v>
      </c>
      <c r="J7" s="267"/>
      <c r="K7" s="268"/>
      <c r="M7" s="166">
        <v>43.310583333333334</v>
      </c>
    </row>
    <row r="8" spans="2:16" x14ac:dyDescent="0.2">
      <c r="B8" s="273"/>
      <c r="C8" s="269"/>
      <c r="D8" s="270"/>
      <c r="E8" s="271"/>
      <c r="F8" s="269"/>
      <c r="G8" s="270"/>
      <c r="H8" s="271"/>
      <c r="I8" s="269"/>
      <c r="J8" s="270"/>
      <c r="K8" s="271"/>
    </row>
    <row r="9" spans="2:16" ht="17" thickBot="1" x14ac:dyDescent="0.25">
      <c r="B9" s="171" t="s">
        <v>343</v>
      </c>
      <c r="C9" s="172">
        <f>+C11+C43+C30</f>
        <v>10225834740.791834</v>
      </c>
      <c r="D9" s="173">
        <f>C9/I9</f>
        <v>0.73029098963365047</v>
      </c>
      <c r="E9" s="174">
        <f>D11*E11+D43*E43+D30*E30</f>
        <v>17.281442653817621</v>
      </c>
      <c r="F9" s="172">
        <f>+F11+F43+F30</f>
        <v>3776576470.5550413</v>
      </c>
      <c r="G9" s="173">
        <f>F9/I9</f>
        <v>0.26970901036634931</v>
      </c>
      <c r="H9" s="174">
        <f>G11*H11+G43*H43+G30*H30</f>
        <v>8.3835632910212521</v>
      </c>
      <c r="I9" s="172">
        <f>+I11+I43+I30</f>
        <v>14002411211.346878</v>
      </c>
      <c r="J9" s="173">
        <f>I9/I9</f>
        <v>1</v>
      </c>
      <c r="K9" s="174">
        <f>J11*K11+J43*K43+J30*K30</f>
        <v>14.881604416518645</v>
      </c>
    </row>
    <row r="10" spans="2:16" ht="17" thickTop="1" x14ac:dyDescent="0.2">
      <c r="B10" s="5"/>
      <c r="C10" s="116"/>
      <c r="D10" s="117"/>
      <c r="E10" s="118"/>
      <c r="F10" s="116"/>
      <c r="G10" s="117"/>
      <c r="H10" s="118"/>
      <c r="I10" s="116"/>
      <c r="J10" s="117"/>
      <c r="K10" s="118"/>
    </row>
    <row r="11" spans="2:16" x14ac:dyDescent="0.2">
      <c r="B11" s="119" t="s">
        <v>308</v>
      </c>
      <c r="C11" s="120">
        <f>SUM(C12:C28)</f>
        <v>5581992802.7592134</v>
      </c>
      <c r="D11" s="121">
        <f>C11/C$9</f>
        <v>0.54587160307726368</v>
      </c>
      <c r="E11" s="122">
        <f>SUMPRODUCT(D12:D28,E12:E28)</f>
        <v>13.98547932034702</v>
      </c>
      <c r="F11" s="120">
        <f>SUM(F12:F28)</f>
        <v>3557192839.8070526</v>
      </c>
      <c r="G11" s="121">
        <f>F11/F$9</f>
        <v>0.94190939003659413</v>
      </c>
      <c r="H11" s="122">
        <f>SUMPRODUCT(G12:G28,H12:H28)</f>
        <v>6.9782409289758025</v>
      </c>
      <c r="I11" s="120">
        <f>SUM(I12:I28)</f>
        <v>9139185642.5662689</v>
      </c>
      <c r="J11" s="121">
        <f>I11/I$9</f>
        <v>0.65268656266574387</v>
      </c>
      <c r="K11" s="122">
        <f>SUMPRODUCT(J12:J28,K12:K28)</f>
        <v>11.258092088325805</v>
      </c>
    </row>
    <row r="12" spans="2:16" x14ac:dyDescent="0.2">
      <c r="B12" s="123" t="s">
        <v>309</v>
      </c>
      <c r="C12" s="167">
        <f>M12</f>
        <v>2474629.8606768553</v>
      </c>
      <c r="D12" s="117">
        <f t="shared" ref="D12:D28" si="0">IF(C12="","",C12/C$11)</f>
        <v>4.4332372830248556E-4</v>
      </c>
      <c r="E12" s="168">
        <v>17.235822083069344</v>
      </c>
      <c r="F12" s="167">
        <f>P12</f>
        <v>3701624.7476078784</v>
      </c>
      <c r="G12" s="117">
        <f t="shared" ref="G12:G28" si="1">IF(F12="","",F12/F$11)</f>
        <v>1.040602777050642E-3</v>
      </c>
      <c r="H12" s="168">
        <v>6.6030737245107556</v>
      </c>
      <c r="I12" s="150">
        <f>+C12+F12</f>
        <v>6176254.6082847342</v>
      </c>
      <c r="J12" s="117">
        <f t="shared" ref="J12:J28" si="2">IF(I12="","",I12/I$11)</f>
        <v>6.757992287101033E-4</v>
      </c>
      <c r="K12" s="151">
        <f>IF(SUM(C12,F12)=0,"",(C12/SUM(C12,F12)*E12)+(F12/SUM(C12,F12)*H12))</f>
        <v>10.86327966774652</v>
      </c>
      <c r="M12">
        <v>2474629.8606768553</v>
      </c>
      <c r="P12">
        <v>3701624.7476078784</v>
      </c>
    </row>
    <row r="13" spans="2:16" x14ac:dyDescent="0.2">
      <c r="B13" s="123" t="s">
        <v>310</v>
      </c>
      <c r="C13" s="167">
        <f t="shared" ref="C13:C28" si="3">M13</f>
        <v>894494780.57164586</v>
      </c>
      <c r="D13" s="117">
        <f t="shared" si="0"/>
        <v>0.16024649478757685</v>
      </c>
      <c r="E13" s="168">
        <v>12.019401807237736</v>
      </c>
      <c r="F13" s="167">
        <f t="shared" ref="F13:F28" si="4">P13</f>
        <v>437719912.4625814</v>
      </c>
      <c r="G13" s="117">
        <f t="shared" si="1"/>
        <v>0.12305206160437565</v>
      </c>
      <c r="H13" s="168">
        <v>5.217085905074744</v>
      </c>
      <c r="I13" s="150">
        <f t="shared" ref="I13:I28" si="5">+C13+F13</f>
        <v>1332214693.0342274</v>
      </c>
      <c r="J13" s="117">
        <f t="shared" si="2"/>
        <v>0.14576951876646019</v>
      </c>
      <c r="K13" s="151">
        <f t="shared" ref="K13:K28" si="6">IF(SUM(C13,F13)=0,"",(C13/SUM(C13,F13)*E13)+(F13/SUM(C13,F13)*H13))</f>
        <v>9.7843948396624931</v>
      </c>
      <c r="M13">
        <v>894494780.57164586</v>
      </c>
      <c r="P13">
        <v>437719912.4625814</v>
      </c>
    </row>
    <row r="14" spans="2:16" x14ac:dyDescent="0.2">
      <c r="B14" s="123" t="s">
        <v>311</v>
      </c>
      <c r="C14" s="167">
        <f t="shared" si="3"/>
        <v>4304430494.7518187</v>
      </c>
      <c r="D14" s="117">
        <f t="shared" si="0"/>
        <v>0.77112791915892687</v>
      </c>
      <c r="E14" s="168">
        <v>13.494121087789848</v>
      </c>
      <c r="F14" s="167">
        <f t="shared" si="4"/>
        <v>2942126729.1973667</v>
      </c>
      <c r="G14" s="117">
        <f t="shared" si="1"/>
        <v>0.82709227801013796</v>
      </c>
      <c r="H14" s="168">
        <v>7.1076837484909046</v>
      </c>
      <c r="I14" s="150">
        <f t="shared" si="5"/>
        <v>7246557223.9491854</v>
      </c>
      <c r="J14" s="117">
        <f t="shared" si="2"/>
        <v>0.79291060575440542</v>
      </c>
      <c r="K14" s="151">
        <f t="shared" si="6"/>
        <v>10.901205939311158</v>
      </c>
      <c r="M14">
        <v>4304430494.7518187</v>
      </c>
      <c r="P14">
        <v>2942126729.1973667</v>
      </c>
    </row>
    <row r="15" spans="2:16" x14ac:dyDescent="0.2">
      <c r="B15" s="123" t="s">
        <v>312</v>
      </c>
      <c r="C15" s="167">
        <f t="shared" si="3"/>
        <v>876776.99692338461</v>
      </c>
      <c r="D15" s="117">
        <f t="shared" si="0"/>
        <v>1.5707239831803227E-4</v>
      </c>
      <c r="E15" s="168">
        <v>16.537873383268323</v>
      </c>
      <c r="F15" s="167">
        <f t="shared" si="4"/>
        <v>0</v>
      </c>
      <c r="G15" s="117">
        <f t="shared" si="1"/>
        <v>0</v>
      </c>
      <c r="H15" s="168"/>
      <c r="I15" s="150">
        <f t="shared" si="5"/>
        <v>876776.99692338461</v>
      </c>
      <c r="J15" s="117">
        <f t="shared" si="2"/>
        <v>9.5936009094699492E-5</v>
      </c>
      <c r="K15" s="151">
        <f t="shared" si="6"/>
        <v>16.537873383268323</v>
      </c>
      <c r="M15">
        <v>876776.99692338461</v>
      </c>
      <c r="P15">
        <v>0</v>
      </c>
    </row>
    <row r="16" spans="2:16" x14ac:dyDescent="0.2">
      <c r="B16" s="123" t="s">
        <v>313</v>
      </c>
      <c r="C16" s="167">
        <f t="shared" si="3"/>
        <v>24425.895441260509</v>
      </c>
      <c r="D16" s="117">
        <f t="shared" si="0"/>
        <v>4.3758378601252654E-6</v>
      </c>
      <c r="E16" s="168">
        <v>24.410394867460891</v>
      </c>
      <c r="F16" s="167">
        <f t="shared" si="4"/>
        <v>0</v>
      </c>
      <c r="G16" s="117">
        <f t="shared" si="1"/>
        <v>0</v>
      </c>
      <c r="H16" s="168"/>
      <c r="I16" s="150">
        <f t="shared" si="5"/>
        <v>24425.895441260509</v>
      </c>
      <c r="J16" s="117">
        <f t="shared" si="2"/>
        <v>2.6726555731065944E-6</v>
      </c>
      <c r="K16" s="151">
        <f t="shared" si="6"/>
        <v>24.410394867460891</v>
      </c>
      <c r="M16">
        <v>24425.895441260509</v>
      </c>
      <c r="P16">
        <v>0</v>
      </c>
    </row>
    <row r="17" spans="2:16" x14ac:dyDescent="0.2">
      <c r="B17" s="123" t="s">
        <v>314</v>
      </c>
      <c r="C17" s="167">
        <f t="shared" si="3"/>
        <v>261984927.08818287</v>
      </c>
      <c r="D17" s="117">
        <f t="shared" si="0"/>
        <v>4.6933942114486801E-2</v>
      </c>
      <c r="E17" s="168">
        <v>21.296160700092098</v>
      </c>
      <c r="F17" s="167">
        <f t="shared" si="4"/>
        <v>2488344.5263378653</v>
      </c>
      <c r="G17" s="117">
        <f t="shared" si="1"/>
        <v>6.9952477652935924E-4</v>
      </c>
      <c r="H17" s="168">
        <v>8.100133951095696</v>
      </c>
      <c r="I17" s="150">
        <f t="shared" si="5"/>
        <v>264473271.61452073</v>
      </c>
      <c r="J17" s="117">
        <f t="shared" si="2"/>
        <v>2.8938384880018375E-2</v>
      </c>
      <c r="K17" s="151">
        <f t="shared" si="6"/>
        <v>21.172003499896331</v>
      </c>
      <c r="M17">
        <v>261984927.08818287</v>
      </c>
      <c r="P17">
        <v>2488344.5263378653</v>
      </c>
    </row>
    <row r="18" spans="2:16" x14ac:dyDescent="0.2">
      <c r="B18" s="123" t="s">
        <v>315</v>
      </c>
      <c r="C18" s="167">
        <f t="shared" si="3"/>
        <v>22770519.855847392</v>
      </c>
      <c r="D18" s="117">
        <f t="shared" si="0"/>
        <v>4.0792814789355845E-3</v>
      </c>
      <c r="E18" s="168">
        <v>45.294672409636213</v>
      </c>
      <c r="F18" s="167">
        <f t="shared" si="4"/>
        <v>18463114.195568059</v>
      </c>
      <c r="G18" s="117">
        <f t="shared" si="1"/>
        <v>5.1903607780143636E-3</v>
      </c>
      <c r="H18" s="168">
        <v>5.8822005843245329</v>
      </c>
      <c r="I18" s="150">
        <f t="shared" si="5"/>
        <v>41233634.051415451</v>
      </c>
      <c r="J18" s="117">
        <f t="shared" si="2"/>
        <v>4.51174050556184E-3</v>
      </c>
      <c r="K18" s="151">
        <f t="shared" si="6"/>
        <v>27.64701692690636</v>
      </c>
      <c r="M18">
        <v>22770519.855847392</v>
      </c>
      <c r="P18">
        <v>18463114.195568059</v>
      </c>
    </row>
    <row r="19" spans="2:16" x14ac:dyDescent="0.2">
      <c r="B19" s="123" t="s">
        <v>316</v>
      </c>
      <c r="C19" s="167">
        <f t="shared" si="3"/>
        <v>42931655.525381587</v>
      </c>
      <c r="D19" s="117">
        <f t="shared" si="0"/>
        <v>7.6910983303597608E-3</v>
      </c>
      <c r="E19" s="168">
        <v>11.694793663004091</v>
      </c>
      <c r="F19" s="167">
        <f t="shared" si="4"/>
        <v>141952787.06574798</v>
      </c>
      <c r="G19" s="117">
        <f t="shared" si="1"/>
        <v>3.9905845271365079E-2</v>
      </c>
      <c r="H19" s="168">
        <v>7.270214207120115</v>
      </c>
      <c r="I19" s="150">
        <f t="shared" si="5"/>
        <v>184884442.59112957</v>
      </c>
      <c r="J19" s="117">
        <f t="shared" si="2"/>
        <v>2.0229859620097872E-2</v>
      </c>
      <c r="K19" s="151">
        <f t="shared" si="6"/>
        <v>8.297637165928899</v>
      </c>
      <c r="M19">
        <v>42931655.525381587</v>
      </c>
      <c r="P19">
        <v>141952787.06574798</v>
      </c>
    </row>
    <row r="20" spans="2:16" x14ac:dyDescent="0.2">
      <c r="B20" s="123" t="s">
        <v>317</v>
      </c>
      <c r="C20" s="167">
        <f t="shared" si="3"/>
        <v>743753.49650874385</v>
      </c>
      <c r="D20" s="117">
        <f t="shared" si="0"/>
        <v>1.3324157210326427E-4</v>
      </c>
      <c r="E20" s="168">
        <v>7.99</v>
      </c>
      <c r="F20" s="167">
        <f t="shared" si="4"/>
        <v>0</v>
      </c>
      <c r="G20" s="117">
        <f t="shared" si="1"/>
        <v>0</v>
      </c>
      <c r="H20" s="168"/>
      <c r="I20" s="150">
        <f t="shared" si="5"/>
        <v>743753.49650874385</v>
      </c>
      <c r="J20" s="117">
        <f t="shared" si="2"/>
        <v>8.1380718763898426E-5</v>
      </c>
      <c r="K20" s="151">
        <f t="shared" si="6"/>
        <v>7.99</v>
      </c>
      <c r="M20">
        <v>743753.49650874385</v>
      </c>
      <c r="P20">
        <v>0</v>
      </c>
    </row>
    <row r="21" spans="2:16" x14ac:dyDescent="0.2">
      <c r="B21" s="123" t="s">
        <v>318</v>
      </c>
      <c r="C21" s="167">
        <f t="shared" si="3"/>
        <v>19045372.801182162</v>
      </c>
      <c r="D21" s="117">
        <f t="shared" si="0"/>
        <v>3.411930734086206E-3</v>
      </c>
      <c r="E21" s="168">
        <v>12.04854437501897</v>
      </c>
      <c r="F21" s="167">
        <f t="shared" si="4"/>
        <v>3143942.8229820658</v>
      </c>
      <c r="G21" s="117">
        <f t="shared" si="1"/>
        <v>8.8382692886354683E-4</v>
      </c>
      <c r="H21" s="168">
        <v>6.8205473397154739</v>
      </c>
      <c r="I21" s="150">
        <f t="shared" si="5"/>
        <v>22189315.624164227</v>
      </c>
      <c r="J21" s="117">
        <f t="shared" si="2"/>
        <v>2.4279313816338568E-3</v>
      </c>
      <c r="K21" s="151">
        <f t="shared" si="6"/>
        <v>11.307803919742625</v>
      </c>
      <c r="M21">
        <v>19045372.801182162</v>
      </c>
      <c r="P21">
        <v>3143942.8229820658</v>
      </c>
    </row>
    <row r="22" spans="2:16" x14ac:dyDescent="0.2">
      <c r="B22" s="123" t="s">
        <v>319</v>
      </c>
      <c r="C22" s="167">
        <f t="shared" si="3"/>
        <v>96695.113703925337</v>
      </c>
      <c r="D22" s="117">
        <f t="shared" si="0"/>
        <v>1.7322686918572941E-5</v>
      </c>
      <c r="E22" s="168">
        <v>12</v>
      </c>
      <c r="F22" s="167">
        <f t="shared" si="4"/>
        <v>0</v>
      </c>
      <c r="G22" s="117">
        <f t="shared" si="1"/>
        <v>0</v>
      </c>
      <c r="H22" s="168"/>
      <c r="I22" s="150">
        <f t="shared" si="5"/>
        <v>96695.113703925337</v>
      </c>
      <c r="J22" s="117">
        <f t="shared" si="2"/>
        <v>1.0580276786759033E-5</v>
      </c>
      <c r="K22" s="151">
        <f t="shared" si="6"/>
        <v>12</v>
      </c>
      <c r="M22">
        <v>96695.113703925337</v>
      </c>
      <c r="P22">
        <v>0</v>
      </c>
    </row>
    <row r="23" spans="2:16" x14ac:dyDescent="0.2">
      <c r="B23" s="123" t="s">
        <v>320</v>
      </c>
      <c r="C23" s="167">
        <f t="shared" si="3"/>
        <v>1063273.0514289232</v>
      </c>
      <c r="D23" s="117">
        <f t="shared" si="0"/>
        <v>1.904826983838712E-4</v>
      </c>
      <c r="E23" s="168">
        <v>12.238920641195705</v>
      </c>
      <c r="F23" s="167">
        <f t="shared" si="4"/>
        <v>0</v>
      </c>
      <c r="G23" s="117">
        <f t="shared" si="1"/>
        <v>0</v>
      </c>
      <c r="H23" s="168"/>
      <c r="I23" s="150">
        <f t="shared" si="5"/>
        <v>1063273.0514289232</v>
      </c>
      <c r="J23" s="117">
        <f t="shared" si="2"/>
        <v>1.1634220958119828E-4</v>
      </c>
      <c r="K23" s="151">
        <f t="shared" si="6"/>
        <v>12.238920641195705</v>
      </c>
      <c r="M23">
        <v>1063273.0514289232</v>
      </c>
      <c r="P23">
        <v>0</v>
      </c>
    </row>
    <row r="24" spans="2:16" x14ac:dyDescent="0.2">
      <c r="B24" s="123" t="s">
        <v>321</v>
      </c>
      <c r="C24" s="167">
        <f t="shared" si="3"/>
        <v>2835814.7893028455</v>
      </c>
      <c r="D24" s="117">
        <f t="shared" si="0"/>
        <v>5.0802910170380099E-4</v>
      </c>
      <c r="E24" s="168">
        <v>59.13614573738851</v>
      </c>
      <c r="F24" s="167">
        <f t="shared" si="4"/>
        <v>41237.158739107261</v>
      </c>
      <c r="G24" s="117">
        <f t="shared" si="1"/>
        <v>1.1592612657272757E-5</v>
      </c>
      <c r="H24" s="168">
        <v>59.999999999999993</v>
      </c>
      <c r="I24" s="150">
        <f t="shared" si="5"/>
        <v>2877051.9480419527</v>
      </c>
      <c r="J24" s="117">
        <f t="shared" si="2"/>
        <v>3.1480397275682003E-4</v>
      </c>
      <c r="K24" s="151">
        <f t="shared" si="6"/>
        <v>59.148527472580675</v>
      </c>
      <c r="M24">
        <v>2835814.7893028455</v>
      </c>
      <c r="P24">
        <v>41237.158739107261</v>
      </c>
    </row>
    <row r="25" spans="2:16" x14ac:dyDescent="0.2">
      <c r="B25" s="123" t="s">
        <v>322</v>
      </c>
      <c r="C25" s="167">
        <f t="shared" si="3"/>
        <v>22894853.594059948</v>
      </c>
      <c r="D25" s="117">
        <f t="shared" si="0"/>
        <v>4.1015555560628596E-3</v>
      </c>
      <c r="E25" s="168">
        <v>59.015950248239214</v>
      </c>
      <c r="F25" s="167">
        <f t="shared" si="4"/>
        <v>4678967.0157601973</v>
      </c>
      <c r="G25" s="117">
        <f t="shared" si="1"/>
        <v>1.3153537709285367E-3</v>
      </c>
      <c r="H25" s="168">
        <v>58.737610739363497</v>
      </c>
      <c r="I25" s="150">
        <f t="shared" si="5"/>
        <v>27573820.609820146</v>
      </c>
      <c r="J25" s="117">
        <f t="shared" si="2"/>
        <v>3.0170982063646387E-3</v>
      </c>
      <c r="K25" s="151">
        <f t="shared" si="6"/>
        <v>58.968719166277779</v>
      </c>
      <c r="M25">
        <v>22894853.594059948</v>
      </c>
      <c r="P25">
        <v>4678967.0157601973</v>
      </c>
    </row>
    <row r="26" spans="2:16" x14ac:dyDescent="0.2">
      <c r="B26" s="123" t="s">
        <v>323</v>
      </c>
      <c r="C26" s="167">
        <f t="shared" si="3"/>
        <v>3550002.2321718903</v>
      </c>
      <c r="D26" s="117">
        <f t="shared" si="0"/>
        <v>6.3597398950731405E-4</v>
      </c>
      <c r="E26" s="168">
        <v>59.842075146056061</v>
      </c>
      <c r="F26" s="167">
        <f t="shared" si="4"/>
        <v>2842653.6630192394</v>
      </c>
      <c r="G26" s="117">
        <f t="shared" si="1"/>
        <v>7.9912835514799616E-4</v>
      </c>
      <c r="H26" s="168">
        <v>50.448401904037517</v>
      </c>
      <c r="I26" s="150">
        <f t="shared" si="5"/>
        <v>6392655.8951911293</v>
      </c>
      <c r="J26" s="117">
        <f t="shared" si="2"/>
        <v>6.9947762800844928E-4</v>
      </c>
      <c r="K26" s="151">
        <f t="shared" si="6"/>
        <v>55.66494437467869</v>
      </c>
      <c r="M26">
        <v>3550002.2321718903</v>
      </c>
      <c r="P26">
        <v>2842653.6630192394</v>
      </c>
    </row>
    <row r="27" spans="2:16" x14ac:dyDescent="0.2">
      <c r="B27" s="123" t="s">
        <v>324</v>
      </c>
      <c r="C27" s="167">
        <f t="shared" si="3"/>
        <v>1774827.1349381504</v>
      </c>
      <c r="D27" s="117">
        <f t="shared" si="0"/>
        <v>3.1795582646771639E-4</v>
      </c>
      <c r="E27" s="168">
        <v>44.894063595818764</v>
      </c>
      <c r="F27" s="167">
        <f t="shared" si="4"/>
        <v>0</v>
      </c>
      <c r="G27" s="117">
        <f t="shared" si="1"/>
        <v>0</v>
      </c>
      <c r="H27" s="168"/>
      <c r="I27" s="150">
        <f t="shared" si="5"/>
        <v>1774827.1349381504</v>
      </c>
      <c r="J27" s="117">
        <f t="shared" si="2"/>
        <v>1.9419970272534936E-4</v>
      </c>
      <c r="K27" s="151">
        <f t="shared" si="6"/>
        <v>44.894063595818764</v>
      </c>
      <c r="M27">
        <v>1774827.1349381504</v>
      </c>
      <c r="P27">
        <v>0</v>
      </c>
    </row>
    <row r="28" spans="2:16" x14ac:dyDescent="0.2">
      <c r="B28" s="123" t="s">
        <v>325</v>
      </c>
      <c r="C28" s="167">
        <f t="shared" si="3"/>
        <v>0</v>
      </c>
      <c r="D28" s="117">
        <f t="shared" si="0"/>
        <v>0</v>
      </c>
      <c r="E28" s="168"/>
      <c r="F28" s="167">
        <f t="shared" si="4"/>
        <v>33526.95134176212</v>
      </c>
      <c r="G28" s="117">
        <f t="shared" si="1"/>
        <v>9.4251149295523358E-6</v>
      </c>
      <c r="H28" s="168">
        <v>7.0000000000000009</v>
      </c>
      <c r="I28" s="150">
        <f t="shared" si="5"/>
        <v>33526.95134176212</v>
      </c>
      <c r="J28" s="117">
        <f t="shared" si="2"/>
        <v>3.6684834571702394E-6</v>
      </c>
      <c r="K28" s="151">
        <f t="shared" si="6"/>
        <v>7.0000000000000009</v>
      </c>
      <c r="M28">
        <v>0</v>
      </c>
      <c r="P28">
        <v>33526.95134176212</v>
      </c>
    </row>
    <row r="29" spans="2:16" x14ac:dyDescent="0.2">
      <c r="B29" s="5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2:16" x14ac:dyDescent="0.2">
      <c r="B30" s="119" t="s">
        <v>326</v>
      </c>
      <c r="C30" s="120">
        <f>+SUM(C31:C41)</f>
        <v>2922576203.5303922</v>
      </c>
      <c r="D30" s="121">
        <f>C30/C$9</f>
        <v>0.28580319138856763</v>
      </c>
      <c r="E30" s="122">
        <f>SUMPRODUCT(D31:D41,E31:E41)</f>
        <v>26.911781069161798</v>
      </c>
      <c r="F30" s="120">
        <f>+SUM(F31:F41)</f>
        <v>130260207.49593535</v>
      </c>
      <c r="G30" s="121">
        <f>F30/F$9</f>
        <v>3.4491611254674551E-2</v>
      </c>
      <c r="H30" s="122">
        <f>SUMPRODUCT(G31:G41,H31:H41)</f>
        <v>47.050320142028966</v>
      </c>
      <c r="I30" s="120">
        <f>+SUM(I31:I41)</f>
        <v>3052836411.0263267</v>
      </c>
      <c r="J30" s="121">
        <f>I30/I$9</f>
        <v>0.21802219381705171</v>
      </c>
      <c r="K30" s="122">
        <f>SUMPRODUCT(J31:J41,K31:K41)</f>
        <v>27.771064019542621</v>
      </c>
    </row>
    <row r="31" spans="2:16" x14ac:dyDescent="0.2">
      <c r="B31" s="123" t="s">
        <v>327</v>
      </c>
      <c r="C31" s="167">
        <f>M31</f>
        <v>288037106.6983242</v>
      </c>
      <c r="D31" s="117">
        <f t="shared" ref="D31:D41" si="7">IF(C31="","",C31/C$30)</f>
        <v>9.8555892691654462E-2</v>
      </c>
      <c r="E31" s="168">
        <v>28.863239950690573</v>
      </c>
      <c r="F31" s="167">
        <f>P31</f>
        <v>75248.266801609294</v>
      </c>
      <c r="G31" s="117">
        <f>IF(F31="","",F31/F$30)</f>
        <v>5.7767654641543043E-4</v>
      </c>
      <c r="H31" s="168">
        <v>28.95000000000001</v>
      </c>
      <c r="I31" s="150">
        <f t="shared" ref="I31:I41" si="8">+C31+F31</f>
        <v>288112354.9651258</v>
      </c>
      <c r="J31" s="117">
        <f>IF(I31="","",I31/I$30)</f>
        <v>9.4375300924908034E-2</v>
      </c>
      <c r="K31" s="151">
        <f t="shared" ref="K31:K41" si="9">IF(SUM(C31,F31)=0,"",(C31/SUM(C31,F31)*E31)+(F31/SUM(C31,F31)*H31))</f>
        <v>28.863262610403794</v>
      </c>
      <c r="M31">
        <v>288037106.6983242</v>
      </c>
      <c r="P31">
        <v>75248.266801609294</v>
      </c>
    </row>
    <row r="32" spans="2:16" x14ac:dyDescent="0.2">
      <c r="B32" s="123" t="s">
        <v>328</v>
      </c>
      <c r="C32" s="167">
        <f t="shared" ref="C32:C41" si="10">M32</f>
        <v>248206632.56494245</v>
      </c>
      <c r="D32" s="117">
        <f t="shared" si="7"/>
        <v>8.4927343302499902E-2</v>
      </c>
      <c r="E32" s="168">
        <v>12.918206524497204</v>
      </c>
      <c r="F32" s="167">
        <f t="shared" ref="F32:F41" si="11">P32</f>
        <v>11305.691872848631</v>
      </c>
      <c r="G32" s="117">
        <f t="shared" ref="G32:G41" si="12">IF(F32="","",F32/F$30)</f>
        <v>8.6793135756377596E-5</v>
      </c>
      <c r="H32" s="168">
        <v>9.5</v>
      </c>
      <c r="I32" s="150">
        <f t="shared" si="8"/>
        <v>248217938.25681528</v>
      </c>
      <c r="J32" s="117">
        <f t="shared" ref="J32:J41" si="13">IF(I32="","",I32/I$30)</f>
        <v>8.1307317142934432E-2</v>
      </c>
      <c r="K32" s="151">
        <f t="shared" si="9"/>
        <v>12.918050833937551</v>
      </c>
      <c r="M32">
        <v>248206632.56494245</v>
      </c>
      <c r="P32">
        <v>11305.691872848631</v>
      </c>
    </row>
    <row r="33" spans="2:16" x14ac:dyDescent="0.2">
      <c r="B33" s="123" t="s">
        <v>329</v>
      </c>
      <c r="C33" s="167">
        <f t="shared" si="10"/>
        <v>53654572.641636878</v>
      </c>
      <c r="D33" s="117">
        <f t="shared" si="7"/>
        <v>1.8358656508878579E-2</v>
      </c>
      <c r="E33" s="168">
        <v>13.959431794979418</v>
      </c>
      <c r="F33" s="167">
        <f t="shared" si="11"/>
        <v>551399.97506383166</v>
      </c>
      <c r="G33" s="117">
        <f t="shared" si="12"/>
        <v>4.2330653824656124E-3</v>
      </c>
      <c r="H33" s="168">
        <v>6.6618081846385637</v>
      </c>
      <c r="I33" s="150">
        <f t="shared" si="8"/>
        <v>54205972.616700709</v>
      </c>
      <c r="J33" s="117">
        <f t="shared" si="13"/>
        <v>1.7755937534326419E-2</v>
      </c>
      <c r="K33" s="151">
        <f t="shared" si="9"/>
        <v>13.885198102961363</v>
      </c>
      <c r="M33">
        <v>53654572.641636878</v>
      </c>
      <c r="P33">
        <v>551399.97506383166</v>
      </c>
    </row>
    <row r="34" spans="2:16" x14ac:dyDescent="0.2">
      <c r="B34" s="123" t="s">
        <v>330</v>
      </c>
      <c r="C34" s="167">
        <f t="shared" si="10"/>
        <v>1454717305.4515159</v>
      </c>
      <c r="D34" s="117">
        <f t="shared" si="7"/>
        <v>0.49775171086873876</v>
      </c>
      <c r="E34" s="168">
        <v>19.346750966034605</v>
      </c>
      <c r="F34" s="167">
        <f t="shared" si="11"/>
        <v>13521143.164776891</v>
      </c>
      <c r="G34" s="117">
        <f t="shared" si="12"/>
        <v>0.10380102584435701</v>
      </c>
      <c r="H34" s="168">
        <v>7.6914488451342571</v>
      </c>
      <c r="I34" s="150">
        <f t="shared" si="8"/>
        <v>1468238448.6162927</v>
      </c>
      <c r="J34" s="117">
        <f t="shared" si="13"/>
        <v>0.4809423928885494</v>
      </c>
      <c r="K34" s="151">
        <f t="shared" si="9"/>
        <v>19.239416214820363</v>
      </c>
      <c r="M34">
        <v>1454717305.4515159</v>
      </c>
      <c r="P34">
        <v>13521143.164776891</v>
      </c>
    </row>
    <row r="35" spans="2:16" x14ac:dyDescent="0.2">
      <c r="B35" s="123" t="s">
        <v>331</v>
      </c>
      <c r="C35" s="167">
        <f t="shared" si="10"/>
        <v>18027658.353866547</v>
      </c>
      <c r="D35" s="117">
        <f t="shared" si="7"/>
        <v>6.168413447043615E-3</v>
      </c>
      <c r="E35" s="168">
        <v>14.424585557546418</v>
      </c>
      <c r="F35" s="167">
        <f t="shared" si="11"/>
        <v>587669.54658888211</v>
      </c>
      <c r="G35" s="117">
        <f t="shared" si="12"/>
        <v>4.5115047633193716E-3</v>
      </c>
      <c r="H35" s="168">
        <v>7.4463317310566852</v>
      </c>
      <c r="I35" s="150">
        <f t="shared" si="8"/>
        <v>18615327.90045543</v>
      </c>
      <c r="J35" s="117">
        <f t="shared" si="13"/>
        <v>6.0977154993369538E-3</v>
      </c>
      <c r="K35" s="151">
        <f t="shared" si="9"/>
        <v>14.204288215263501</v>
      </c>
      <c r="M35">
        <v>18027658.353866547</v>
      </c>
      <c r="P35">
        <v>587669.54658888211</v>
      </c>
    </row>
    <row r="36" spans="2:16" x14ac:dyDescent="0.2">
      <c r="B36" s="123" t="s">
        <v>332</v>
      </c>
      <c r="C36" s="167">
        <f t="shared" si="10"/>
        <v>208742173.61814952</v>
      </c>
      <c r="D36" s="117">
        <f t="shared" si="7"/>
        <v>7.1424031088049872E-2</v>
      </c>
      <c r="E36" s="168">
        <v>11.746034718780729</v>
      </c>
      <c r="F36" s="167">
        <f t="shared" si="11"/>
        <v>296701.44941478892</v>
      </c>
      <c r="G36" s="117">
        <f t="shared" si="12"/>
        <v>2.2777596866951654E-3</v>
      </c>
      <c r="H36" s="168">
        <v>5.6655846943835302</v>
      </c>
      <c r="I36" s="150">
        <f t="shared" si="8"/>
        <v>209038875.06756431</v>
      </c>
      <c r="J36" s="117">
        <f t="shared" si="13"/>
        <v>6.8473657583665928E-2</v>
      </c>
      <c r="K36" s="151">
        <f t="shared" si="9"/>
        <v>11.737404370312055</v>
      </c>
      <c r="M36">
        <v>208742173.61814952</v>
      </c>
      <c r="P36">
        <v>296701.44941478892</v>
      </c>
    </row>
    <row r="37" spans="2:16" x14ac:dyDescent="0.2">
      <c r="B37" s="123" t="s">
        <v>333</v>
      </c>
      <c r="C37" s="167">
        <f t="shared" si="10"/>
        <v>70716326.407286927</v>
      </c>
      <c r="D37" s="117">
        <f t="shared" si="7"/>
        <v>2.4196572298735456E-2</v>
      </c>
      <c r="E37" s="168">
        <v>17.843504008797666</v>
      </c>
      <c r="F37" s="167">
        <f t="shared" si="11"/>
        <v>23264.922161057631</v>
      </c>
      <c r="G37" s="117">
        <f t="shared" si="12"/>
        <v>1.7860344773198362E-4</v>
      </c>
      <c r="H37" s="168">
        <v>9</v>
      </c>
      <c r="I37" s="150">
        <f t="shared" si="8"/>
        <v>70739591.329447985</v>
      </c>
      <c r="J37" s="117">
        <f t="shared" si="13"/>
        <v>2.3171759572163313E-2</v>
      </c>
      <c r="K37" s="151">
        <f t="shared" si="9"/>
        <v>17.8405955465274</v>
      </c>
      <c r="M37">
        <v>70716326.407286927</v>
      </c>
      <c r="P37">
        <v>23264.922161057631</v>
      </c>
    </row>
    <row r="38" spans="2:16" x14ac:dyDescent="0.2">
      <c r="B38" s="123" t="s">
        <v>334</v>
      </c>
      <c r="C38" s="167">
        <f t="shared" si="10"/>
        <v>292809499.08794427</v>
      </c>
      <c r="D38" s="117">
        <f t="shared" si="7"/>
        <v>0.10018883296669506</v>
      </c>
      <c r="E38" s="168">
        <v>59.212668871896405</v>
      </c>
      <c r="F38" s="167">
        <f t="shared" si="11"/>
        <v>18312647.769848406</v>
      </c>
      <c r="G38" s="117">
        <f t="shared" si="12"/>
        <v>0.14058512666210696</v>
      </c>
      <c r="H38" s="168">
        <v>54.85963215304141</v>
      </c>
      <c r="I38" s="150">
        <f t="shared" si="8"/>
        <v>311122146.85779268</v>
      </c>
      <c r="J38" s="117">
        <f t="shared" si="13"/>
        <v>0.10191248562617777</v>
      </c>
      <c r="K38" s="151">
        <f t="shared" si="9"/>
        <v>58.956449155727995</v>
      </c>
      <c r="M38">
        <v>292809499.08794427</v>
      </c>
      <c r="P38">
        <v>18312647.769848406</v>
      </c>
    </row>
    <row r="39" spans="2:16" x14ac:dyDescent="0.2">
      <c r="B39" s="123" t="s">
        <v>335</v>
      </c>
      <c r="C39" s="167">
        <f t="shared" si="10"/>
        <v>166134957.72572902</v>
      </c>
      <c r="D39" s="117">
        <f t="shared" si="7"/>
        <v>5.68453809775918E-2</v>
      </c>
      <c r="E39" s="168">
        <v>58.734231773153674</v>
      </c>
      <c r="F39" s="167">
        <f t="shared" si="11"/>
        <v>33175898.257970039</v>
      </c>
      <c r="G39" s="117">
        <f t="shared" si="12"/>
        <v>0.2546894319894682</v>
      </c>
      <c r="H39" s="168">
        <v>55.209571857279165</v>
      </c>
      <c r="I39" s="150">
        <f t="shared" si="8"/>
        <v>199310855.98369905</v>
      </c>
      <c r="J39" s="117">
        <f t="shared" si="13"/>
        <v>6.5287106529462929E-2</v>
      </c>
      <c r="K39" s="151">
        <f t="shared" si="9"/>
        <v>58.147541408567804</v>
      </c>
      <c r="M39">
        <v>166134957.72572902</v>
      </c>
      <c r="P39">
        <v>33175898.257970039</v>
      </c>
    </row>
    <row r="40" spans="2:16" x14ac:dyDescent="0.2">
      <c r="B40" s="123" t="s">
        <v>336</v>
      </c>
      <c r="C40" s="167">
        <f t="shared" si="10"/>
        <v>2467497.7736388533</v>
      </c>
      <c r="D40" s="117">
        <f t="shared" si="7"/>
        <v>8.4428860080985521E-4</v>
      </c>
      <c r="E40" s="168">
        <v>58.639242826573678</v>
      </c>
      <c r="F40" s="167">
        <f t="shared" si="11"/>
        <v>21560.615861788978</v>
      </c>
      <c r="G40" s="117">
        <f t="shared" si="12"/>
        <v>1.6551958787922058E-4</v>
      </c>
      <c r="H40" s="168">
        <v>59.999999999999993</v>
      </c>
      <c r="I40" s="150">
        <f t="shared" si="8"/>
        <v>2489058.3895006422</v>
      </c>
      <c r="J40" s="117">
        <f t="shared" si="13"/>
        <v>8.1532648801966136E-4</v>
      </c>
      <c r="K40" s="151">
        <f t="shared" si="9"/>
        <v>58.65102991956482</v>
      </c>
      <c r="M40">
        <v>2467497.7736388533</v>
      </c>
      <c r="P40">
        <v>21560.615861788978</v>
      </c>
    </row>
    <row r="41" spans="2:16" x14ac:dyDescent="0.2">
      <c r="B41" s="123" t="s">
        <v>337</v>
      </c>
      <c r="C41" s="167">
        <f t="shared" si="10"/>
        <v>119062473.20735696</v>
      </c>
      <c r="D41" s="117">
        <f t="shared" si="7"/>
        <v>4.0738877249302433E-2</v>
      </c>
      <c r="E41" s="168">
        <v>58.996984626905693</v>
      </c>
      <c r="F41" s="167">
        <f t="shared" si="11"/>
        <v>63683367.835575216</v>
      </c>
      <c r="G41" s="117">
        <f t="shared" si="12"/>
        <v>0.48889349295380474</v>
      </c>
      <c r="H41" s="168">
        <v>49.856280832478895</v>
      </c>
      <c r="I41" s="150">
        <f t="shared" si="8"/>
        <v>182745841.04293218</v>
      </c>
      <c r="J41" s="117">
        <f t="shared" si="13"/>
        <v>5.9861000210455179E-2</v>
      </c>
      <c r="K41" s="151">
        <f t="shared" si="9"/>
        <v>55.811627309363423</v>
      </c>
      <c r="M41">
        <v>119062473.20735696</v>
      </c>
      <c r="P41">
        <v>63683367.835575216</v>
      </c>
    </row>
    <row r="42" spans="2:16" x14ac:dyDescent="0.2">
      <c r="B42" s="5"/>
      <c r="C42" s="116"/>
      <c r="D42" s="117"/>
      <c r="E42" s="118"/>
      <c r="F42" s="116"/>
      <c r="G42" s="117"/>
      <c r="H42" s="118"/>
      <c r="I42" s="116"/>
      <c r="J42" s="117"/>
      <c r="K42" s="118"/>
    </row>
    <row r="43" spans="2:16" x14ac:dyDescent="0.2">
      <c r="B43" s="119" t="s">
        <v>338</v>
      </c>
      <c r="C43" s="120">
        <f>+SUM(C44:C47)</f>
        <v>1721265734.5022285</v>
      </c>
      <c r="D43" s="121">
        <f>C43/C$9</f>
        <v>0.16832520553416874</v>
      </c>
      <c r="E43" s="122">
        <f>SUMPRODUCT(D44:D47,E44:E47)</f>
        <v>11.618543495566982</v>
      </c>
      <c r="F43" s="120">
        <f>+SUM(F44:F47)</f>
        <v>89123423.252053499</v>
      </c>
      <c r="G43" s="121">
        <f>F43/F$9</f>
        <v>2.359899870873132E-2</v>
      </c>
      <c r="H43" s="122">
        <f>SUMPRODUCT(G44:G47,H44:H47)</f>
        <v>7.9601378284286417</v>
      </c>
      <c r="I43" s="120">
        <f>+SUM(I44:I47)</f>
        <v>1810389157.7542822</v>
      </c>
      <c r="J43" s="121">
        <f>I43/I$9</f>
        <v>0.12929124351720439</v>
      </c>
      <c r="K43" s="122">
        <f>SUMPRODUCT(J44:J47,K44:K47)</f>
        <v>11.438444296837503</v>
      </c>
      <c r="M43">
        <v>1721265734.502229</v>
      </c>
      <c r="P43">
        <v>89123423.252053499</v>
      </c>
    </row>
    <row r="44" spans="2:16" x14ac:dyDescent="0.2">
      <c r="B44" s="123" t="s">
        <v>339</v>
      </c>
      <c r="C44" s="167">
        <f>M44</f>
        <v>1622731822.655894</v>
      </c>
      <c r="D44" s="117">
        <f>IF(C44="","",C44/C$43)</f>
        <v>0.94275496811953363</v>
      </c>
      <c r="E44" s="168">
        <v>11.559844778973996</v>
      </c>
      <c r="F44" s="167">
        <f>P44</f>
        <v>74442202.305056334</v>
      </c>
      <c r="G44" s="117">
        <f>IF(F44="","",F44/F$43)</f>
        <v>0.83527090397463055</v>
      </c>
      <c r="H44" s="168">
        <v>7.6864617901158194</v>
      </c>
      <c r="I44" s="150">
        <f t="shared" ref="I44:I47" si="14">+C44+F44</f>
        <v>1697174024.9609504</v>
      </c>
      <c r="J44" s="117">
        <f>IF(I44="","",I44/I$43)</f>
        <v>0.93746364846010743</v>
      </c>
      <c r="K44" s="151">
        <f t="shared" ref="K44:K47" si="15">IF(SUM(C44,F44)=0,"",(C44/SUM(C44,F44)*E44)+(F44/SUM(C44,F44)*H44))</f>
        <v>11.389948730707422</v>
      </c>
      <c r="M44">
        <v>1622731822.655894</v>
      </c>
      <c r="P44">
        <v>74442202.305056334</v>
      </c>
    </row>
    <row r="45" spans="2:16" x14ac:dyDescent="0.2">
      <c r="B45" s="123" t="s">
        <v>340</v>
      </c>
      <c r="C45" s="167">
        <f t="shared" ref="C45:C47" si="16">M45</f>
        <v>60991074.053647391</v>
      </c>
      <c r="D45" s="117">
        <f>IF(C45="","",C45/C$43)</f>
        <v>3.5433851282286377E-2</v>
      </c>
      <c r="E45" s="168">
        <v>12.271257538714192</v>
      </c>
      <c r="F45" s="167">
        <f t="shared" ref="F45:F47" si="17">P45</f>
        <v>6961376.1463229731</v>
      </c>
      <c r="G45" s="117">
        <f>IF(F45="","",F45/F$43)</f>
        <v>7.8109389118001318E-2</v>
      </c>
      <c r="H45" s="168">
        <v>7.5497862075082809</v>
      </c>
      <c r="I45" s="150">
        <f t="shared" si="14"/>
        <v>67952450.199970365</v>
      </c>
      <c r="J45" s="117">
        <f>IF(I45="","",I45/I$43)</f>
        <v>3.7534720040117091E-2</v>
      </c>
      <c r="K45" s="151">
        <f t="shared" si="15"/>
        <v>11.787567284663293</v>
      </c>
      <c r="M45">
        <v>60991074.053647391</v>
      </c>
      <c r="P45">
        <v>6961376.1463229731</v>
      </c>
    </row>
    <row r="46" spans="2:16" x14ac:dyDescent="0.2">
      <c r="B46" s="123" t="s">
        <v>341</v>
      </c>
      <c r="C46" s="167">
        <f t="shared" si="16"/>
        <v>37217843.844172031</v>
      </c>
      <c r="D46" s="117">
        <f>IF(C46="","",C46/C$43)</f>
        <v>2.1622369572665102E-2</v>
      </c>
      <c r="E46" s="168">
        <v>13.094219779185918</v>
      </c>
      <c r="F46" s="167">
        <f t="shared" si="17"/>
        <v>7656352.8860343993</v>
      </c>
      <c r="G46" s="117">
        <f>IF(F46="","",F46/F$43)</f>
        <v>8.5907302554808329E-2</v>
      </c>
      <c r="H46" s="168">
        <v>11</v>
      </c>
      <c r="I46" s="150">
        <f t="shared" si="14"/>
        <v>44874196.73020643</v>
      </c>
      <c r="J46" s="117">
        <f>IF(I46="","",I46/I$43)</f>
        <v>2.4787044563319819E-2</v>
      </c>
      <c r="K46" s="151">
        <f t="shared" si="15"/>
        <v>12.736907853431328</v>
      </c>
      <c r="M46">
        <v>37217843.844172031</v>
      </c>
      <c r="P46">
        <v>7656352.8860343993</v>
      </c>
    </row>
    <row r="47" spans="2:16" x14ac:dyDescent="0.2">
      <c r="B47" s="123" t="s">
        <v>342</v>
      </c>
      <c r="C47" s="167">
        <f t="shared" si="16"/>
        <v>324993.94851527817</v>
      </c>
      <c r="D47" s="117">
        <f>IF(C47="","",C47/C$43)</f>
        <v>1.8881102551504805E-4</v>
      </c>
      <c r="E47" s="168">
        <v>13.221820532408014</v>
      </c>
      <c r="F47" s="167">
        <f t="shared" si="17"/>
        <v>63491.914639801274</v>
      </c>
      <c r="G47" s="117">
        <f>IF(F47="","",F47/F$43)</f>
        <v>7.1240435255990188E-4</v>
      </c>
      <c r="H47" s="168">
        <v>7.2577095727871708</v>
      </c>
      <c r="I47" s="150">
        <f t="shared" si="14"/>
        <v>388485.86315507942</v>
      </c>
      <c r="J47" s="117">
        <f>IF(I47="","",I47/I$43)</f>
        <v>2.1458693645568509E-4</v>
      </c>
      <c r="K47" s="151">
        <f t="shared" si="15"/>
        <v>12.247080239736443</v>
      </c>
      <c r="M47">
        <v>324993.94851527817</v>
      </c>
      <c r="P47">
        <v>63491.914639801274</v>
      </c>
    </row>
    <row r="48" spans="2:16" x14ac:dyDescent="0.2">
      <c r="B48" s="5"/>
      <c r="C48" s="169"/>
      <c r="D48" s="27"/>
      <c r="E48" s="27"/>
      <c r="F48" s="169"/>
      <c r="G48" s="27"/>
      <c r="H48" s="170"/>
      <c r="I48" s="27"/>
      <c r="J48" s="27"/>
      <c r="K48" s="170"/>
    </row>
    <row r="73" spans="13:14" x14ac:dyDescent="0.2">
      <c r="M73" s="5"/>
      <c r="N73" s="5"/>
    </row>
  </sheetData>
  <mergeCells count="4">
    <mergeCell ref="B7:B8"/>
    <mergeCell ref="C7:E8"/>
    <mergeCell ref="F7:H8"/>
    <mergeCell ref="I7:K8"/>
  </mergeCells>
  <phoneticPr fontId="8" type="noConversion"/>
  <pageMargins left="0.75" right="0.75" top="1" bottom="1" header="0.5" footer="0.5"/>
  <pageSetup scale="5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P73"/>
  <sheetViews>
    <sheetView showGridLines="0" workbookViewId="0">
      <selection activeCell="A6" sqref="A6:XFD6"/>
    </sheetView>
  </sheetViews>
  <sheetFormatPr baseColWidth="10" defaultRowHeight="16" x14ac:dyDescent="0.2"/>
  <cols>
    <col min="1" max="1" width="3.83203125" customWidth="1"/>
    <col min="2" max="2" width="64" bestFit="1" customWidth="1"/>
    <col min="3" max="11" width="15.83203125" customWidth="1"/>
  </cols>
  <sheetData>
    <row r="2" spans="2:16" x14ac:dyDescent="0.2">
      <c r="B2" s="51" t="s">
        <v>379</v>
      </c>
      <c r="C2" s="26"/>
      <c r="D2" s="26"/>
      <c r="E2" s="26"/>
      <c r="F2" s="26"/>
      <c r="G2" s="26"/>
      <c r="H2" s="26"/>
      <c r="I2" s="26"/>
      <c r="J2" s="26"/>
      <c r="K2" s="26"/>
    </row>
    <row r="3" spans="2:16" x14ac:dyDescent="0.2">
      <c r="B3" s="51" t="s">
        <v>346</v>
      </c>
      <c r="C3" s="26"/>
      <c r="D3" s="26"/>
      <c r="E3" s="26"/>
      <c r="F3" s="26"/>
      <c r="G3" s="26"/>
      <c r="H3" s="26"/>
      <c r="I3" s="26"/>
      <c r="J3" s="26"/>
      <c r="K3" s="26"/>
    </row>
    <row r="4" spans="2:16" x14ac:dyDescent="0.2">
      <c r="B4" s="51" t="s">
        <v>344</v>
      </c>
      <c r="C4" s="26"/>
      <c r="D4" s="26"/>
      <c r="E4" s="26"/>
      <c r="F4" s="26"/>
      <c r="G4" s="26"/>
      <c r="H4" s="26"/>
      <c r="I4" s="26"/>
      <c r="J4" s="26"/>
      <c r="K4" s="26"/>
    </row>
    <row r="5" spans="2:16" x14ac:dyDescent="0.2">
      <c r="B5" s="51" t="s">
        <v>301</v>
      </c>
      <c r="C5" s="177"/>
      <c r="D5" s="177"/>
      <c r="E5" s="177"/>
      <c r="F5" s="177"/>
      <c r="G5" s="177"/>
      <c r="H5" s="177"/>
      <c r="I5" s="177"/>
      <c r="J5" s="177"/>
      <c r="K5" s="177"/>
    </row>
    <row r="6" spans="2:16" x14ac:dyDescent="0.2">
      <c r="B6" s="51"/>
      <c r="C6" s="177"/>
      <c r="D6" s="177"/>
      <c r="E6" s="177"/>
      <c r="F6" s="177"/>
      <c r="G6" s="177"/>
      <c r="H6" s="177"/>
      <c r="I6" s="177"/>
      <c r="J6" s="177"/>
      <c r="K6" s="177"/>
    </row>
    <row r="7" spans="2:16" x14ac:dyDescent="0.2">
      <c r="B7" s="272" t="s">
        <v>370</v>
      </c>
      <c r="C7" s="266" t="s">
        <v>306</v>
      </c>
      <c r="D7" s="267"/>
      <c r="E7" s="268"/>
      <c r="F7" s="266" t="s">
        <v>307</v>
      </c>
      <c r="G7" s="267"/>
      <c r="H7" s="268"/>
      <c r="I7" s="266" t="s">
        <v>233</v>
      </c>
      <c r="J7" s="267"/>
      <c r="K7" s="268"/>
      <c r="M7" s="166">
        <v>43.310583333333334</v>
      </c>
    </row>
    <row r="8" spans="2:16" x14ac:dyDescent="0.2">
      <c r="B8" s="273"/>
      <c r="C8" s="269"/>
      <c r="D8" s="270"/>
      <c r="E8" s="271"/>
      <c r="F8" s="269"/>
      <c r="G8" s="270"/>
      <c r="H8" s="271"/>
      <c r="I8" s="269"/>
      <c r="J8" s="270"/>
      <c r="K8" s="271"/>
    </row>
    <row r="9" spans="2:16" ht="17" thickBot="1" x14ac:dyDescent="0.25">
      <c r="B9" s="171" t="s">
        <v>343</v>
      </c>
      <c r="C9" s="172">
        <f>+C11+C43+C30</f>
        <v>2942854807.150444</v>
      </c>
      <c r="D9" s="173">
        <f>C9/I9</f>
        <v>0.74642502670799449</v>
      </c>
      <c r="E9" s="174">
        <f>D11*E11+D43*E43+D30*E30</f>
        <v>17.32730709124435</v>
      </c>
      <c r="F9" s="172">
        <f>+F11+F43+F30</f>
        <v>999744518.77181673</v>
      </c>
      <c r="G9" s="173">
        <f>F9/I9</f>
        <v>0.25357497329200568</v>
      </c>
      <c r="H9" s="174">
        <f>G11*H11+G43*H43+G30*H30</f>
        <v>7.9300110412336524</v>
      </c>
      <c r="I9" s="172">
        <f>+I11+I43+I30</f>
        <v>3942599325.9222603</v>
      </c>
      <c r="J9" s="173">
        <f>I9/I9</f>
        <v>1</v>
      </c>
      <c r="K9" s="174">
        <f>J11*K11+J43*K43+J30*K30</f>
        <v>14.944387996345817</v>
      </c>
    </row>
    <row r="10" spans="2:16" ht="17" thickTop="1" x14ac:dyDescent="0.2">
      <c r="B10" s="5"/>
      <c r="C10" s="116"/>
      <c r="D10" s="117"/>
      <c r="E10" s="118"/>
      <c r="F10" s="116"/>
      <c r="G10" s="117"/>
      <c r="H10" s="118"/>
      <c r="I10" s="116"/>
      <c r="J10" s="117"/>
      <c r="K10" s="118"/>
    </row>
    <row r="11" spans="2:16" x14ac:dyDescent="0.2">
      <c r="B11" s="119" t="s">
        <v>308</v>
      </c>
      <c r="C11" s="120">
        <f>SUM(C12:C28)</f>
        <v>1601314774.4367304</v>
      </c>
      <c r="D11" s="121">
        <f>C11/C$9</f>
        <v>0.54413652027477288</v>
      </c>
      <c r="E11" s="122">
        <f>SUMPRODUCT(D12:D28,E12:E28)</f>
        <v>13.480765794867704</v>
      </c>
      <c r="F11" s="120">
        <f>SUM(F12:F28)</f>
        <v>933993889.7063266</v>
      </c>
      <c r="G11" s="121">
        <f>F11/F$9</f>
        <v>0.93423256859035886</v>
      </c>
      <c r="H11" s="122">
        <f>SUMPRODUCT(G12:G28,H12:H28)</f>
        <v>6.5781303008731005</v>
      </c>
      <c r="I11" s="120">
        <f>SUM(I12:I28)</f>
        <v>2535308664.1430569</v>
      </c>
      <c r="J11" s="121">
        <f>I11/I$9</f>
        <v>0.64305511530771453</v>
      </c>
      <c r="K11" s="122">
        <f>SUMPRODUCT(J12:J28,K12:K28)</f>
        <v>10.937872511126219</v>
      </c>
    </row>
    <row r="12" spans="2:16" x14ac:dyDescent="0.2">
      <c r="B12" s="123" t="s">
        <v>309</v>
      </c>
      <c r="C12" s="167">
        <f>M12</f>
        <v>0</v>
      </c>
      <c r="D12" s="117">
        <f t="shared" ref="D12:D28" si="0">IF(C12="","",C12/C$11)</f>
        <v>0</v>
      </c>
      <c r="E12" s="168">
        <v>17.235822083069344</v>
      </c>
      <c r="F12" s="167">
        <f>P12</f>
        <v>0</v>
      </c>
      <c r="G12" s="117">
        <f t="shared" ref="G12:G28" si="1">IF(F12="","",F12/F$11)</f>
        <v>0</v>
      </c>
      <c r="H12" s="168">
        <v>6.6030737245107556</v>
      </c>
      <c r="I12" s="150">
        <f>+C12+F12</f>
        <v>0</v>
      </c>
      <c r="J12" s="117">
        <f t="shared" ref="J12:J28" si="2">IF(I12="","",I12/I$11)</f>
        <v>0</v>
      </c>
      <c r="K12" s="151" t="str">
        <f>IF(SUM(C12,F12)=0,"",(C12/SUM(C12,F12)*E12)+(F12/SUM(C12,F12)*H12))</f>
        <v/>
      </c>
      <c r="M12">
        <v>0</v>
      </c>
      <c r="P12">
        <v>0</v>
      </c>
    </row>
    <row r="13" spans="2:16" x14ac:dyDescent="0.2">
      <c r="B13" s="123" t="s">
        <v>310</v>
      </c>
      <c r="C13" s="167">
        <f t="shared" ref="C13:C28" si="3">M13</f>
        <v>548144964.78181791</v>
      </c>
      <c r="D13" s="117">
        <f t="shared" si="0"/>
        <v>0.34230931577748686</v>
      </c>
      <c r="E13" s="168">
        <v>12.019401807237736</v>
      </c>
      <c r="F13" s="167">
        <f t="shared" ref="F13:F28" si="4">P13</f>
        <v>251031569.39893454</v>
      </c>
      <c r="G13" s="117">
        <f t="shared" si="1"/>
        <v>0.2687721752418164</v>
      </c>
      <c r="H13" s="168">
        <v>5.217085905074744</v>
      </c>
      <c r="I13" s="150">
        <f t="shared" ref="I13:I28" si="5">+C13+F13</f>
        <v>799176534.18075252</v>
      </c>
      <c r="J13" s="117">
        <f t="shared" si="2"/>
        <v>0.31521863411880735</v>
      </c>
      <c r="K13" s="151">
        <f t="shared" ref="K13:K28" si="6">IF(SUM(C13,F13)=0,"",(C13/SUM(C13,F13)*E13)+(F13/SUM(C13,F13)*H13))</f>
        <v>9.882707393133364</v>
      </c>
      <c r="M13">
        <v>548144964.78181791</v>
      </c>
      <c r="P13">
        <v>251031569.39893454</v>
      </c>
    </row>
    <row r="14" spans="2:16" x14ac:dyDescent="0.2">
      <c r="B14" s="123" t="s">
        <v>311</v>
      </c>
      <c r="C14" s="167">
        <f t="shared" si="3"/>
        <v>989140655.48312616</v>
      </c>
      <c r="D14" s="117">
        <f t="shared" si="0"/>
        <v>0.617705320199185</v>
      </c>
      <c r="E14" s="168">
        <v>13.494121087789848</v>
      </c>
      <c r="F14" s="167">
        <f t="shared" si="4"/>
        <v>653939527.87682748</v>
      </c>
      <c r="G14" s="117">
        <f t="shared" si="1"/>
        <v>0.70015396790491213</v>
      </c>
      <c r="H14" s="168">
        <v>7.1076837484909046</v>
      </c>
      <c r="I14" s="150">
        <f t="shared" si="5"/>
        <v>1643080183.3599536</v>
      </c>
      <c r="J14" s="117">
        <f t="shared" si="2"/>
        <v>0.64807895251496739</v>
      </c>
      <c r="K14" s="151">
        <f t="shared" si="6"/>
        <v>10.952343844797458</v>
      </c>
      <c r="M14">
        <v>989140655.48312616</v>
      </c>
      <c r="P14">
        <v>653939527.87682748</v>
      </c>
    </row>
    <row r="15" spans="2:16" x14ac:dyDescent="0.2">
      <c r="B15" s="123" t="s">
        <v>312</v>
      </c>
      <c r="C15" s="167">
        <f t="shared" si="3"/>
        <v>3333.7288230166992</v>
      </c>
      <c r="D15" s="117">
        <f t="shared" si="0"/>
        <v>2.0818697711631077E-6</v>
      </c>
      <c r="E15" s="168">
        <v>16.537873383268323</v>
      </c>
      <c r="F15" s="167">
        <f t="shared" si="4"/>
        <v>0</v>
      </c>
      <c r="G15" s="117">
        <f t="shared" si="1"/>
        <v>0</v>
      </c>
      <c r="H15" s="168"/>
      <c r="I15" s="150">
        <f t="shared" si="5"/>
        <v>3333.7288230166992</v>
      </c>
      <c r="J15" s="117">
        <f t="shared" si="2"/>
        <v>1.3149202975423551E-6</v>
      </c>
      <c r="K15" s="151">
        <f t="shared" si="6"/>
        <v>16.537873383268323</v>
      </c>
      <c r="M15">
        <v>3333.7288230166992</v>
      </c>
      <c r="P15">
        <v>0</v>
      </c>
    </row>
    <row r="16" spans="2:16" x14ac:dyDescent="0.2">
      <c r="B16" s="123" t="s">
        <v>313</v>
      </c>
      <c r="C16" s="167">
        <f t="shared" si="3"/>
        <v>0</v>
      </c>
      <c r="D16" s="117">
        <f t="shared" si="0"/>
        <v>0</v>
      </c>
      <c r="E16" s="168">
        <v>24.410394867460891</v>
      </c>
      <c r="F16" s="167">
        <f t="shared" si="4"/>
        <v>0</v>
      </c>
      <c r="G16" s="117">
        <f t="shared" si="1"/>
        <v>0</v>
      </c>
      <c r="H16" s="168"/>
      <c r="I16" s="150">
        <f t="shared" si="5"/>
        <v>0</v>
      </c>
      <c r="J16" s="117">
        <f t="shared" si="2"/>
        <v>0</v>
      </c>
      <c r="K16" s="151" t="str">
        <f t="shared" si="6"/>
        <v/>
      </c>
      <c r="M16">
        <v>0</v>
      </c>
      <c r="P16">
        <v>0</v>
      </c>
    </row>
    <row r="17" spans="2:16" x14ac:dyDescent="0.2">
      <c r="B17" s="123" t="s">
        <v>314</v>
      </c>
      <c r="C17" s="167">
        <f t="shared" si="3"/>
        <v>52728.617216346283</v>
      </c>
      <c r="D17" s="117">
        <f t="shared" si="0"/>
        <v>3.2928327433245475E-5</v>
      </c>
      <c r="E17" s="168">
        <v>21.296160700092098</v>
      </c>
      <c r="F17" s="167">
        <f t="shared" si="4"/>
        <v>1166959.2293646471</v>
      </c>
      <c r="G17" s="117">
        <f t="shared" si="1"/>
        <v>1.249429190303987E-3</v>
      </c>
      <c r="H17" s="168">
        <v>8.100133951095696</v>
      </c>
      <c r="I17" s="150">
        <f t="shared" si="5"/>
        <v>1219687.8465809934</v>
      </c>
      <c r="J17" s="117">
        <f t="shared" si="2"/>
        <v>4.81080613114716E-4</v>
      </c>
      <c r="K17" s="151">
        <f t="shared" si="6"/>
        <v>8.6706145418263265</v>
      </c>
      <c r="M17">
        <v>52728.617216346283</v>
      </c>
      <c r="P17">
        <v>1166959.2293646471</v>
      </c>
    </row>
    <row r="18" spans="2:16" x14ac:dyDescent="0.2">
      <c r="B18" s="123" t="s">
        <v>315</v>
      </c>
      <c r="C18" s="167">
        <f t="shared" si="3"/>
        <v>7098741.2439992521</v>
      </c>
      <c r="D18" s="117">
        <f t="shared" si="0"/>
        <v>4.4330704726659792E-3</v>
      </c>
      <c r="E18" s="168">
        <v>45.294672409636213</v>
      </c>
      <c r="F18" s="167">
        <f t="shared" si="4"/>
        <v>18463114.195568059</v>
      </c>
      <c r="G18" s="117">
        <f t="shared" si="1"/>
        <v>1.9767917541059471E-2</v>
      </c>
      <c r="H18" s="168">
        <v>5.8822005843245329</v>
      </c>
      <c r="I18" s="150">
        <f t="shared" si="5"/>
        <v>25561855.439567313</v>
      </c>
      <c r="J18" s="117">
        <f t="shared" si="2"/>
        <v>1.0082344529125533E-2</v>
      </c>
      <c r="K18" s="151">
        <f t="shared" si="6"/>
        <v>16.82737394764883</v>
      </c>
      <c r="M18">
        <v>7098741.2439992521</v>
      </c>
      <c r="P18">
        <v>18463114.195568059</v>
      </c>
    </row>
    <row r="19" spans="2:16" x14ac:dyDescent="0.2">
      <c r="B19" s="123" t="s">
        <v>316</v>
      </c>
      <c r="C19" s="167">
        <f t="shared" si="3"/>
        <v>41417069.11967244</v>
      </c>
      <c r="D19" s="117">
        <f t="shared" si="0"/>
        <v>2.5864414530391802E-2</v>
      </c>
      <c r="E19" s="168">
        <v>11.694793663004091</v>
      </c>
      <c r="F19" s="167">
        <f t="shared" si="4"/>
        <v>9262718.6346678156</v>
      </c>
      <c r="G19" s="117">
        <f t="shared" si="1"/>
        <v>9.9173225186518828E-3</v>
      </c>
      <c r="H19" s="168">
        <v>7.270214207120115</v>
      </c>
      <c r="I19" s="150">
        <f t="shared" si="5"/>
        <v>50679787.754340254</v>
      </c>
      <c r="J19" s="117">
        <f t="shared" si="2"/>
        <v>1.9989592774681025E-2</v>
      </c>
      <c r="K19" s="151">
        <f t="shared" si="6"/>
        <v>10.886115560892762</v>
      </c>
      <c r="M19">
        <v>41417069.11967244</v>
      </c>
      <c r="P19">
        <v>9262718.6346678156</v>
      </c>
    </row>
    <row r="20" spans="2:16" x14ac:dyDescent="0.2">
      <c r="B20" s="123" t="s">
        <v>317</v>
      </c>
      <c r="C20" s="167">
        <f t="shared" si="3"/>
        <v>0</v>
      </c>
      <c r="D20" s="117">
        <f t="shared" si="0"/>
        <v>0</v>
      </c>
      <c r="E20" s="168">
        <v>7.99</v>
      </c>
      <c r="F20" s="167">
        <f t="shared" si="4"/>
        <v>0</v>
      </c>
      <c r="G20" s="117">
        <f t="shared" si="1"/>
        <v>0</v>
      </c>
      <c r="H20" s="168"/>
      <c r="I20" s="150">
        <f t="shared" si="5"/>
        <v>0</v>
      </c>
      <c r="J20" s="117">
        <f t="shared" si="2"/>
        <v>0</v>
      </c>
      <c r="K20" s="151" t="str">
        <f t="shared" si="6"/>
        <v/>
      </c>
      <c r="M20">
        <v>0</v>
      </c>
      <c r="P20">
        <v>0</v>
      </c>
    </row>
    <row r="21" spans="2:16" x14ac:dyDescent="0.2">
      <c r="B21" s="123" t="s">
        <v>318</v>
      </c>
      <c r="C21" s="167">
        <f t="shared" si="3"/>
        <v>1471200.6783561367</v>
      </c>
      <c r="D21" s="117">
        <f t="shared" si="0"/>
        <v>9.1874545957001995E-4</v>
      </c>
      <c r="E21" s="168">
        <v>12.04854437501897</v>
      </c>
      <c r="F21" s="167">
        <f t="shared" si="4"/>
        <v>130000.37096398686</v>
      </c>
      <c r="G21" s="117">
        <f t="shared" si="1"/>
        <v>1.3918760325601546E-4</v>
      </c>
      <c r="H21" s="168">
        <v>6.8205473397154739</v>
      </c>
      <c r="I21" s="150">
        <f t="shared" si="5"/>
        <v>1601201.0493201236</v>
      </c>
      <c r="J21" s="117">
        <f t="shared" si="2"/>
        <v>6.315605953491802E-4</v>
      </c>
      <c r="K21" s="151">
        <f t="shared" si="6"/>
        <v>11.624087025158591</v>
      </c>
      <c r="M21">
        <v>1471200.6783561367</v>
      </c>
      <c r="P21">
        <v>130000.37096398686</v>
      </c>
    </row>
    <row r="22" spans="2:16" x14ac:dyDescent="0.2">
      <c r="B22" s="123" t="s">
        <v>319</v>
      </c>
      <c r="C22" s="167">
        <f t="shared" si="3"/>
        <v>0</v>
      </c>
      <c r="D22" s="117">
        <f t="shared" si="0"/>
        <v>0</v>
      </c>
      <c r="E22" s="168">
        <v>12</v>
      </c>
      <c r="F22" s="167">
        <f t="shared" si="4"/>
        <v>0</v>
      </c>
      <c r="G22" s="117">
        <f t="shared" si="1"/>
        <v>0</v>
      </c>
      <c r="H22" s="168"/>
      <c r="I22" s="150">
        <f t="shared" si="5"/>
        <v>0</v>
      </c>
      <c r="J22" s="117">
        <f t="shared" si="2"/>
        <v>0</v>
      </c>
      <c r="K22" s="151" t="str">
        <f t="shared" si="6"/>
        <v/>
      </c>
      <c r="M22">
        <v>0</v>
      </c>
      <c r="P22">
        <v>0</v>
      </c>
    </row>
    <row r="23" spans="2:16" x14ac:dyDescent="0.2">
      <c r="B23" s="123" t="s">
        <v>320</v>
      </c>
      <c r="C23" s="167">
        <f t="shared" si="3"/>
        <v>0</v>
      </c>
      <c r="D23" s="117">
        <f t="shared" si="0"/>
        <v>0</v>
      </c>
      <c r="E23" s="168">
        <v>12.238920641195705</v>
      </c>
      <c r="F23" s="167">
        <f t="shared" si="4"/>
        <v>0</v>
      </c>
      <c r="G23" s="117">
        <f t="shared" si="1"/>
        <v>0</v>
      </c>
      <c r="H23" s="168"/>
      <c r="I23" s="150">
        <f t="shared" si="5"/>
        <v>0</v>
      </c>
      <c r="J23" s="117">
        <f t="shared" si="2"/>
        <v>0</v>
      </c>
      <c r="K23" s="151" t="str">
        <f t="shared" si="6"/>
        <v/>
      </c>
      <c r="M23">
        <v>0</v>
      </c>
      <c r="P23">
        <v>0</v>
      </c>
    </row>
    <row r="24" spans="2:16" x14ac:dyDescent="0.2">
      <c r="B24" s="123" t="s">
        <v>321</v>
      </c>
      <c r="C24" s="167">
        <f t="shared" si="3"/>
        <v>1166284.265701032</v>
      </c>
      <c r="D24" s="117">
        <f t="shared" si="0"/>
        <v>7.2832917320161342E-4</v>
      </c>
      <c r="E24" s="168">
        <v>59.13614573738851</v>
      </c>
      <c r="F24" s="167">
        <f t="shared" si="4"/>
        <v>0</v>
      </c>
      <c r="G24" s="117">
        <f t="shared" si="1"/>
        <v>0</v>
      </c>
      <c r="H24" s="168">
        <v>59.999999999999993</v>
      </c>
      <c r="I24" s="150">
        <f t="shared" si="5"/>
        <v>1166284.265701032</v>
      </c>
      <c r="J24" s="117">
        <f t="shared" si="2"/>
        <v>4.6001667654744523E-4</v>
      </c>
      <c r="K24" s="151">
        <f t="shared" si="6"/>
        <v>59.13614573738851</v>
      </c>
      <c r="M24">
        <v>1166284.265701032</v>
      </c>
      <c r="P24">
        <v>0</v>
      </c>
    </row>
    <row r="25" spans="2:16" x14ac:dyDescent="0.2">
      <c r="B25" s="123" t="s">
        <v>322</v>
      </c>
      <c r="C25" s="167">
        <f t="shared" si="3"/>
        <v>12011195.806490706</v>
      </c>
      <c r="D25" s="117">
        <f t="shared" si="0"/>
        <v>7.5008336888140546E-3</v>
      </c>
      <c r="E25" s="168">
        <v>59.015950248239214</v>
      </c>
      <c r="F25" s="167">
        <f t="shared" si="4"/>
        <v>0</v>
      </c>
      <c r="G25" s="117">
        <f t="shared" si="1"/>
        <v>0</v>
      </c>
      <c r="H25" s="168">
        <v>58.737610739363497</v>
      </c>
      <c r="I25" s="150">
        <f t="shared" si="5"/>
        <v>12011195.806490706</v>
      </c>
      <c r="J25" s="117">
        <f t="shared" si="2"/>
        <v>4.7375674513976907E-3</v>
      </c>
      <c r="K25" s="151">
        <f t="shared" si="6"/>
        <v>59.015950248239214</v>
      </c>
      <c r="M25">
        <v>12011195.806490706</v>
      </c>
      <c r="P25">
        <v>0</v>
      </c>
    </row>
    <row r="26" spans="2:16" x14ac:dyDescent="0.2">
      <c r="B26" s="123" t="s">
        <v>323</v>
      </c>
      <c r="C26" s="167">
        <f t="shared" si="3"/>
        <v>807124.36706193816</v>
      </c>
      <c r="D26" s="117">
        <f t="shared" si="0"/>
        <v>5.0403854379339492E-4</v>
      </c>
      <c r="E26" s="168">
        <v>59.842075146056061</v>
      </c>
      <c r="F26" s="167">
        <f t="shared" si="4"/>
        <v>0</v>
      </c>
      <c r="G26" s="117">
        <f t="shared" si="1"/>
        <v>0</v>
      </c>
      <c r="H26" s="168">
        <v>50.448401904037517</v>
      </c>
      <c r="I26" s="150">
        <f t="shared" si="5"/>
        <v>807124.36706193816</v>
      </c>
      <c r="J26" s="117">
        <f t="shared" si="2"/>
        <v>3.183534922106808E-4</v>
      </c>
      <c r="K26" s="151">
        <f t="shared" si="6"/>
        <v>59.842075146056061</v>
      </c>
      <c r="M26">
        <v>807124.36706193816</v>
      </c>
      <c r="P26">
        <v>0</v>
      </c>
    </row>
    <row r="27" spans="2:16" x14ac:dyDescent="0.2">
      <c r="B27" s="123" t="s">
        <v>324</v>
      </c>
      <c r="C27" s="167">
        <f t="shared" si="3"/>
        <v>1476.3444654597513</v>
      </c>
      <c r="D27" s="117">
        <f t="shared" si="0"/>
        <v>9.2195768691328167E-7</v>
      </c>
      <c r="E27" s="168">
        <v>44.894063595818764</v>
      </c>
      <c r="F27" s="167">
        <f t="shared" si="4"/>
        <v>0</v>
      </c>
      <c r="G27" s="117">
        <f t="shared" si="1"/>
        <v>0</v>
      </c>
      <c r="H27" s="168"/>
      <c r="I27" s="150">
        <f t="shared" si="5"/>
        <v>1476.3444654597513</v>
      </c>
      <c r="J27" s="117">
        <f t="shared" si="2"/>
        <v>5.8231350144451185E-7</v>
      </c>
      <c r="K27" s="151">
        <f t="shared" si="6"/>
        <v>44.894063595818764</v>
      </c>
      <c r="M27">
        <v>1476.3444654597513</v>
      </c>
      <c r="P27">
        <v>0</v>
      </c>
    </row>
    <row r="28" spans="2:16" x14ac:dyDescent="0.2">
      <c r="B28" s="123" t="s">
        <v>325</v>
      </c>
      <c r="C28" s="167">
        <f t="shared" si="3"/>
        <v>0</v>
      </c>
      <c r="D28" s="117">
        <f t="shared" si="0"/>
        <v>0</v>
      </c>
      <c r="E28" s="168"/>
      <c r="F28" s="167">
        <f t="shared" si="4"/>
        <v>0</v>
      </c>
      <c r="G28" s="117">
        <f t="shared" si="1"/>
        <v>0</v>
      </c>
      <c r="H28" s="168">
        <v>7.0000000000000009</v>
      </c>
      <c r="I28" s="150">
        <f t="shared" si="5"/>
        <v>0</v>
      </c>
      <c r="J28" s="117">
        <f t="shared" si="2"/>
        <v>0</v>
      </c>
      <c r="K28" s="151" t="str">
        <f t="shared" si="6"/>
        <v/>
      </c>
      <c r="M28">
        <v>0</v>
      </c>
      <c r="P28">
        <v>0</v>
      </c>
    </row>
    <row r="29" spans="2:16" x14ac:dyDescent="0.2">
      <c r="B29" s="5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2:16" x14ac:dyDescent="0.2">
      <c r="B30" s="119" t="s">
        <v>326</v>
      </c>
      <c r="C30" s="120">
        <f>+SUM(C31:C41)</f>
        <v>749344702.42962158</v>
      </c>
      <c r="D30" s="121">
        <f>C30/C$9</f>
        <v>0.25463189709831774</v>
      </c>
      <c r="E30" s="122">
        <f>SUMPRODUCT(D31:D41,E31:E41)</f>
        <v>30.044521529300496</v>
      </c>
      <c r="F30" s="120">
        <f>+SUM(F31:F41)</f>
        <v>32842581.012185242</v>
      </c>
      <c r="G30" s="121">
        <f>F30/F$9</f>
        <v>3.2850973819323621E-2</v>
      </c>
      <c r="H30" s="122">
        <f>SUMPRODUCT(G31:G41,H31:H41)</f>
        <v>46.21050802395132</v>
      </c>
      <c r="I30" s="120">
        <f>+SUM(I31:I41)</f>
        <v>782187283.44180691</v>
      </c>
      <c r="J30" s="121">
        <f>I30/I$9</f>
        <v>0.19839380540117049</v>
      </c>
      <c r="K30" s="122">
        <f>SUMPRODUCT(J31:J41,K31:K41)</f>
        <v>30.723301065009938</v>
      </c>
    </row>
    <row r="31" spans="2:16" x14ac:dyDescent="0.2">
      <c r="B31" s="123" t="s">
        <v>327</v>
      </c>
      <c r="C31" s="167">
        <f>M31</f>
        <v>158700917.04260111</v>
      </c>
      <c r="D31" s="117">
        <f t="shared" ref="D31:D41" si="7">IF(C31="","",C31/C$30)</f>
        <v>0.21178626675819637</v>
      </c>
      <c r="E31" s="168">
        <v>28.863239950690573</v>
      </c>
      <c r="F31" s="167">
        <f>P31</f>
        <v>0</v>
      </c>
      <c r="G31" s="117">
        <f>IF(F31="","",F31/F$30)</f>
        <v>0</v>
      </c>
      <c r="H31" s="168">
        <v>28.95000000000001</v>
      </c>
      <c r="I31" s="150">
        <f t="shared" ref="I31:I41" si="8">+C31+F31</f>
        <v>158700917.04260111</v>
      </c>
      <c r="J31" s="117">
        <f>IF(I31="","",I31/I$30)</f>
        <v>0.20289375754650468</v>
      </c>
      <c r="K31" s="151">
        <f t="shared" ref="K31:K41" si="9">IF(SUM(C31,F31)=0,"",(C31/SUM(C31,F31)*E31)+(F31/SUM(C31,F31)*H31))</f>
        <v>28.863239950690573</v>
      </c>
      <c r="M31">
        <v>158700917.04260111</v>
      </c>
      <c r="P31">
        <v>0</v>
      </c>
    </row>
    <row r="32" spans="2:16" x14ac:dyDescent="0.2">
      <c r="B32" s="123" t="s">
        <v>328</v>
      </c>
      <c r="C32" s="167">
        <f t="shared" ref="C32:C41" si="10">M32</f>
        <v>8462065.688640384</v>
      </c>
      <c r="D32" s="117">
        <f t="shared" si="7"/>
        <v>1.1292620954286577E-2</v>
      </c>
      <c r="E32" s="168">
        <v>12.918206524497204</v>
      </c>
      <c r="F32" s="167">
        <f t="shared" ref="F32:F41" si="11">P32</f>
        <v>0</v>
      </c>
      <c r="G32" s="117">
        <f t="shared" ref="G32:G41" si="12">IF(F32="","",F32/F$30)</f>
        <v>0</v>
      </c>
      <c r="H32" s="168">
        <v>9.5</v>
      </c>
      <c r="I32" s="150">
        <f t="shared" si="8"/>
        <v>8462065.688640384</v>
      </c>
      <c r="J32" s="117">
        <f t="shared" ref="J32:J41" si="13">IF(I32="","",I32/I$30)</f>
        <v>1.0818464922371681E-2</v>
      </c>
      <c r="K32" s="151">
        <f t="shared" si="9"/>
        <v>12.918206524497204</v>
      </c>
      <c r="M32">
        <v>8462065.688640384</v>
      </c>
      <c r="P32">
        <v>0</v>
      </c>
    </row>
    <row r="33" spans="2:16" x14ac:dyDescent="0.2">
      <c r="B33" s="123" t="s">
        <v>329</v>
      </c>
      <c r="C33" s="167">
        <f t="shared" si="10"/>
        <v>12849514.080122832</v>
      </c>
      <c r="D33" s="117">
        <f t="shared" si="7"/>
        <v>1.7147667873624099E-2</v>
      </c>
      <c r="E33" s="168">
        <v>13.959431794979418</v>
      </c>
      <c r="F33" s="167">
        <f t="shared" si="11"/>
        <v>0</v>
      </c>
      <c r="G33" s="117">
        <f t="shared" si="12"/>
        <v>0</v>
      </c>
      <c r="H33" s="168">
        <v>6.6618081846385637</v>
      </c>
      <c r="I33" s="150">
        <f t="shared" si="8"/>
        <v>12849514.080122832</v>
      </c>
      <c r="J33" s="117">
        <f t="shared" si="13"/>
        <v>1.642766937296905E-2</v>
      </c>
      <c r="K33" s="151">
        <f t="shared" si="9"/>
        <v>13.959431794979418</v>
      </c>
      <c r="M33">
        <v>12849514.080122832</v>
      </c>
      <c r="P33">
        <v>0</v>
      </c>
    </row>
    <row r="34" spans="2:16" x14ac:dyDescent="0.2">
      <c r="B34" s="123" t="s">
        <v>330</v>
      </c>
      <c r="C34" s="167">
        <f t="shared" si="10"/>
        <v>294738348.54206169</v>
      </c>
      <c r="D34" s="117">
        <f t="shared" si="7"/>
        <v>0.39332812734436257</v>
      </c>
      <c r="E34" s="168">
        <v>19.346750966034605</v>
      </c>
      <c r="F34" s="167">
        <f t="shared" si="11"/>
        <v>3711260.4885257068</v>
      </c>
      <c r="G34" s="117">
        <f t="shared" si="12"/>
        <v>0.11300148691568292</v>
      </c>
      <c r="H34" s="168">
        <v>7.6914488451342571</v>
      </c>
      <c r="I34" s="150">
        <f t="shared" si="8"/>
        <v>298449609.03058738</v>
      </c>
      <c r="J34" s="117">
        <f t="shared" si="13"/>
        <v>0.38155773604160287</v>
      </c>
      <c r="K34" s="151">
        <f t="shared" si="9"/>
        <v>19.201815737660109</v>
      </c>
      <c r="M34">
        <v>294738348.54206169</v>
      </c>
      <c r="P34">
        <v>3711260.4885257068</v>
      </c>
    </row>
    <row r="35" spans="2:16" x14ac:dyDescent="0.2">
      <c r="B35" s="123" t="s">
        <v>331</v>
      </c>
      <c r="C35" s="167">
        <f t="shared" si="10"/>
        <v>7211482.5551106622</v>
      </c>
      <c r="D35" s="117">
        <f t="shared" si="7"/>
        <v>9.6237186060416091E-3</v>
      </c>
      <c r="E35" s="168">
        <v>14.424585557546418</v>
      </c>
      <c r="F35" s="167">
        <f t="shared" si="11"/>
        <v>0</v>
      </c>
      <c r="G35" s="117">
        <f t="shared" si="12"/>
        <v>0</v>
      </c>
      <c r="H35" s="168">
        <v>7.4463317310566852</v>
      </c>
      <c r="I35" s="150">
        <f t="shared" si="8"/>
        <v>7211482.5551106622</v>
      </c>
      <c r="J35" s="117">
        <f t="shared" si="13"/>
        <v>9.2196366621794881E-3</v>
      </c>
      <c r="K35" s="151">
        <f t="shared" si="9"/>
        <v>14.424585557546418</v>
      </c>
      <c r="M35">
        <v>7211482.5551106622</v>
      </c>
      <c r="P35">
        <v>0</v>
      </c>
    </row>
    <row r="36" spans="2:16" x14ac:dyDescent="0.2">
      <c r="B36" s="123" t="s">
        <v>332</v>
      </c>
      <c r="C36" s="167">
        <f t="shared" si="10"/>
        <v>77141712.964614123</v>
      </c>
      <c r="D36" s="117">
        <f t="shared" si="7"/>
        <v>0.10294556392337913</v>
      </c>
      <c r="E36" s="168">
        <v>11.746034718780729</v>
      </c>
      <c r="F36" s="167">
        <f t="shared" si="11"/>
        <v>107178.41582215279</v>
      </c>
      <c r="G36" s="117">
        <f t="shared" si="12"/>
        <v>3.2633980801444165E-3</v>
      </c>
      <c r="H36" s="168">
        <v>5.6655846943835302</v>
      </c>
      <c r="I36" s="150">
        <f t="shared" si="8"/>
        <v>77248891.380436271</v>
      </c>
      <c r="J36" s="117">
        <f t="shared" si="13"/>
        <v>9.8760096227239969E-2</v>
      </c>
      <c r="K36" s="151">
        <f t="shared" si="9"/>
        <v>11.737598442357147</v>
      </c>
      <c r="M36">
        <v>77141712.964614123</v>
      </c>
      <c r="P36">
        <v>107178.41582215279</v>
      </c>
    </row>
    <row r="37" spans="2:16" x14ac:dyDescent="0.2">
      <c r="B37" s="123" t="s">
        <v>333</v>
      </c>
      <c r="C37" s="167">
        <f t="shared" si="10"/>
        <v>6922204.5159862777</v>
      </c>
      <c r="D37" s="117">
        <f t="shared" si="7"/>
        <v>9.2376772579324546E-3</v>
      </c>
      <c r="E37" s="168">
        <v>17.843504008797666</v>
      </c>
      <c r="F37" s="167">
        <f t="shared" si="11"/>
        <v>0</v>
      </c>
      <c r="G37" s="117">
        <f t="shared" si="12"/>
        <v>0</v>
      </c>
      <c r="H37" s="168">
        <v>9</v>
      </c>
      <c r="I37" s="150">
        <f t="shared" si="8"/>
        <v>6922204.5159862777</v>
      </c>
      <c r="J37" s="117">
        <f t="shared" si="13"/>
        <v>8.8498044682175855E-3</v>
      </c>
      <c r="K37" s="151">
        <f t="shared" si="9"/>
        <v>17.843504008797666</v>
      </c>
      <c r="M37">
        <v>6922204.5159862777</v>
      </c>
      <c r="P37">
        <v>0</v>
      </c>
    </row>
    <row r="38" spans="2:16" x14ac:dyDescent="0.2">
      <c r="B38" s="123" t="s">
        <v>334</v>
      </c>
      <c r="C38" s="167">
        <f t="shared" si="10"/>
        <v>63176204.274166957</v>
      </c>
      <c r="D38" s="117">
        <f t="shared" si="7"/>
        <v>8.4308601994955004E-2</v>
      </c>
      <c r="E38" s="168">
        <v>59.212668871896405</v>
      </c>
      <c r="F38" s="167">
        <f t="shared" si="11"/>
        <v>214681.69819924692</v>
      </c>
      <c r="G38" s="117">
        <f t="shared" si="12"/>
        <v>6.5366877871016228E-3</v>
      </c>
      <c r="H38" s="168">
        <v>54.85963215304141</v>
      </c>
      <c r="I38" s="150">
        <f t="shared" si="8"/>
        <v>63390885.972366206</v>
      </c>
      <c r="J38" s="117">
        <f t="shared" si="13"/>
        <v>8.1043104783590308E-2</v>
      </c>
      <c r="K38" s="151">
        <f t="shared" si="9"/>
        <v>59.197926731905881</v>
      </c>
      <c r="M38">
        <v>63176204.274166957</v>
      </c>
      <c r="P38">
        <v>214681.69819924692</v>
      </c>
    </row>
    <row r="39" spans="2:16" x14ac:dyDescent="0.2">
      <c r="B39" s="123" t="s">
        <v>335</v>
      </c>
      <c r="C39" s="167">
        <f t="shared" si="10"/>
        <v>77434875.861827418</v>
      </c>
      <c r="D39" s="117">
        <f t="shared" si="7"/>
        <v>0.10333678961198782</v>
      </c>
      <c r="E39" s="168">
        <v>58.734231773153674</v>
      </c>
      <c r="F39" s="167">
        <f t="shared" si="11"/>
        <v>7548673.667213751</v>
      </c>
      <c r="G39" s="117">
        <f t="shared" si="12"/>
        <v>0.22984410587015208</v>
      </c>
      <c r="H39" s="168">
        <v>55.209571857279165</v>
      </c>
      <c r="I39" s="150">
        <f t="shared" si="8"/>
        <v>84983549.529041171</v>
      </c>
      <c r="J39" s="117">
        <f t="shared" si="13"/>
        <v>0.10864859519972465</v>
      </c>
      <c r="K39" s="151">
        <f t="shared" si="9"/>
        <v>58.421153446344633</v>
      </c>
      <c r="M39">
        <v>77434875.861827418</v>
      </c>
      <c r="P39">
        <v>7548673.667213751</v>
      </c>
    </row>
    <row r="40" spans="2:16" x14ac:dyDescent="0.2">
      <c r="B40" s="123" t="s">
        <v>336</v>
      </c>
      <c r="C40" s="167">
        <f t="shared" si="10"/>
        <v>0</v>
      </c>
      <c r="D40" s="117">
        <f t="shared" si="7"/>
        <v>0</v>
      </c>
      <c r="E40" s="168">
        <v>58.639242826573678</v>
      </c>
      <c r="F40" s="167">
        <f t="shared" si="11"/>
        <v>0</v>
      </c>
      <c r="G40" s="117">
        <f t="shared" si="12"/>
        <v>0</v>
      </c>
      <c r="H40" s="168">
        <v>59.999999999999993</v>
      </c>
      <c r="I40" s="150">
        <f t="shared" si="8"/>
        <v>0</v>
      </c>
      <c r="J40" s="117">
        <f t="shared" si="13"/>
        <v>0</v>
      </c>
      <c r="K40" s="151" t="str">
        <f t="shared" si="9"/>
        <v/>
      </c>
      <c r="M40">
        <v>0</v>
      </c>
      <c r="P40">
        <v>0</v>
      </c>
    </row>
    <row r="41" spans="2:16" x14ac:dyDescent="0.2">
      <c r="B41" s="123" t="s">
        <v>337</v>
      </c>
      <c r="C41" s="167">
        <f t="shared" si="10"/>
        <v>42707376.904490262</v>
      </c>
      <c r="D41" s="117">
        <f t="shared" si="7"/>
        <v>5.6992965675234541E-2</v>
      </c>
      <c r="E41" s="168">
        <v>58.996984626905693</v>
      </c>
      <c r="F41" s="167">
        <f t="shared" si="11"/>
        <v>21260786.742424384</v>
      </c>
      <c r="G41" s="117">
        <f t="shared" si="12"/>
        <v>0.64735432134691895</v>
      </c>
      <c r="H41" s="168">
        <v>49.856280832478895</v>
      </c>
      <c r="I41" s="150">
        <f t="shared" si="8"/>
        <v>63968163.646914646</v>
      </c>
      <c r="J41" s="117">
        <f t="shared" si="13"/>
        <v>8.1781134775599743E-2</v>
      </c>
      <c r="K41" s="151">
        <f t="shared" si="9"/>
        <v>55.958933462553546</v>
      </c>
      <c r="M41">
        <v>42707376.904490262</v>
      </c>
      <c r="P41">
        <v>21260786.742424384</v>
      </c>
    </row>
    <row r="42" spans="2:16" x14ac:dyDescent="0.2">
      <c r="B42" s="5"/>
      <c r="C42" s="116"/>
      <c r="D42" s="117"/>
      <c r="E42" s="118"/>
      <c r="F42" s="116"/>
      <c r="G42" s="117"/>
      <c r="H42" s="118"/>
      <c r="I42" s="116"/>
      <c r="J42" s="117"/>
      <c r="K42" s="118"/>
    </row>
    <row r="43" spans="2:16" x14ac:dyDescent="0.2">
      <c r="B43" s="119" t="s">
        <v>338</v>
      </c>
      <c r="C43" s="120">
        <f>+SUM(C44:C47)</f>
        <v>592195330.28409171</v>
      </c>
      <c r="D43" s="121">
        <f>C43/C$9</f>
        <v>0.20123158262690927</v>
      </c>
      <c r="E43" s="122">
        <f>SUMPRODUCT(D44:D47,E44:E47)</f>
        <v>11.636526215222881</v>
      </c>
      <c r="F43" s="120">
        <f>+SUM(F44:F47)</f>
        <v>32908048.053304911</v>
      </c>
      <c r="G43" s="121">
        <f>F43/F$9</f>
        <v>3.2916457590317527E-2</v>
      </c>
      <c r="H43" s="122">
        <f>SUMPRODUCT(G44:G47,H44:H47)</f>
        <v>8.0946524614122826</v>
      </c>
      <c r="I43" s="120">
        <f>+SUM(I44:I47)</f>
        <v>625103378.33739662</v>
      </c>
      <c r="J43" s="121">
        <f>I43/I$9</f>
        <v>0.15855107929111495</v>
      </c>
      <c r="K43" s="122">
        <f>SUMPRODUCT(J44:J47,K44:K47)</f>
        <v>11.45006721383475</v>
      </c>
    </row>
    <row r="44" spans="2:16" x14ac:dyDescent="0.2">
      <c r="B44" s="123" t="s">
        <v>339</v>
      </c>
      <c r="C44" s="167">
        <f>M44</f>
        <v>561092139.38194501</v>
      </c>
      <c r="D44" s="117">
        <f>IF(C44="","",C44/C$43)</f>
        <v>0.94747815575103289</v>
      </c>
      <c r="E44" s="168">
        <v>11.559844778973996</v>
      </c>
      <c r="F44" s="167">
        <f>P44</f>
        <v>28494909.435453616</v>
      </c>
      <c r="G44" s="117">
        <f>IF(F44="","",F44/F$43)</f>
        <v>0.86589485311608783</v>
      </c>
      <c r="H44" s="168">
        <v>7.6864617901158194</v>
      </c>
      <c r="I44" s="150">
        <f t="shared" ref="I44:I47" si="14">+C44+F44</f>
        <v>589587048.81739867</v>
      </c>
      <c r="J44" s="117">
        <f>IF(I44="","",I44/I$43)</f>
        <v>0.94318327055844486</v>
      </c>
      <c r="K44" s="151">
        <f t="shared" ref="K44:K47" si="15">IF(SUM(C44,F44)=0,"",(C44/SUM(C44,F44)*E44)+(F44/SUM(C44,F44)*H44))</f>
        <v>11.372643079585032</v>
      </c>
      <c r="M44">
        <v>561092139.38194501</v>
      </c>
      <c r="P44">
        <v>28494909.435453616</v>
      </c>
    </row>
    <row r="45" spans="2:16" x14ac:dyDescent="0.2">
      <c r="B45" s="123" t="s">
        <v>340</v>
      </c>
      <c r="C45" s="167">
        <f t="shared" ref="C45:C47" si="16">M45</f>
        <v>2814487.7299813172</v>
      </c>
      <c r="D45" s="117">
        <f>IF(C45="","",C45/C$43)</f>
        <v>4.7526341158940465E-3</v>
      </c>
      <c r="E45" s="168">
        <v>12.271257538714192</v>
      </c>
      <c r="F45" s="167">
        <f t="shared" ref="F45:F47" si="17">P45</f>
        <v>345006.21741799061</v>
      </c>
      <c r="G45" s="117">
        <f>IF(F45="","",F45/F$43)</f>
        <v>1.0483946567087321E-2</v>
      </c>
      <c r="H45" s="168">
        <v>7.5497862075082809</v>
      </c>
      <c r="I45" s="150">
        <f t="shared" si="14"/>
        <v>3159493.947399308</v>
      </c>
      <c r="J45" s="117">
        <f>IF(I45="","",I45/I$43)</f>
        <v>5.0543542986484806E-3</v>
      </c>
      <c r="K45" s="151">
        <f t="shared" si="15"/>
        <v>11.75568859262785</v>
      </c>
      <c r="M45">
        <v>2814487.7299813172</v>
      </c>
      <c r="P45">
        <v>345006.21741799061</v>
      </c>
    </row>
    <row r="46" spans="2:16" x14ac:dyDescent="0.2">
      <c r="B46" s="123" t="s">
        <v>341</v>
      </c>
      <c r="C46" s="167">
        <f t="shared" si="16"/>
        <v>28267958.411858525</v>
      </c>
      <c r="D46" s="117">
        <f>IF(C46="","",C46/C$43)</f>
        <v>4.7734179866460009E-2</v>
      </c>
      <c r="E46" s="168">
        <v>13.094219779185918</v>
      </c>
      <c r="F46" s="167">
        <f t="shared" si="17"/>
        <v>4068132.4004333057</v>
      </c>
      <c r="G46" s="117">
        <f>IF(F46="","",F46/F$43)</f>
        <v>0.12362120031682489</v>
      </c>
      <c r="H46" s="168">
        <v>11</v>
      </c>
      <c r="I46" s="150">
        <f t="shared" si="14"/>
        <v>32336090.812291831</v>
      </c>
      <c r="J46" s="117">
        <f>IF(I46="","",I46/I$43)</f>
        <v>5.1729189015578436E-2</v>
      </c>
      <c r="K46" s="151">
        <f t="shared" si="15"/>
        <v>12.830750598981366</v>
      </c>
      <c r="M46">
        <v>28267958.411858525</v>
      </c>
      <c r="P46">
        <v>4068132.4004333057</v>
      </c>
    </row>
    <row r="47" spans="2:16" x14ac:dyDescent="0.2">
      <c r="B47" s="123" t="s">
        <v>342</v>
      </c>
      <c r="C47" s="167">
        <f t="shared" si="16"/>
        <v>20744.760306853408</v>
      </c>
      <c r="D47" s="117">
        <f>IF(C47="","",C47/C$43)</f>
        <v>3.5030266613047423E-5</v>
      </c>
      <c r="E47" s="168">
        <v>13.221820532408014</v>
      </c>
      <c r="F47" s="167">
        <f t="shared" si="17"/>
        <v>0</v>
      </c>
      <c r="G47" s="117">
        <f>IF(F47="","",F47/F$43)</f>
        <v>0</v>
      </c>
      <c r="H47" s="168">
        <v>7.2577095727871708</v>
      </c>
      <c r="I47" s="150">
        <f t="shared" si="14"/>
        <v>20744.760306853408</v>
      </c>
      <c r="J47" s="117">
        <f>IF(I47="","",I47/I$43)</f>
        <v>3.3186127328296924E-5</v>
      </c>
      <c r="K47" s="151">
        <f t="shared" si="15"/>
        <v>13.221820532408014</v>
      </c>
      <c r="M47">
        <v>20744.760306853408</v>
      </c>
      <c r="P47">
        <v>0</v>
      </c>
    </row>
    <row r="48" spans="2:16" x14ac:dyDescent="0.2">
      <c r="B48" s="5"/>
      <c r="C48" s="169"/>
      <c r="D48" s="27"/>
      <c r="E48" s="27"/>
      <c r="F48" s="169"/>
      <c r="G48" s="27"/>
      <c r="H48" s="170"/>
      <c r="I48" s="27"/>
      <c r="J48" s="27"/>
      <c r="K48" s="170"/>
    </row>
    <row r="73" spans="13:14" x14ac:dyDescent="0.2">
      <c r="M73" s="5"/>
      <c r="N73" s="5"/>
    </row>
  </sheetData>
  <mergeCells count="4">
    <mergeCell ref="B7:B8"/>
    <mergeCell ref="C7:E8"/>
    <mergeCell ref="F7:H8"/>
    <mergeCell ref="I7:K8"/>
  </mergeCells>
  <phoneticPr fontId="8" type="noConversion"/>
  <pageMargins left="0.75" right="0.75" top="1" bottom="1" header="0.5" footer="0.5"/>
  <pageSetup scale="5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2:P73"/>
  <sheetViews>
    <sheetView showGridLines="0" workbookViewId="0">
      <selection activeCell="A6" sqref="A6:XFD6"/>
    </sheetView>
  </sheetViews>
  <sheetFormatPr baseColWidth="10" defaultRowHeight="16" x14ac:dyDescent="0.2"/>
  <cols>
    <col min="1" max="1" width="3.83203125" customWidth="1"/>
    <col min="2" max="2" width="64" bestFit="1" customWidth="1"/>
    <col min="3" max="11" width="15.83203125" customWidth="1"/>
  </cols>
  <sheetData>
    <row r="2" spans="2:16" x14ac:dyDescent="0.2">
      <c r="B2" s="51" t="s">
        <v>380</v>
      </c>
      <c r="C2" s="26"/>
      <c r="D2" s="26"/>
      <c r="E2" s="26"/>
      <c r="F2" s="26"/>
      <c r="G2" s="26"/>
      <c r="H2" s="26"/>
      <c r="I2" s="26"/>
      <c r="J2" s="26"/>
      <c r="K2" s="26"/>
    </row>
    <row r="3" spans="2:16" x14ac:dyDescent="0.2">
      <c r="B3" s="51" t="s">
        <v>346</v>
      </c>
      <c r="C3" s="26"/>
      <c r="D3" s="26"/>
      <c r="E3" s="26"/>
      <c r="F3" s="26"/>
      <c r="G3" s="26"/>
      <c r="H3" s="26"/>
      <c r="I3" s="26"/>
      <c r="J3" s="26"/>
      <c r="K3" s="26"/>
    </row>
    <row r="4" spans="2:16" x14ac:dyDescent="0.2">
      <c r="B4" s="51" t="s">
        <v>344</v>
      </c>
      <c r="C4" s="26"/>
      <c r="D4" s="26"/>
      <c r="E4" s="26"/>
      <c r="F4" s="26"/>
      <c r="G4" s="26"/>
      <c r="H4" s="26"/>
      <c r="I4" s="26"/>
      <c r="J4" s="26"/>
      <c r="K4" s="26"/>
    </row>
    <row r="5" spans="2:16" x14ac:dyDescent="0.2">
      <c r="B5" s="51" t="s">
        <v>301</v>
      </c>
      <c r="C5" s="177"/>
      <c r="D5" s="177"/>
      <c r="E5" s="177"/>
      <c r="F5" s="177"/>
      <c r="G5" s="177"/>
      <c r="H5" s="177"/>
      <c r="I5" s="177"/>
      <c r="J5" s="177"/>
      <c r="K5" s="177"/>
    </row>
    <row r="6" spans="2:16" x14ac:dyDescent="0.2">
      <c r="B6" s="51"/>
      <c r="C6" s="177"/>
      <c r="D6" s="177"/>
      <c r="E6" s="177"/>
      <c r="F6" s="177"/>
      <c r="G6" s="177"/>
      <c r="H6" s="177"/>
      <c r="I6" s="177"/>
      <c r="J6" s="177"/>
      <c r="K6" s="177"/>
    </row>
    <row r="7" spans="2:16" x14ac:dyDescent="0.2">
      <c r="B7" s="272" t="s">
        <v>240</v>
      </c>
      <c r="C7" s="266" t="s">
        <v>306</v>
      </c>
      <c r="D7" s="267"/>
      <c r="E7" s="268"/>
      <c r="F7" s="266" t="s">
        <v>307</v>
      </c>
      <c r="G7" s="267"/>
      <c r="H7" s="268"/>
      <c r="I7" s="266" t="s">
        <v>233</v>
      </c>
      <c r="J7" s="267"/>
      <c r="K7" s="268"/>
      <c r="M7" s="166">
        <v>43.310583333333334</v>
      </c>
    </row>
    <row r="8" spans="2:16" x14ac:dyDescent="0.2">
      <c r="B8" s="273"/>
      <c r="C8" s="269"/>
      <c r="D8" s="270"/>
      <c r="E8" s="271"/>
      <c r="F8" s="269"/>
      <c r="G8" s="270"/>
      <c r="H8" s="271"/>
      <c r="I8" s="269"/>
      <c r="J8" s="270"/>
      <c r="K8" s="271"/>
    </row>
    <row r="9" spans="2:16" ht="17" thickBot="1" x14ac:dyDescent="0.25">
      <c r="B9" s="171" t="s">
        <v>343</v>
      </c>
      <c r="C9" s="172">
        <f>+C11+C43+C30</f>
        <v>3404867902.1463175</v>
      </c>
      <c r="D9" s="173">
        <f>C9/I9</f>
        <v>0.66845953513067036</v>
      </c>
      <c r="E9" s="174">
        <f>D11*E11+D43*E43+D30*E30</f>
        <v>15.17533709827355</v>
      </c>
      <c r="F9" s="172">
        <f>+F11+F43+F30</f>
        <v>1688735709.1489189</v>
      </c>
      <c r="G9" s="173">
        <f>F9/I9</f>
        <v>0.33154046486932964</v>
      </c>
      <c r="H9" s="174">
        <f>G11*H11+G43*H43+G30*H30</f>
        <v>7.4123678426572077</v>
      </c>
      <c r="I9" s="172">
        <f>+I11+I43+I30</f>
        <v>5093603611.2952366</v>
      </c>
      <c r="J9" s="173">
        <f>I9/I9</f>
        <v>1</v>
      </c>
      <c r="K9" s="174">
        <f>J11*K11+J43*K43+J30*K30</f>
        <v>12.601598662500194</v>
      </c>
    </row>
    <row r="10" spans="2:16" ht="17" thickTop="1" x14ac:dyDescent="0.2">
      <c r="B10" s="5"/>
      <c r="C10" s="116"/>
      <c r="D10" s="117"/>
      <c r="E10" s="118"/>
      <c r="F10" s="116"/>
      <c r="G10" s="117"/>
      <c r="H10" s="118"/>
      <c r="I10" s="116"/>
      <c r="J10" s="117"/>
      <c r="K10" s="118"/>
    </row>
    <row r="11" spans="2:16" x14ac:dyDescent="0.2">
      <c r="B11" s="119" t="s">
        <v>308</v>
      </c>
      <c r="C11" s="120">
        <f>SUM(C12:C28)</f>
        <v>2095283360.2265794</v>
      </c>
      <c r="D11" s="121">
        <f>C11/C$9</f>
        <v>0.61537875196443925</v>
      </c>
      <c r="E11" s="122">
        <f>SUMPRODUCT(D12:D28,E12:E28)</f>
        <v>14.098806444890585</v>
      </c>
      <c r="F11" s="120">
        <f>SUM(F12:F28)</f>
        <v>1674314562.9269214</v>
      </c>
      <c r="G11" s="121">
        <f>F11/F$9</f>
        <v>0.99146038889100929</v>
      </c>
      <c r="H11" s="122">
        <f>SUMPRODUCT(G12:G28,H12:H28)</f>
        <v>7.1446512224443257</v>
      </c>
      <c r="I11" s="120">
        <f>SUM(I12:I28)</f>
        <v>3769597923.1535006</v>
      </c>
      <c r="J11" s="121">
        <f>I11/I$9</f>
        <v>0.74006503269989266</v>
      </c>
      <c r="K11" s="122">
        <f>SUMPRODUCT(J12:J28,K12:K28)</f>
        <v>11.010030506671788</v>
      </c>
    </row>
    <row r="12" spans="2:16" x14ac:dyDescent="0.2">
      <c r="B12" s="123" t="s">
        <v>309</v>
      </c>
      <c r="C12" s="167">
        <f>M12</f>
        <v>0</v>
      </c>
      <c r="D12" s="117">
        <f t="shared" ref="D12:D28" si="0">IF(C12="","",C12/C$11)</f>
        <v>0</v>
      </c>
      <c r="E12" s="168">
        <v>17.235822083069344</v>
      </c>
      <c r="F12" s="167">
        <f>P12</f>
        <v>0</v>
      </c>
      <c r="G12" s="117">
        <f t="shared" ref="G12:G28" si="1">IF(F12="","",F12/F$11)</f>
        <v>0</v>
      </c>
      <c r="H12" s="168">
        <v>6.6030737245107556</v>
      </c>
      <c r="I12" s="150">
        <f>+C12+F12</f>
        <v>0</v>
      </c>
      <c r="J12" s="117">
        <f t="shared" ref="J12:J28" si="2">IF(I12="","",I12/I$11)</f>
        <v>0</v>
      </c>
      <c r="K12" s="151" t="str">
        <f>IF(SUM(C12,F12)=0,"",(C12/SUM(C12,F12)*E12)+(F12/SUM(C12,F12)*H12))</f>
        <v/>
      </c>
      <c r="M12">
        <v>0</v>
      </c>
      <c r="P12">
        <v>0</v>
      </c>
    </row>
    <row r="13" spans="2:16" x14ac:dyDescent="0.2">
      <c r="B13" s="123" t="s">
        <v>310</v>
      </c>
      <c r="C13" s="167">
        <f t="shared" ref="C13:C28" si="3">M13</f>
        <v>0</v>
      </c>
      <c r="D13" s="117">
        <f t="shared" si="0"/>
        <v>0</v>
      </c>
      <c r="E13" s="168">
        <v>12.019401807237736</v>
      </c>
      <c r="F13" s="167">
        <f t="shared" ref="F13:F28" si="4">P13</f>
        <v>0</v>
      </c>
      <c r="G13" s="117">
        <f t="shared" si="1"/>
        <v>0</v>
      </c>
      <c r="H13" s="168">
        <v>5.217085905074744</v>
      </c>
      <c r="I13" s="150">
        <f t="shared" ref="I13:I28" si="5">+C13+F13</f>
        <v>0</v>
      </c>
      <c r="J13" s="117">
        <f t="shared" si="2"/>
        <v>0</v>
      </c>
      <c r="K13" s="151" t="str">
        <f t="shared" ref="K13:K28" si="6">IF(SUM(C13,F13)=0,"",(C13/SUM(C13,F13)*E13)+(F13/SUM(C13,F13)*H13))</f>
        <v/>
      </c>
      <c r="M13">
        <v>0</v>
      </c>
      <c r="P13">
        <v>0</v>
      </c>
    </row>
    <row r="14" spans="2:16" x14ac:dyDescent="0.2">
      <c r="B14" s="123" t="s">
        <v>311</v>
      </c>
      <c r="C14" s="167">
        <f t="shared" si="3"/>
        <v>1941522737.9475753</v>
      </c>
      <c r="D14" s="117">
        <f t="shared" si="0"/>
        <v>0.92661583383052459</v>
      </c>
      <c r="E14" s="168">
        <v>13.494121087789848</v>
      </c>
      <c r="F14" s="167">
        <f t="shared" si="4"/>
        <v>1540660373.5363374</v>
      </c>
      <c r="G14" s="117">
        <f t="shared" si="1"/>
        <v>0.92017378791895654</v>
      </c>
      <c r="H14" s="168">
        <v>7.1076837484909046</v>
      </c>
      <c r="I14" s="150">
        <f t="shared" si="5"/>
        <v>3482183111.4839125</v>
      </c>
      <c r="J14" s="117">
        <f t="shared" si="2"/>
        <v>0.92375451771547346</v>
      </c>
      <c r="K14" s="151">
        <f t="shared" si="6"/>
        <v>10.668499739997559</v>
      </c>
      <c r="M14">
        <v>1941522737.9475753</v>
      </c>
      <c r="P14">
        <v>1540660373.5363374</v>
      </c>
    </row>
    <row r="15" spans="2:16" x14ac:dyDescent="0.2">
      <c r="B15" s="123" t="s">
        <v>312</v>
      </c>
      <c r="C15" s="167">
        <f t="shared" si="3"/>
        <v>0</v>
      </c>
      <c r="D15" s="117">
        <f t="shared" si="0"/>
        <v>0</v>
      </c>
      <c r="E15" s="168">
        <v>16.537873383268323</v>
      </c>
      <c r="F15" s="167">
        <f t="shared" si="4"/>
        <v>0</v>
      </c>
      <c r="G15" s="117">
        <f t="shared" si="1"/>
        <v>0</v>
      </c>
      <c r="H15" s="168"/>
      <c r="I15" s="150">
        <f t="shared" si="5"/>
        <v>0</v>
      </c>
      <c r="J15" s="117">
        <f t="shared" si="2"/>
        <v>0</v>
      </c>
      <c r="K15" s="151" t="str">
        <f t="shared" si="6"/>
        <v/>
      </c>
      <c r="M15">
        <v>0</v>
      </c>
      <c r="P15">
        <v>0</v>
      </c>
    </row>
    <row r="16" spans="2:16" x14ac:dyDescent="0.2">
      <c r="B16" s="123" t="s">
        <v>313</v>
      </c>
      <c r="C16" s="167">
        <f t="shared" si="3"/>
        <v>0</v>
      </c>
      <c r="D16" s="117">
        <f t="shared" si="0"/>
        <v>0</v>
      </c>
      <c r="E16" s="168">
        <v>24.410394867460891</v>
      </c>
      <c r="F16" s="167">
        <f t="shared" si="4"/>
        <v>0</v>
      </c>
      <c r="G16" s="117">
        <f t="shared" si="1"/>
        <v>0</v>
      </c>
      <c r="H16" s="168"/>
      <c r="I16" s="150">
        <f t="shared" si="5"/>
        <v>0</v>
      </c>
      <c r="J16" s="117">
        <f t="shared" si="2"/>
        <v>0</v>
      </c>
      <c r="K16" s="151" t="str">
        <f t="shared" si="6"/>
        <v/>
      </c>
      <c r="M16">
        <v>0</v>
      </c>
      <c r="P16">
        <v>0</v>
      </c>
    </row>
    <row r="17" spans="2:16" x14ac:dyDescent="0.2">
      <c r="B17" s="123" t="s">
        <v>314</v>
      </c>
      <c r="C17" s="167">
        <f t="shared" si="3"/>
        <v>151090463.97220075</v>
      </c>
      <c r="D17" s="117">
        <f t="shared" si="0"/>
        <v>7.2109799963219368E-2</v>
      </c>
      <c r="E17" s="168">
        <v>21.296160700092098</v>
      </c>
      <c r="F17" s="167">
        <f t="shared" si="4"/>
        <v>0</v>
      </c>
      <c r="G17" s="117">
        <f t="shared" si="1"/>
        <v>0</v>
      </c>
      <c r="H17" s="168">
        <v>8.100133951095696</v>
      </c>
      <c r="I17" s="150">
        <f t="shared" si="5"/>
        <v>151090463.97220075</v>
      </c>
      <c r="J17" s="117">
        <f t="shared" si="2"/>
        <v>4.0081320886818692E-2</v>
      </c>
      <c r="K17" s="151">
        <f t="shared" si="6"/>
        <v>21.296160700092098</v>
      </c>
      <c r="M17">
        <v>151090463.97220075</v>
      </c>
      <c r="P17">
        <v>0</v>
      </c>
    </row>
    <row r="18" spans="2:16" x14ac:dyDescent="0.2">
      <c r="B18" s="123" t="s">
        <v>315</v>
      </c>
      <c r="C18" s="167">
        <f t="shared" si="3"/>
        <v>84012.007226871036</v>
      </c>
      <c r="D18" s="117">
        <f t="shared" si="0"/>
        <v>4.0095773593976402E-5</v>
      </c>
      <c r="E18" s="168">
        <v>45.294672409636213</v>
      </c>
      <c r="F18" s="167">
        <f t="shared" si="4"/>
        <v>0</v>
      </c>
      <c r="G18" s="117">
        <f t="shared" si="1"/>
        <v>0</v>
      </c>
      <c r="H18" s="168">
        <v>5.8822005843245329</v>
      </c>
      <c r="I18" s="150">
        <f t="shared" si="5"/>
        <v>84012.007226871036</v>
      </c>
      <c r="J18" s="117">
        <f t="shared" si="2"/>
        <v>2.2286728966730176E-5</v>
      </c>
      <c r="K18" s="151">
        <f t="shared" si="6"/>
        <v>45.294672409636213</v>
      </c>
      <c r="M18">
        <v>84012.007226871036</v>
      </c>
      <c r="P18">
        <v>0</v>
      </c>
    </row>
    <row r="19" spans="2:16" x14ac:dyDescent="0.2">
      <c r="B19" s="123" t="s">
        <v>316</v>
      </c>
      <c r="C19" s="167">
        <f t="shared" si="3"/>
        <v>654789.3835032623</v>
      </c>
      <c r="D19" s="117">
        <f t="shared" si="0"/>
        <v>3.1250636354619585E-4</v>
      </c>
      <c r="E19" s="168">
        <v>11.694793663004091</v>
      </c>
      <c r="F19" s="167">
        <f t="shared" si="4"/>
        <v>132690068.43108016</v>
      </c>
      <c r="G19" s="117">
        <f t="shared" si="1"/>
        <v>7.9250381839312517E-2</v>
      </c>
      <c r="H19" s="168">
        <v>7.270214207120115</v>
      </c>
      <c r="I19" s="150">
        <f t="shared" si="5"/>
        <v>133344857.81458342</v>
      </c>
      <c r="J19" s="117">
        <f t="shared" si="2"/>
        <v>3.5373761481445276E-2</v>
      </c>
      <c r="K19" s="151">
        <f t="shared" si="6"/>
        <v>7.2919410865938481</v>
      </c>
      <c r="M19">
        <v>654789.3835032623</v>
      </c>
      <c r="P19">
        <v>132690068.43108016</v>
      </c>
    </row>
    <row r="20" spans="2:16" x14ac:dyDescent="0.2">
      <c r="B20" s="123" t="s">
        <v>317</v>
      </c>
      <c r="C20" s="167">
        <f t="shared" si="3"/>
        <v>0</v>
      </c>
      <c r="D20" s="117">
        <f t="shared" si="0"/>
        <v>0</v>
      </c>
      <c r="E20" s="168">
        <v>7.99</v>
      </c>
      <c r="F20" s="167">
        <f t="shared" si="4"/>
        <v>0</v>
      </c>
      <c r="G20" s="117">
        <f t="shared" si="1"/>
        <v>0</v>
      </c>
      <c r="H20" s="168"/>
      <c r="I20" s="150">
        <f t="shared" si="5"/>
        <v>0</v>
      </c>
      <c r="J20" s="117">
        <f t="shared" si="2"/>
        <v>0</v>
      </c>
      <c r="K20" s="151" t="str">
        <f t="shared" si="6"/>
        <v/>
      </c>
      <c r="M20">
        <v>0</v>
      </c>
      <c r="P20">
        <v>0</v>
      </c>
    </row>
    <row r="21" spans="2:16" x14ac:dyDescent="0.2">
      <c r="B21" s="123" t="s">
        <v>318</v>
      </c>
      <c r="C21" s="167">
        <f t="shared" si="3"/>
        <v>27573.018142216974</v>
      </c>
      <c r="D21" s="117">
        <f t="shared" si="0"/>
        <v>1.3159565271990366E-5</v>
      </c>
      <c r="E21" s="168">
        <v>12.04854437501897</v>
      </c>
      <c r="F21" s="167">
        <f t="shared" si="4"/>
        <v>0</v>
      </c>
      <c r="G21" s="117">
        <f t="shared" si="1"/>
        <v>0</v>
      </c>
      <c r="H21" s="168">
        <v>6.8205473397154739</v>
      </c>
      <c r="I21" s="150">
        <f t="shared" si="5"/>
        <v>27573.018142216974</v>
      </c>
      <c r="J21" s="117">
        <f t="shared" si="2"/>
        <v>7.3145780277676001E-6</v>
      </c>
      <c r="K21" s="151">
        <f t="shared" si="6"/>
        <v>12.04854437501897</v>
      </c>
      <c r="M21">
        <v>27573.018142216974</v>
      </c>
      <c r="P21">
        <v>0</v>
      </c>
    </row>
    <row r="22" spans="2:16" x14ac:dyDescent="0.2">
      <c r="B22" s="123" t="s">
        <v>319</v>
      </c>
      <c r="C22" s="167">
        <f t="shared" si="3"/>
        <v>0</v>
      </c>
      <c r="D22" s="117">
        <f t="shared" si="0"/>
        <v>0</v>
      </c>
      <c r="E22" s="168">
        <v>12</v>
      </c>
      <c r="F22" s="167">
        <f t="shared" si="4"/>
        <v>0</v>
      </c>
      <c r="G22" s="117">
        <f t="shared" si="1"/>
        <v>0</v>
      </c>
      <c r="H22" s="168"/>
      <c r="I22" s="150">
        <f t="shared" si="5"/>
        <v>0</v>
      </c>
      <c r="J22" s="117">
        <f t="shared" si="2"/>
        <v>0</v>
      </c>
      <c r="K22" s="151" t="str">
        <f t="shared" si="6"/>
        <v/>
      </c>
      <c r="M22">
        <v>0</v>
      </c>
      <c r="P22">
        <v>0</v>
      </c>
    </row>
    <row r="23" spans="2:16" x14ac:dyDescent="0.2">
      <c r="B23" s="123" t="s">
        <v>320</v>
      </c>
      <c r="C23" s="167">
        <f t="shared" si="3"/>
        <v>0</v>
      </c>
      <c r="D23" s="117">
        <f t="shared" si="0"/>
        <v>0</v>
      </c>
      <c r="E23" s="168">
        <v>12.238920641195705</v>
      </c>
      <c r="F23" s="167">
        <f t="shared" si="4"/>
        <v>0</v>
      </c>
      <c r="G23" s="117">
        <f t="shared" si="1"/>
        <v>0</v>
      </c>
      <c r="H23" s="168"/>
      <c r="I23" s="150">
        <f t="shared" si="5"/>
        <v>0</v>
      </c>
      <c r="J23" s="117">
        <f t="shared" si="2"/>
        <v>0</v>
      </c>
      <c r="K23" s="151" t="str">
        <f t="shared" si="6"/>
        <v/>
      </c>
      <c r="M23">
        <v>0</v>
      </c>
      <c r="P23">
        <v>0</v>
      </c>
    </row>
    <row r="24" spans="2:16" x14ac:dyDescent="0.2">
      <c r="B24" s="123" t="s">
        <v>321</v>
      </c>
      <c r="C24" s="167">
        <f t="shared" si="3"/>
        <v>919727.3923425182</v>
      </c>
      <c r="D24" s="117">
        <f t="shared" si="0"/>
        <v>4.389513178986258E-4</v>
      </c>
      <c r="E24" s="168">
        <v>59.13614573738851</v>
      </c>
      <c r="F24" s="167">
        <f t="shared" si="4"/>
        <v>0</v>
      </c>
      <c r="G24" s="117">
        <f t="shared" si="1"/>
        <v>0</v>
      </c>
      <c r="H24" s="168">
        <v>59.999999999999993</v>
      </c>
      <c r="I24" s="150">
        <f t="shared" si="5"/>
        <v>919727.3923425182</v>
      </c>
      <c r="J24" s="117">
        <f t="shared" si="2"/>
        <v>2.4398554198403995E-4</v>
      </c>
      <c r="K24" s="151">
        <f t="shared" si="6"/>
        <v>59.13614573738851</v>
      </c>
      <c r="M24">
        <v>919727.3923425182</v>
      </c>
      <c r="P24">
        <v>0</v>
      </c>
    </row>
    <row r="25" spans="2:16" x14ac:dyDescent="0.2">
      <c r="B25" s="123" t="s">
        <v>322</v>
      </c>
      <c r="C25" s="167">
        <f t="shared" si="3"/>
        <v>0</v>
      </c>
      <c r="D25" s="117">
        <f t="shared" si="0"/>
        <v>0</v>
      </c>
      <c r="E25" s="168">
        <v>59.015950248239214</v>
      </c>
      <c r="F25" s="167">
        <f t="shared" si="4"/>
        <v>0</v>
      </c>
      <c r="G25" s="117">
        <f t="shared" si="1"/>
        <v>0</v>
      </c>
      <c r="H25" s="168">
        <v>58.737610739363497</v>
      </c>
      <c r="I25" s="150">
        <f t="shared" si="5"/>
        <v>0</v>
      </c>
      <c r="J25" s="117">
        <f t="shared" si="2"/>
        <v>0</v>
      </c>
      <c r="K25" s="151" t="str">
        <f t="shared" si="6"/>
        <v/>
      </c>
      <c r="M25">
        <v>0</v>
      </c>
      <c r="P25">
        <v>0</v>
      </c>
    </row>
    <row r="26" spans="2:16" x14ac:dyDescent="0.2">
      <c r="B26" s="123" t="s">
        <v>323</v>
      </c>
      <c r="C26" s="167">
        <f t="shared" si="3"/>
        <v>926026.5256952208</v>
      </c>
      <c r="D26" s="117">
        <f t="shared" si="0"/>
        <v>4.4195765750513203E-4</v>
      </c>
      <c r="E26" s="168">
        <v>59.842075146056061</v>
      </c>
      <c r="F26" s="167">
        <f t="shared" si="4"/>
        <v>930594.00816197752</v>
      </c>
      <c r="G26" s="117">
        <f t="shared" si="1"/>
        <v>5.5580595711667057E-4</v>
      </c>
      <c r="H26" s="168">
        <v>50.448401904037517</v>
      </c>
      <c r="I26" s="150">
        <f t="shared" si="5"/>
        <v>1856620.5338571984</v>
      </c>
      <c r="J26" s="117">
        <f t="shared" si="2"/>
        <v>4.9252481874884448E-4</v>
      </c>
      <c r="K26" s="151">
        <f t="shared" si="6"/>
        <v>55.133683811240452</v>
      </c>
      <c r="M26">
        <v>926026.5256952208</v>
      </c>
      <c r="P26">
        <v>930594.00816197752</v>
      </c>
    </row>
    <row r="27" spans="2:16" x14ac:dyDescent="0.2">
      <c r="B27" s="123" t="s">
        <v>324</v>
      </c>
      <c r="C27" s="167">
        <f t="shared" si="3"/>
        <v>58029.979893290147</v>
      </c>
      <c r="D27" s="117">
        <f t="shared" si="0"/>
        <v>2.7695528440131797E-5</v>
      </c>
      <c r="E27" s="168">
        <v>44.894063595818764</v>
      </c>
      <c r="F27" s="167">
        <f t="shared" si="4"/>
        <v>0</v>
      </c>
      <c r="G27" s="117">
        <f t="shared" si="1"/>
        <v>0</v>
      </c>
      <c r="H27" s="168"/>
      <c r="I27" s="150">
        <f t="shared" si="5"/>
        <v>58029.979893290147</v>
      </c>
      <c r="J27" s="117">
        <f t="shared" si="2"/>
        <v>1.5394209429302875E-5</v>
      </c>
      <c r="K27" s="151">
        <f t="shared" si="6"/>
        <v>44.894063595818764</v>
      </c>
      <c r="M27">
        <v>58029.979893290147</v>
      </c>
      <c r="P27">
        <v>0</v>
      </c>
    </row>
    <row r="28" spans="2:16" x14ac:dyDescent="0.2">
      <c r="B28" s="123" t="s">
        <v>325</v>
      </c>
      <c r="C28" s="167">
        <f t="shared" si="3"/>
        <v>0</v>
      </c>
      <c r="D28" s="117">
        <f t="shared" si="0"/>
        <v>0</v>
      </c>
      <c r="E28" s="168"/>
      <c r="F28" s="167">
        <f t="shared" si="4"/>
        <v>33526.95134176212</v>
      </c>
      <c r="G28" s="117">
        <f t="shared" si="1"/>
        <v>2.0024284614208107E-5</v>
      </c>
      <c r="H28" s="168">
        <v>7.0000000000000009</v>
      </c>
      <c r="I28" s="150">
        <f t="shared" si="5"/>
        <v>33526.95134176212</v>
      </c>
      <c r="J28" s="117">
        <f t="shared" si="2"/>
        <v>8.8940391058245186E-6</v>
      </c>
      <c r="K28" s="151">
        <f t="shared" si="6"/>
        <v>7.0000000000000009</v>
      </c>
      <c r="M28">
        <v>0</v>
      </c>
      <c r="P28">
        <v>33526.95134176212</v>
      </c>
    </row>
    <row r="29" spans="2:16" x14ac:dyDescent="0.2">
      <c r="B29" s="5"/>
      <c r="C29" s="116"/>
      <c r="D29" s="117"/>
      <c r="E29" s="118"/>
      <c r="F29" s="116"/>
      <c r="G29" s="117"/>
      <c r="H29" s="118"/>
      <c r="I29" s="116"/>
      <c r="J29" s="117"/>
      <c r="K29" s="118"/>
    </row>
    <row r="30" spans="2:16" x14ac:dyDescent="0.2">
      <c r="B30" s="119" t="s">
        <v>326</v>
      </c>
      <c r="C30" s="120">
        <f>+SUM(C31:C41)</f>
        <v>751645602.59282243</v>
      </c>
      <c r="D30" s="121">
        <f>C30/C$9</f>
        <v>0.22075617151520316</v>
      </c>
      <c r="E30" s="122">
        <f>SUMPRODUCT(D31:D41,E31:E41)</f>
        <v>20.843727309376657</v>
      </c>
      <c r="F30" s="120">
        <f>+SUM(F31:F41)</f>
        <v>13245389.886228731</v>
      </c>
      <c r="G30" s="121">
        <f>F30/F$9</f>
        <v>7.8433764469302784E-3</v>
      </c>
      <c r="H30" s="122">
        <f>SUMPRODUCT(G31:G41,H31:H41)</f>
        <v>41.229384337610647</v>
      </c>
      <c r="I30" s="120">
        <f>+SUM(I31:I41)</f>
        <v>764890992.47905123</v>
      </c>
      <c r="J30" s="121">
        <f>I30/I$9</f>
        <v>0.15016696446163966</v>
      </c>
      <c r="K30" s="122">
        <f>SUMPRODUCT(J31:J41,K31:K41)</f>
        <v>21.19673967072081</v>
      </c>
    </row>
    <row r="31" spans="2:16" x14ac:dyDescent="0.2">
      <c r="B31" s="123" t="s">
        <v>327</v>
      </c>
      <c r="C31" s="167">
        <f>M31</f>
        <v>19816524.141328033</v>
      </c>
      <c r="D31" s="117">
        <f t="shared" ref="D31:D41" si="7">IF(C31="","",C31/C$30)</f>
        <v>2.6364185558952757E-2</v>
      </c>
      <c r="E31" s="168">
        <v>28.863239950690573</v>
      </c>
      <c r="F31" s="167">
        <f>P31</f>
        <v>0</v>
      </c>
      <c r="G31" s="117">
        <f>IF(F31="","",F31/F$30)</f>
        <v>0</v>
      </c>
      <c r="H31" s="168">
        <v>28.95000000000001</v>
      </c>
      <c r="I31" s="150">
        <f t="shared" ref="I31:I41" si="8">+C31+F31</f>
        <v>19816524.141328033</v>
      </c>
      <c r="J31" s="117">
        <f>IF(I31="","",I31/I$30)</f>
        <v>2.5907644796680968E-2</v>
      </c>
      <c r="K31" s="151">
        <f t="shared" ref="K31:K41" si="9">IF(SUM(C31,F31)=0,"",(C31/SUM(C31,F31)*E31)+(F31/SUM(C31,F31)*H31))</f>
        <v>28.863239950690573</v>
      </c>
      <c r="M31">
        <v>19816524.141328033</v>
      </c>
      <c r="P31">
        <v>0</v>
      </c>
    </row>
    <row r="32" spans="2:16" x14ac:dyDescent="0.2">
      <c r="B32" s="123" t="s">
        <v>328</v>
      </c>
      <c r="C32" s="167">
        <f t="shared" ref="C32:C41" si="10">M32</f>
        <v>228592386.85202006</v>
      </c>
      <c r="D32" s="117">
        <f t="shared" si="7"/>
        <v>0.30412256263255483</v>
      </c>
      <c r="E32" s="168">
        <v>12.918206524497204</v>
      </c>
      <c r="F32" s="167">
        <f t="shared" ref="F32:F41" si="11">P32</f>
        <v>0</v>
      </c>
      <c r="G32" s="117">
        <f t="shared" ref="G32:G41" si="12">IF(F32="","",F32/F$30)</f>
        <v>0</v>
      </c>
      <c r="H32" s="168">
        <v>9.5</v>
      </c>
      <c r="I32" s="150">
        <f t="shared" si="8"/>
        <v>228592386.85202006</v>
      </c>
      <c r="J32" s="117">
        <f t="shared" ref="J32:J41" si="13">IF(I32="","",I32/I$30)</f>
        <v>0.29885616264239212</v>
      </c>
      <c r="K32" s="151">
        <f t="shared" si="9"/>
        <v>12.918206524497204</v>
      </c>
      <c r="M32">
        <v>228592386.85202006</v>
      </c>
      <c r="P32">
        <v>0</v>
      </c>
    </row>
    <row r="33" spans="2:16" x14ac:dyDescent="0.2">
      <c r="B33" s="123" t="s">
        <v>329</v>
      </c>
      <c r="C33" s="167">
        <f t="shared" si="10"/>
        <v>4531511.3779349523</v>
      </c>
      <c r="D33" s="117">
        <f t="shared" si="7"/>
        <v>6.0287871868116806E-3</v>
      </c>
      <c r="E33" s="168">
        <v>13.959431794979418</v>
      </c>
      <c r="F33" s="167">
        <f t="shared" si="11"/>
        <v>19393.610183808036</v>
      </c>
      <c r="G33" s="117">
        <f t="shared" si="12"/>
        <v>1.4641781291747122E-3</v>
      </c>
      <c r="H33" s="168">
        <v>6.6618081846385637</v>
      </c>
      <c r="I33" s="150">
        <f t="shared" si="8"/>
        <v>4550904.9881187603</v>
      </c>
      <c r="J33" s="117">
        <f t="shared" si="13"/>
        <v>5.9497432089885673E-3</v>
      </c>
      <c r="K33" s="151">
        <f t="shared" si="9"/>
        <v>13.928333086494712</v>
      </c>
      <c r="M33">
        <v>4531511.3779349523</v>
      </c>
      <c r="P33">
        <v>19393.610183808036</v>
      </c>
    </row>
    <row r="34" spans="2:16" x14ac:dyDescent="0.2">
      <c r="B34" s="123" t="s">
        <v>330</v>
      </c>
      <c r="C34" s="167">
        <f t="shared" si="10"/>
        <v>409229371.15093112</v>
      </c>
      <c r="D34" s="117">
        <f t="shared" si="7"/>
        <v>0.54444457566076754</v>
      </c>
      <c r="E34" s="168">
        <v>19.346750966034605</v>
      </c>
      <c r="F34" s="167">
        <f t="shared" si="11"/>
        <v>3396869.6740404093</v>
      </c>
      <c r="G34" s="117">
        <f t="shared" si="12"/>
        <v>0.25645675236575288</v>
      </c>
      <c r="H34" s="168">
        <v>7.6914488451342571</v>
      </c>
      <c r="I34" s="150">
        <f t="shared" si="8"/>
        <v>412626240.82497156</v>
      </c>
      <c r="J34" s="117">
        <f t="shared" si="13"/>
        <v>0.53945757615425516</v>
      </c>
      <c r="K34" s="151">
        <f t="shared" si="9"/>
        <v>19.250800833931734</v>
      </c>
      <c r="M34">
        <v>409229371.15093112</v>
      </c>
      <c r="P34">
        <v>3396869.6740404093</v>
      </c>
    </row>
    <row r="35" spans="2:16" x14ac:dyDescent="0.2">
      <c r="B35" s="123" t="s">
        <v>331</v>
      </c>
      <c r="C35" s="167">
        <f t="shared" si="10"/>
        <v>0</v>
      </c>
      <c r="D35" s="117">
        <f t="shared" si="7"/>
        <v>0</v>
      </c>
      <c r="E35" s="168">
        <v>14.424585557546418</v>
      </c>
      <c r="F35" s="167">
        <f t="shared" si="11"/>
        <v>0</v>
      </c>
      <c r="G35" s="117">
        <f t="shared" si="12"/>
        <v>0</v>
      </c>
      <c r="H35" s="168">
        <v>7.4463317310566852</v>
      </c>
      <c r="I35" s="150">
        <f t="shared" si="8"/>
        <v>0</v>
      </c>
      <c r="J35" s="117">
        <f t="shared" si="13"/>
        <v>0</v>
      </c>
      <c r="K35" s="151" t="str">
        <f t="shared" si="9"/>
        <v/>
      </c>
      <c r="M35">
        <v>0</v>
      </c>
      <c r="P35">
        <v>0</v>
      </c>
    </row>
    <row r="36" spans="2:16" x14ac:dyDescent="0.2">
      <c r="B36" s="123" t="s">
        <v>332</v>
      </c>
      <c r="C36" s="167">
        <f t="shared" si="10"/>
        <v>23772928.863730378</v>
      </c>
      <c r="D36" s="117">
        <f t="shared" si="7"/>
        <v>3.1627842671765785E-2</v>
      </c>
      <c r="E36" s="168">
        <v>11.746034718780729</v>
      </c>
      <c r="F36" s="167">
        <f t="shared" si="11"/>
        <v>0</v>
      </c>
      <c r="G36" s="117">
        <f t="shared" si="12"/>
        <v>0</v>
      </c>
      <c r="H36" s="168">
        <v>5.6655846943835302</v>
      </c>
      <c r="I36" s="150">
        <f t="shared" si="8"/>
        <v>23772928.863730378</v>
      </c>
      <c r="J36" s="117">
        <f t="shared" si="13"/>
        <v>3.1080152724352376E-2</v>
      </c>
      <c r="K36" s="151">
        <f t="shared" si="9"/>
        <v>11.746034718780729</v>
      </c>
      <c r="M36">
        <v>23772928.863730378</v>
      </c>
      <c r="P36">
        <v>0</v>
      </c>
    </row>
    <row r="37" spans="2:16" x14ac:dyDescent="0.2">
      <c r="B37" s="123" t="s">
        <v>333</v>
      </c>
      <c r="C37" s="167">
        <f t="shared" si="10"/>
        <v>0</v>
      </c>
      <c r="D37" s="117">
        <f t="shared" si="7"/>
        <v>0</v>
      </c>
      <c r="E37" s="168">
        <v>17.843504008797666</v>
      </c>
      <c r="F37" s="167">
        <f t="shared" si="11"/>
        <v>0</v>
      </c>
      <c r="G37" s="117">
        <f t="shared" si="12"/>
        <v>0</v>
      </c>
      <c r="H37" s="168">
        <v>9</v>
      </c>
      <c r="I37" s="150">
        <f t="shared" si="8"/>
        <v>0</v>
      </c>
      <c r="J37" s="117">
        <f t="shared" si="13"/>
        <v>0</v>
      </c>
      <c r="K37" s="151" t="str">
        <f t="shared" si="9"/>
        <v/>
      </c>
      <c r="M37">
        <v>0</v>
      </c>
      <c r="P37">
        <v>0</v>
      </c>
    </row>
    <row r="38" spans="2:16" x14ac:dyDescent="0.2">
      <c r="B38" s="123" t="s">
        <v>334</v>
      </c>
      <c r="C38" s="167">
        <f t="shared" si="10"/>
        <v>44327273.617726266</v>
      </c>
      <c r="D38" s="117">
        <f t="shared" si="7"/>
        <v>5.8973635267495883E-2</v>
      </c>
      <c r="E38" s="168">
        <v>59.212668871896405</v>
      </c>
      <c r="F38" s="167">
        <f t="shared" si="11"/>
        <v>2887412.369801838</v>
      </c>
      <c r="G38" s="117">
        <f t="shared" si="12"/>
        <v>0.21799376195063075</v>
      </c>
      <c r="H38" s="168">
        <v>54.85963215304141</v>
      </c>
      <c r="I38" s="150">
        <f t="shared" si="8"/>
        <v>47214685.987528101</v>
      </c>
      <c r="J38" s="117">
        <f t="shared" si="13"/>
        <v>6.1727339518671626E-2</v>
      </c>
      <c r="K38" s="151">
        <f t="shared" si="9"/>
        <v>58.946459072861771</v>
      </c>
      <c r="M38">
        <v>44327273.617726266</v>
      </c>
      <c r="P38">
        <v>2887412.369801838</v>
      </c>
    </row>
    <row r="39" spans="2:16" x14ac:dyDescent="0.2">
      <c r="B39" s="123" t="s">
        <v>335</v>
      </c>
      <c r="C39" s="167">
        <f t="shared" si="10"/>
        <v>13088535.371069806</v>
      </c>
      <c r="D39" s="117">
        <f t="shared" si="7"/>
        <v>1.7413173609904107E-2</v>
      </c>
      <c r="E39" s="168">
        <v>58.734231773153674</v>
      </c>
      <c r="F39" s="167">
        <f t="shared" si="11"/>
        <v>2867916.1484394697</v>
      </c>
      <c r="G39" s="117">
        <f t="shared" si="12"/>
        <v>0.21652183688614937</v>
      </c>
      <c r="H39" s="168">
        <v>55.209571857279165</v>
      </c>
      <c r="I39" s="150">
        <f t="shared" si="8"/>
        <v>15956451.519509275</v>
      </c>
      <c r="J39" s="117">
        <f t="shared" si="13"/>
        <v>2.0861079129450316E-2</v>
      </c>
      <c r="K39" s="151">
        <f t="shared" si="9"/>
        <v>58.100730704439577</v>
      </c>
      <c r="M39">
        <v>13088535.371069806</v>
      </c>
      <c r="P39">
        <v>2867916.1484394697</v>
      </c>
    </row>
    <row r="40" spans="2:16" x14ac:dyDescent="0.2">
      <c r="B40" s="123" t="s">
        <v>336</v>
      </c>
      <c r="C40" s="167">
        <f t="shared" si="10"/>
        <v>66926.227654133821</v>
      </c>
      <c r="D40" s="117">
        <f t="shared" si="7"/>
        <v>8.9039605132086095E-5</v>
      </c>
      <c r="E40" s="168">
        <v>58.639242826573678</v>
      </c>
      <c r="F40" s="167">
        <f t="shared" si="11"/>
        <v>0</v>
      </c>
      <c r="G40" s="117">
        <f t="shared" si="12"/>
        <v>0</v>
      </c>
      <c r="H40" s="168">
        <v>59.999999999999993</v>
      </c>
      <c r="I40" s="150">
        <f t="shared" si="8"/>
        <v>66926.227654133821</v>
      </c>
      <c r="J40" s="117">
        <f t="shared" si="13"/>
        <v>8.7497732764798891E-5</v>
      </c>
      <c r="K40" s="151">
        <f t="shared" si="9"/>
        <v>58.639242826573678</v>
      </c>
      <c r="M40">
        <v>66926.227654133821</v>
      </c>
      <c r="P40">
        <v>0</v>
      </c>
    </row>
    <row r="41" spans="2:16" x14ac:dyDescent="0.2">
      <c r="B41" s="123" t="s">
        <v>337</v>
      </c>
      <c r="C41" s="167">
        <f t="shared" si="10"/>
        <v>8220144.9904276645</v>
      </c>
      <c r="D41" s="117">
        <f t="shared" si="7"/>
        <v>1.0936197806615306E-2</v>
      </c>
      <c r="E41" s="168">
        <v>58.996984626905693</v>
      </c>
      <c r="F41" s="167">
        <f t="shared" si="11"/>
        <v>4073798.0837632064</v>
      </c>
      <c r="G41" s="117">
        <f t="shared" si="12"/>
        <v>0.30756347066829237</v>
      </c>
      <c r="H41" s="168">
        <v>49.856280832478895</v>
      </c>
      <c r="I41" s="150">
        <f t="shared" si="8"/>
        <v>12293943.07419087</v>
      </c>
      <c r="J41" s="117">
        <f t="shared" si="13"/>
        <v>1.6072804092444028E-2</v>
      </c>
      <c r="K41" s="151">
        <f t="shared" si="9"/>
        <v>55.968063687768051</v>
      </c>
      <c r="M41">
        <v>8220144.9904276645</v>
      </c>
      <c r="P41">
        <v>4073798.0837632064</v>
      </c>
    </row>
    <row r="42" spans="2:16" x14ac:dyDescent="0.2">
      <c r="B42" s="5"/>
      <c r="C42" s="116"/>
      <c r="D42" s="117"/>
      <c r="E42" s="118"/>
      <c r="F42" s="116"/>
      <c r="G42" s="117"/>
      <c r="H42" s="118"/>
      <c r="I42" s="116"/>
      <c r="J42" s="117"/>
      <c r="K42" s="118"/>
    </row>
    <row r="43" spans="2:16" x14ac:dyDescent="0.2">
      <c r="B43" s="119" t="s">
        <v>338</v>
      </c>
      <c r="C43" s="120">
        <f>+SUM(C44:C47)</f>
        <v>557938939.32691562</v>
      </c>
      <c r="D43" s="121">
        <f>C43/C$9</f>
        <v>0.16386507652035756</v>
      </c>
      <c r="E43" s="122">
        <f>SUMPRODUCT(D44:D47,E44:E47)</f>
        <v>11.581782911918616</v>
      </c>
      <c r="F43" s="120">
        <f>+SUM(F44:F47)</f>
        <v>1175756.335768586</v>
      </c>
      <c r="G43" s="121">
        <f>F43/F$9</f>
        <v>6.9623466206037549E-4</v>
      </c>
      <c r="H43" s="122">
        <f>SUMPRODUCT(G44:G47,H44:H47)</f>
        <v>7.6864617901158194</v>
      </c>
      <c r="I43" s="120">
        <f>+SUM(I44:I47)</f>
        <v>559114695.6626842</v>
      </c>
      <c r="J43" s="121">
        <f>I43/I$9</f>
        <v>0.10976800283846758</v>
      </c>
      <c r="K43" s="122">
        <f>SUMPRODUCT(J44:J47,K44:K47)</f>
        <v>11.573591482638825</v>
      </c>
    </row>
    <row r="44" spans="2:16" x14ac:dyDescent="0.2">
      <c r="B44" s="123" t="s">
        <v>339</v>
      </c>
      <c r="C44" s="167">
        <f>M44</f>
        <v>540733542.79958498</v>
      </c>
      <c r="D44" s="117">
        <f>IF(C44="","",C44/C$43)</f>
        <v>0.96916258157552726</v>
      </c>
      <c r="E44" s="168">
        <v>11.559844778973996</v>
      </c>
      <c r="F44" s="167">
        <f>P44</f>
        <v>1175756.335768586</v>
      </c>
      <c r="G44" s="117">
        <f>IF(F44="","",F44/F$43)</f>
        <v>1</v>
      </c>
      <c r="H44" s="168">
        <v>7.6864617901158194</v>
      </c>
      <c r="I44" s="150">
        <f t="shared" ref="I44:I47" si="14">+C44+F44</f>
        <v>541909299.13535357</v>
      </c>
      <c r="J44" s="117">
        <f>IF(I44="","",I44/I$43)</f>
        <v>0.96922742925413874</v>
      </c>
      <c r="K44" s="151">
        <f t="shared" ref="K44:K47" si="15">IF(SUM(C44,F44)=0,"",(C44/SUM(C44,F44)*E44)+(F44/SUM(C44,F44)*H44))</f>
        <v>11.551440873380802</v>
      </c>
      <c r="M44">
        <v>540733542.79958498</v>
      </c>
      <c r="P44">
        <v>1175756.335768586</v>
      </c>
    </row>
    <row r="45" spans="2:16" x14ac:dyDescent="0.2">
      <c r="B45" s="123" t="s">
        <v>340</v>
      </c>
      <c r="C45" s="167">
        <f t="shared" ref="C45:C47" si="16">M45</f>
        <v>17205396.527330693</v>
      </c>
      <c r="D45" s="117">
        <f>IF(C45="","",C45/C$43)</f>
        <v>3.0837418424472896E-2</v>
      </c>
      <c r="E45" s="168">
        <v>12.271257538714192</v>
      </c>
      <c r="F45" s="167">
        <f t="shared" ref="F45:F47" si="17">P45</f>
        <v>0</v>
      </c>
      <c r="G45" s="117">
        <f>IF(F45="","",F45/F$43)</f>
        <v>0</v>
      </c>
      <c r="H45" s="168">
        <v>7.5497862075082809</v>
      </c>
      <c r="I45" s="150">
        <f t="shared" si="14"/>
        <v>17205396.527330693</v>
      </c>
      <c r="J45" s="117">
        <f>IF(I45="","",I45/I$43)</f>
        <v>3.0772570745861358E-2</v>
      </c>
      <c r="K45" s="151">
        <f t="shared" si="15"/>
        <v>12.271257538714192</v>
      </c>
      <c r="M45">
        <v>17205396.527330693</v>
      </c>
      <c r="P45">
        <v>0</v>
      </c>
    </row>
    <row r="46" spans="2:16" x14ac:dyDescent="0.2">
      <c r="B46" s="123" t="s">
        <v>341</v>
      </c>
      <c r="C46" s="167">
        <f t="shared" si="16"/>
        <v>0</v>
      </c>
      <c r="D46" s="117">
        <f>IF(C46="","",C46/C$43)</f>
        <v>0</v>
      </c>
      <c r="E46" s="168">
        <v>13.094219779185918</v>
      </c>
      <c r="F46" s="167">
        <f t="shared" si="17"/>
        <v>0</v>
      </c>
      <c r="G46" s="117">
        <f>IF(F46="","",F46/F$43)</f>
        <v>0</v>
      </c>
      <c r="H46" s="168">
        <v>11</v>
      </c>
      <c r="I46" s="150">
        <f t="shared" si="14"/>
        <v>0</v>
      </c>
      <c r="J46" s="117">
        <f>IF(I46="","",I46/I$43)</f>
        <v>0</v>
      </c>
      <c r="K46" s="151" t="str">
        <f t="shared" si="15"/>
        <v/>
      </c>
      <c r="M46">
        <v>0</v>
      </c>
      <c r="P46">
        <v>0</v>
      </c>
    </row>
    <row r="47" spans="2:16" x14ac:dyDescent="0.2">
      <c r="B47" s="123" t="s">
        <v>342</v>
      </c>
      <c r="C47" s="167">
        <f t="shared" si="16"/>
        <v>0</v>
      </c>
      <c r="D47" s="117">
        <f>IF(C47="","",C47/C$43)</f>
        <v>0</v>
      </c>
      <c r="E47" s="168">
        <v>13.221820532408014</v>
      </c>
      <c r="F47" s="167">
        <f t="shared" si="17"/>
        <v>0</v>
      </c>
      <c r="G47" s="117">
        <f>IF(F47="","",F47/F$43)</f>
        <v>0</v>
      </c>
      <c r="H47" s="168">
        <v>7.2577095727871708</v>
      </c>
      <c r="I47" s="150">
        <f t="shared" si="14"/>
        <v>0</v>
      </c>
      <c r="J47" s="117">
        <f>IF(I47="","",I47/I$43)</f>
        <v>0</v>
      </c>
      <c r="K47" s="151" t="str">
        <f t="shared" si="15"/>
        <v/>
      </c>
      <c r="M47">
        <v>0</v>
      </c>
      <c r="P47">
        <v>0</v>
      </c>
    </row>
    <row r="48" spans="2:16" x14ac:dyDescent="0.2">
      <c r="B48" s="5"/>
      <c r="C48" s="169"/>
      <c r="D48" s="27"/>
      <c r="E48" s="27"/>
      <c r="F48" s="169"/>
      <c r="G48" s="27"/>
      <c r="H48" s="170"/>
      <c r="I48" s="27"/>
      <c r="J48" s="27"/>
      <c r="K48" s="170"/>
    </row>
    <row r="73" spans="13:14" x14ac:dyDescent="0.2">
      <c r="M73" s="5"/>
      <c r="N73" s="5"/>
    </row>
  </sheetData>
  <mergeCells count="4">
    <mergeCell ref="B7:B8"/>
    <mergeCell ref="C7:E8"/>
    <mergeCell ref="F7:H8"/>
    <mergeCell ref="I7:K8"/>
  </mergeCells>
  <phoneticPr fontId="8" type="noConversion"/>
  <pageMargins left="0.75" right="0.75" top="1" bottom="1" header="0.5" footer="0.5"/>
  <pageSetup scale="5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VALUATION</vt:lpstr>
      <vt:lpstr>DASHBOARD</vt:lpstr>
      <vt:lpstr>DATA</vt:lpstr>
      <vt:lpstr>Page1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PAGE11</vt:lpstr>
      <vt:lpstr>PAGE12</vt:lpstr>
      <vt:lpstr>PAGE13</vt:lpstr>
      <vt:lpstr>PAGE14</vt:lpstr>
      <vt:lpstr>DASHBOARD!Print_Area</vt:lpstr>
      <vt:lpstr>Page1!Print_Area</vt:lpstr>
      <vt:lpstr>PAGE10!Print_Area</vt:lpstr>
      <vt:lpstr>PAGE11!Print_Area</vt:lpstr>
      <vt:lpstr>PAGE12!Print_Area</vt:lpstr>
      <vt:lpstr>PAGE13!Print_Area</vt:lpstr>
      <vt:lpstr>PAGE14!Print_Area</vt:lpstr>
      <vt:lpstr>Page2!Print_Area</vt:lpstr>
      <vt:lpstr>Page3!Print_Area</vt:lpstr>
      <vt:lpstr>Page4!Print_Area</vt:lpstr>
      <vt:lpstr>PAGE5!Print_Area</vt:lpstr>
      <vt:lpstr>PAGE6!Print_Area</vt:lpstr>
      <vt:lpstr>PAGE7!Print_Area</vt:lpstr>
      <vt:lpstr>Page8!Print_Area</vt:lpstr>
      <vt:lpstr>PAGE9!Print_Area</vt:lpstr>
      <vt:lpstr>VALUATION!Print_Area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Estrella</dc:creator>
  <cp:lastModifiedBy>Rafael Nicolas Fermin Cota</cp:lastModifiedBy>
  <cp:lastPrinted>2014-11-20T04:52:53Z</cp:lastPrinted>
  <dcterms:created xsi:type="dcterms:W3CDTF">2014-11-19T20:42:04Z</dcterms:created>
  <dcterms:modified xsi:type="dcterms:W3CDTF">2020-10-10T12:30:12Z</dcterms:modified>
</cp:coreProperties>
</file>